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80" windowHeight="1237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<sst xmlns="http://schemas.openxmlformats.org/spreadsheetml/2006/main" count="72" uniqueCount="51">
  <si>
    <t>嵩上げ盛土があるときの主働土圧計算</t>
  </si>
  <si>
    <t>■入力データ</t>
  </si>
  <si>
    <t>擁壁高さ</t>
  </si>
  <si>
    <t>H=</t>
  </si>
  <si>
    <t>m</t>
  </si>
  <si>
    <t>嵩上げ高</t>
  </si>
  <si>
    <t>h=</t>
  </si>
  <si>
    <t>壁面傾斜角</t>
  </si>
  <si>
    <t>α=</t>
  </si>
  <si>
    <t>度</t>
  </si>
  <si>
    <t>rad</t>
  </si>
  <si>
    <t>盛土傾斜角</t>
  </si>
  <si>
    <t>β=</t>
  </si>
  <si>
    <t>土の単重</t>
  </si>
  <si>
    <t>γ=</t>
  </si>
  <si>
    <t>kN/m3</t>
  </si>
  <si>
    <t>内部摩擦角</t>
  </si>
  <si>
    <t>φ=</t>
  </si>
  <si>
    <t>壁面摩擦角</t>
  </si>
  <si>
    <t>δ=</t>
  </si>
  <si>
    <t>載荷重</t>
  </si>
  <si>
    <t>q=</t>
  </si>
  <si>
    <t>kN/m2</t>
  </si>
  <si>
    <t>■計算結果</t>
  </si>
  <si>
    <t>中畑式</t>
  </si>
  <si>
    <t>T=</t>
  </si>
  <si>
    <t>ψ=</t>
  </si>
  <si>
    <t>Wa=</t>
  </si>
  <si>
    <t>kN/m</t>
  </si>
  <si>
    <t>Wb=</t>
  </si>
  <si>
    <t>η=</t>
  </si>
  <si>
    <t>Kan=</t>
  </si>
  <si>
    <t>Pan=</t>
  </si>
  <si>
    <t>ωan=</t>
  </si>
  <si>
    <t>ωlimit=</t>
  </si>
  <si>
    <t>クーロン式</t>
  </si>
  <si>
    <t>Kac=</t>
  </si>
  <si>
    <t>Pac=</t>
  </si>
  <si>
    <t>ωac=</t>
  </si>
  <si>
    <t>正解値</t>
  </si>
  <si>
    <t>計算式</t>
  </si>
  <si>
    <t>KA=</t>
  </si>
  <si>
    <t>PA=</t>
  </si>
  <si>
    <t>kN/m</t>
  </si>
  <si>
    <t>ωA=</t>
  </si>
  <si>
    <t>擁壁</t>
  </si>
  <si>
    <t>盛土</t>
  </si>
  <si>
    <t>すべり面１</t>
  </si>
  <si>
    <t>すべり面2</t>
  </si>
  <si>
    <t>Lc=</t>
  </si>
  <si>
    <t>載荷重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</si>
</sst>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Sheet1!$D$34</c:f>
              <c:strCache>
                <c:ptCount val="1"/>
                <c:pt idx="0">
                  <c:v>擁壁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Sheet1!$C$35:$C$49</c:f>
              <c:numCache/>
            </c:numRef>
          </c:xVal>
          <c:yVal>
            <c:numRef>
              <c:f>Sheet1!$D$35:$D$49</c:f>
              <c:numCache/>
            </c:numRef>
          </c:yVal>
          <c:smooth val="0"/>
        </c:ser>
        <c:ser>
          <c:idx val="1"/>
          <c:order val="1"/>
          <c:tx>
            <c:strRef>
              <c:f>Sheet1!$E$34</c:f>
              <c:strCache>
                <c:ptCount val="1"/>
                <c:pt idx="0">
                  <c:v>盛土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Sheet1!$C$35:$C$49</c:f>
              <c:numCache/>
            </c:numRef>
          </c:xVal>
          <c:yVal>
            <c:numRef>
              <c:f>Sheet1!$E$35:$E$49</c:f>
              <c:numCache/>
            </c:numRef>
          </c:yVal>
          <c:smooth val="0"/>
        </c:ser>
        <c:ser>
          <c:idx val="2"/>
          <c:order val="2"/>
          <c:tx>
            <c:strRef>
              <c:f>Sheet1!$F$34</c:f>
              <c:strCache>
                <c:ptCount val="1"/>
                <c:pt idx="0">
                  <c:v>すべり面１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Sheet1!$C$35:$C$49</c:f>
              <c:numCache/>
            </c:numRef>
          </c:xVal>
          <c:yVal>
            <c:numRef>
              <c:f>Sheet1!$F$35:$F$49</c:f>
              <c:numCache/>
            </c:numRef>
          </c:yVal>
          <c:smooth val="0"/>
        </c:ser>
        <c:ser>
          <c:idx val="3"/>
          <c:order val="3"/>
          <c:tx>
            <c:strRef>
              <c:f>Sheet1!$G$34</c:f>
              <c:strCache>
                <c:ptCount val="1"/>
                <c:pt idx="0">
                  <c:v>すべり面2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Sheet1!$C$35:$C$49</c:f>
              <c:numCache/>
            </c:numRef>
          </c:xVal>
          <c:yVal>
            <c:numRef>
              <c:f>Sheet1!$G$35:$G$49</c:f>
              <c:numCache/>
            </c:numRef>
          </c:yVal>
          <c:smooth val="0"/>
        </c:ser>
        <c:ser>
          <c:idx val="4"/>
          <c:order val="4"/>
          <c:tx>
            <c:strRef>
              <c:f>Sheet1!$H$34</c:f>
              <c:strCache>
                <c:ptCount val="1"/>
                <c:pt idx="0">
                  <c:v>載荷重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Sheet1!$C$35:$C$49</c:f>
              <c:numCache/>
            </c:numRef>
          </c:xVal>
          <c:yVal>
            <c:numRef>
              <c:f>Sheet1!$H$35:$H$49</c:f>
              <c:numCache/>
            </c:numRef>
          </c:yVal>
          <c:smooth val="0"/>
        </c:ser>
        <c:axId val="48054440"/>
        <c:axId val="29836777"/>
      </c:scatterChart>
      <c:valAx>
        <c:axId val="4805444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836777"/>
        <c:crosses val="autoZero"/>
        <c:crossBetween val="midCat"/>
        <c:dispUnits/>
      </c:valAx>
      <c:valAx>
        <c:axId val="298367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crossAx val="4805444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104775</xdr:rowOff>
    </xdr:from>
    <xdr:to>
      <xdr:col>8</xdr:col>
      <xdr:colOff>438150</xdr:colOff>
      <xdr:row>53</xdr:row>
      <xdr:rowOff>152400</xdr:rowOff>
    </xdr:to>
    <xdr:graphicFrame>
      <xdr:nvGraphicFramePr>
        <xdr:cNvPr id="1" name="Chart 2"/>
        <xdr:cNvGraphicFramePr/>
      </xdr:nvGraphicFramePr>
      <xdr:xfrm>
        <a:off x="219075" y="5419725"/>
        <a:ext cx="56959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TUser\&#12487;&#12473;&#12463;&#12488;&#12483;&#12503;\Q&amp;A&#25913;&#23450;&#29256;2004\&#20013;&#30033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畑１"/>
      <sheetName val="中畑２"/>
      <sheetName val="中畑３"/>
      <sheetName val="粘着力０"/>
      <sheetName val="粘着力１"/>
      <sheetName val="粘着力２"/>
      <sheetName val="切土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0"/>
  <sheetViews>
    <sheetView tabSelected="1" workbookViewId="0" topLeftCell="A1">
      <selection activeCell="D6" sqref="D6"/>
    </sheetView>
  </sheetViews>
  <sheetFormatPr defaultColWidth="9.00390625" defaultRowHeight="13.5"/>
  <cols>
    <col min="1" max="1" width="5.875" style="0" customWidth="1"/>
    <col min="2" max="2" width="12.00390625" style="0" customWidth="1"/>
  </cols>
  <sheetData>
    <row r="1" spans="2:3" ht="13.5">
      <c r="B1" t="s">
        <v>0</v>
      </c>
      <c r="C1" s="1"/>
    </row>
    <row r="2" ht="13.5">
      <c r="C2" s="1"/>
    </row>
    <row r="3" spans="2:3" ht="13.5">
      <c r="B3" t="s">
        <v>1</v>
      </c>
      <c r="C3" s="1"/>
    </row>
    <row r="4" spans="2:5" ht="13.5">
      <c r="B4" t="s">
        <v>2</v>
      </c>
      <c r="C4" s="1" t="s">
        <v>3</v>
      </c>
      <c r="D4" s="4">
        <v>3</v>
      </c>
      <c r="E4" t="s">
        <v>4</v>
      </c>
    </row>
    <row r="5" spans="2:5" ht="13.5">
      <c r="B5" t="s">
        <v>5</v>
      </c>
      <c r="C5" s="1" t="s">
        <v>6</v>
      </c>
      <c r="D5" s="4">
        <v>2</v>
      </c>
      <c r="E5" t="s">
        <v>4</v>
      </c>
    </row>
    <row r="6" spans="2:7" ht="13.5">
      <c r="B6" t="s">
        <v>7</v>
      </c>
      <c r="C6" s="1" t="s">
        <v>8</v>
      </c>
      <c r="D6" s="4">
        <v>11.31</v>
      </c>
      <c r="E6" t="s">
        <v>9</v>
      </c>
      <c r="F6">
        <f>D6*PI()/180</f>
        <v>0.19739673840055869</v>
      </c>
      <c r="G6" t="s">
        <v>10</v>
      </c>
    </row>
    <row r="7" spans="2:7" ht="13.5">
      <c r="B7" t="s">
        <v>11</v>
      </c>
      <c r="C7" s="1" t="s">
        <v>12</v>
      </c>
      <c r="D7" s="4">
        <v>26.57</v>
      </c>
      <c r="E7" t="s">
        <v>9</v>
      </c>
      <c r="F7">
        <f>D7*PI()/180</f>
        <v>0.4637339822548933</v>
      </c>
      <c r="G7" t="s">
        <v>10</v>
      </c>
    </row>
    <row r="8" spans="2:5" ht="13.5">
      <c r="B8" t="s">
        <v>13</v>
      </c>
      <c r="C8" s="1" t="s">
        <v>14</v>
      </c>
      <c r="D8" s="4">
        <v>19</v>
      </c>
      <c r="E8" t="s">
        <v>15</v>
      </c>
    </row>
    <row r="9" spans="2:7" ht="13.5">
      <c r="B9" t="s">
        <v>16</v>
      </c>
      <c r="C9" s="1" t="s">
        <v>17</v>
      </c>
      <c r="D9" s="4">
        <v>30</v>
      </c>
      <c r="E9" t="s">
        <v>9</v>
      </c>
      <c r="F9">
        <f>D9*PI()/180</f>
        <v>0.5235987755982988</v>
      </c>
      <c r="G9" t="s">
        <v>10</v>
      </c>
    </row>
    <row r="10" spans="2:7" ht="13.5">
      <c r="B10" t="s">
        <v>18</v>
      </c>
      <c r="C10" s="1" t="s">
        <v>19</v>
      </c>
      <c r="D10" s="4">
        <v>20</v>
      </c>
      <c r="E10" t="s">
        <v>9</v>
      </c>
      <c r="F10">
        <f>D10*PI()/180</f>
        <v>0.3490658503988659</v>
      </c>
      <c r="G10" t="s">
        <v>10</v>
      </c>
    </row>
    <row r="11" spans="2:5" ht="13.5">
      <c r="B11" t="s">
        <v>20</v>
      </c>
      <c r="C11" s="1" t="s">
        <v>21</v>
      </c>
      <c r="D11" s="4">
        <v>10</v>
      </c>
      <c r="E11" t="s">
        <v>22</v>
      </c>
    </row>
    <row r="12" spans="2:4" ht="13.5">
      <c r="B12" t="s">
        <v>23</v>
      </c>
      <c r="C12" s="1"/>
      <c r="D12" s="2"/>
    </row>
    <row r="13" spans="2:3" ht="13.5">
      <c r="B13" t="s">
        <v>24</v>
      </c>
      <c r="C13" s="1"/>
    </row>
    <row r="14" spans="3:5" ht="13.5">
      <c r="C14" s="1" t="s">
        <v>25</v>
      </c>
      <c r="D14">
        <f>D4+D5</f>
        <v>5</v>
      </c>
      <c r="E14" t="s">
        <v>4</v>
      </c>
    </row>
    <row r="15" spans="3:7" ht="13.5">
      <c r="C15" s="1" t="s">
        <v>26</v>
      </c>
      <c r="D15">
        <f>D9+D6+D10</f>
        <v>61.31</v>
      </c>
      <c r="E15" t="s">
        <v>9</v>
      </c>
      <c r="F15">
        <f>D15*PI()/180</f>
        <v>1.0700613643977235</v>
      </c>
      <c r="G15" t="s">
        <v>10</v>
      </c>
    </row>
    <row r="16" spans="3:5" ht="13.5">
      <c r="C16" s="1" t="s">
        <v>27</v>
      </c>
      <c r="D16">
        <f>D8/2*D14^2+D11*D14</f>
        <v>287.5</v>
      </c>
      <c r="E16" t="s">
        <v>28</v>
      </c>
    </row>
    <row r="17" spans="3:5" ht="13.5">
      <c r="C17" s="1" t="s">
        <v>29</v>
      </c>
      <c r="D17">
        <f>D8/2*D5*(D5+2*D11/D8)*(TAN(F6)+1/TAN(F7))</f>
        <v>127.57502717269537</v>
      </c>
      <c r="E17" t="s">
        <v>28</v>
      </c>
    </row>
    <row r="18" spans="3:4" ht="13.5">
      <c r="C18" s="1" t="s">
        <v>30</v>
      </c>
      <c r="D18">
        <f>TAN(F6)-D17/D16</f>
        <v>-0.2437379992555117</v>
      </c>
    </row>
    <row r="19" spans="3:4" ht="13.5">
      <c r="C19" s="1" t="s">
        <v>31</v>
      </c>
      <c r="D19">
        <f>SIN(F9)/COS(F15)*((TAN(F15)+1/TAN(F9))^0.5-(TAN(F15)-D18)^0.5)^2</f>
        <v>0.2085831876803674</v>
      </c>
    </row>
    <row r="20" spans="3:5" ht="13.5">
      <c r="C20" s="1" t="s">
        <v>32</v>
      </c>
      <c r="D20">
        <f>1/2*D8*D14^2*D19*(1+2*D11/(D8*D14))</f>
        <v>59.967666458105626</v>
      </c>
      <c r="E20" t="s">
        <v>28</v>
      </c>
    </row>
    <row r="21" spans="3:7" ht="13.5">
      <c r="C21" s="1" t="s">
        <v>33</v>
      </c>
      <c r="D21">
        <f>ATAN(1/(((TAN(F15)+1/TAN(F9))*(TAN(F15)-D18))^0.5-TAN(F15)))</f>
        <v>0.8447850782871598</v>
      </c>
      <c r="E21" t="s">
        <v>10</v>
      </c>
      <c r="F21">
        <f>D21*180/PI()</f>
        <v>48.402619581483094</v>
      </c>
      <c r="G21" t="s">
        <v>9</v>
      </c>
    </row>
    <row r="22" spans="3:7" ht="13.5">
      <c r="C22" s="1" t="s">
        <v>34</v>
      </c>
      <c r="D22">
        <f>ATAN(D14/(D5/TAN(F7)-D4*TAN(F6)))</f>
        <v>0.973738286096913</v>
      </c>
      <c r="E22" t="s">
        <v>10</v>
      </c>
      <c r="F22">
        <f>D22*180/PI()</f>
        <v>55.7910941436554</v>
      </c>
      <c r="G22" t="s">
        <v>9</v>
      </c>
    </row>
    <row r="23" spans="2:6" ht="13.5">
      <c r="B23" t="s">
        <v>35</v>
      </c>
      <c r="C23" s="1"/>
      <c r="F23" s="3"/>
    </row>
    <row r="24" spans="3:6" ht="13.5">
      <c r="C24" s="1" t="s">
        <v>36</v>
      </c>
      <c r="D24">
        <f>COS(F9-F6)^2/(COS(F6)^2*COS(F6+F10)*(1+(SIN(F9+F10)*SIN(F9-F7)/COS(F6+F10)/COS(F6-F7))^0.5)^2)</f>
        <v>0.715207289952397</v>
      </c>
      <c r="F24" s="3"/>
    </row>
    <row r="25" spans="3:6" ht="13.5">
      <c r="C25" s="1" t="s">
        <v>37</v>
      </c>
      <c r="D25">
        <f>1/2*D8*D4^2*D24*(1+2*D11/D8/D4)</f>
        <v>82.60644198950185</v>
      </c>
      <c r="E25" t="s">
        <v>28</v>
      </c>
      <c r="F25" s="3"/>
    </row>
    <row r="26" spans="3:7" ht="13.5">
      <c r="C26" s="1" t="s">
        <v>38</v>
      </c>
      <c r="D26">
        <f>ATAN(COS(F9+F10+F6-F7)/(SQRT(COS(F6+F10+0)*SIN(F9+F10)/COS(F6-F7)/SIN(F9-F7-0))-SIN(F9+F10+F6-F7)))+F7</f>
        <v>0.7494411924673234</v>
      </c>
      <c r="E26" t="s">
        <v>10</v>
      </c>
      <c r="F26">
        <f>D26*180/PI()</f>
        <v>42.939817321629256</v>
      </c>
      <c r="G26" t="s">
        <v>9</v>
      </c>
    </row>
    <row r="27" spans="2:3" ht="13.5">
      <c r="B27" t="s">
        <v>39</v>
      </c>
      <c r="C27" s="1"/>
    </row>
    <row r="28" spans="3:4" ht="13.5">
      <c r="C28" s="1" t="s">
        <v>40</v>
      </c>
      <c r="D28" t="str">
        <f>IF(D21&lt;=D22,B13,B23)</f>
        <v>中畑式</v>
      </c>
    </row>
    <row r="29" spans="3:4" ht="13.5">
      <c r="C29" s="1" t="s">
        <v>41</v>
      </c>
      <c r="D29">
        <f>IF(D21&lt;=D22,D19,D24)</f>
        <v>0.2085831876803674</v>
      </c>
    </row>
    <row r="30" spans="3:5" ht="13.5">
      <c r="C30" s="1" t="s">
        <v>42</v>
      </c>
      <c r="D30">
        <f>IF(D21&lt;=D22,D20,D25)</f>
        <v>59.967666458105626</v>
      </c>
      <c r="E30" t="s">
        <v>43</v>
      </c>
    </row>
    <row r="31" spans="3:7" ht="13.5">
      <c r="C31" s="1" t="s">
        <v>44</v>
      </c>
      <c r="D31">
        <f>IF(D21&lt;=D22,F21,F26)</f>
        <v>48.402619581483094</v>
      </c>
      <c r="E31" t="s">
        <v>9</v>
      </c>
      <c r="F31">
        <f>D31*PI()/180</f>
        <v>0.8447850782871598</v>
      </c>
      <c r="G31" t="s">
        <v>10</v>
      </c>
    </row>
    <row r="32" ht="13.5">
      <c r="C32" s="1"/>
    </row>
    <row r="33" ht="13.5">
      <c r="C33" s="1"/>
    </row>
    <row r="34" spans="3:8" ht="13.5">
      <c r="C34" s="1"/>
      <c r="D34" t="s">
        <v>45</v>
      </c>
      <c r="E34" t="s">
        <v>46</v>
      </c>
      <c r="F34" t="s">
        <v>47</v>
      </c>
      <c r="G34" t="s">
        <v>48</v>
      </c>
      <c r="H34" t="s">
        <v>50</v>
      </c>
    </row>
    <row r="35" spans="3:4" ht="13.5">
      <c r="C35" s="1">
        <v>0</v>
      </c>
      <c r="D35">
        <v>0</v>
      </c>
    </row>
    <row r="36" spans="3:4" ht="13.5">
      <c r="C36" s="1">
        <f>-D36*TAN(F6)</f>
        <v>-0.6000036770789818</v>
      </c>
      <c r="D36">
        <f>D4</f>
        <v>3</v>
      </c>
    </row>
    <row r="37" spans="3:4" ht="13.5">
      <c r="C37" s="1">
        <f>C36-0.4</f>
        <v>-1.0000036770789817</v>
      </c>
      <c r="D37">
        <f>D36</f>
        <v>3</v>
      </c>
    </row>
    <row r="38" spans="3:4" ht="13.5">
      <c r="C38" s="1">
        <f>-D4*0.5</f>
        <v>-1.5</v>
      </c>
      <c r="D38">
        <v>0</v>
      </c>
    </row>
    <row r="39" spans="3:5" ht="13.5">
      <c r="C39" s="1">
        <f>C36</f>
        <v>-0.6000036770789818</v>
      </c>
      <c r="E39">
        <f>D36</f>
        <v>3</v>
      </c>
    </row>
    <row r="40" spans="3:5" ht="13.5">
      <c r="C40" s="1">
        <f>D5/TAN(F7)+C39</f>
        <v>3.399132739559009</v>
      </c>
      <c r="E40">
        <f>E39+D5</f>
        <v>5</v>
      </c>
    </row>
    <row r="41" spans="3:5" ht="13.5">
      <c r="C41" s="1">
        <f>IF(D21&gt;=D22,C40+D4,C46+D4)</f>
        <v>7.438798946134507</v>
      </c>
      <c r="E41">
        <f>E40</f>
        <v>5</v>
      </c>
    </row>
    <row r="42" ht="13.5">
      <c r="C42" s="1"/>
    </row>
    <row r="43" spans="3:6" ht="13.5">
      <c r="C43" s="1">
        <v>0</v>
      </c>
      <c r="F43">
        <v>0</v>
      </c>
    </row>
    <row r="44" spans="3:6" ht="13.5">
      <c r="C44" s="1">
        <f>IF(D21&lt;=D22,0,G50*COS(D26))</f>
        <v>0</v>
      </c>
      <c r="F44">
        <f>IF(D21&lt;=D22,0,G50*SIN(D26))</f>
        <v>0</v>
      </c>
    </row>
    <row r="45" spans="3:7" ht="13.5">
      <c r="C45" s="1">
        <v>0</v>
      </c>
      <c r="G45">
        <v>0</v>
      </c>
    </row>
    <row r="46" spans="3:7" ht="13.5">
      <c r="C46" s="1">
        <f>IF(D21&gt;D22,0,G46/TAN(D21))</f>
        <v>4.438798946134507</v>
      </c>
      <c r="G46">
        <f>IF(D21&gt;D22,0,D4+D5)</f>
        <v>5</v>
      </c>
    </row>
    <row r="47" spans="3:8" ht="13.5">
      <c r="C47" s="1">
        <f>C40</f>
        <v>3.399132739559009</v>
      </c>
      <c r="H47">
        <f>E40</f>
        <v>5</v>
      </c>
    </row>
    <row r="48" spans="3:8" ht="13.5">
      <c r="C48" s="1">
        <f>C47</f>
        <v>3.399132739559009</v>
      </c>
      <c r="H48">
        <f>H47+D11/D8</f>
        <v>5.526315789473684</v>
      </c>
    </row>
    <row r="49" spans="3:8" ht="13.5">
      <c r="C49" s="1">
        <f>C41</f>
        <v>7.438798946134507</v>
      </c>
      <c r="H49">
        <f>H48</f>
        <v>5.526315789473684</v>
      </c>
    </row>
    <row r="50" spans="3:7" ht="13.5">
      <c r="C50" s="1"/>
      <c r="F50" t="s">
        <v>49</v>
      </c>
      <c r="G50">
        <f>D4/COS(F6)/SIN(D26-F7)*COS(F6-F7)</f>
        <v>10.472548469328643</v>
      </c>
    </row>
    <row r="51" ht="13.5">
      <c r="C51" s="1"/>
    </row>
    <row r="52" ht="13.5">
      <c r="C52" s="1"/>
    </row>
    <row r="53" ht="13.5">
      <c r="C53" s="1"/>
    </row>
    <row r="54" ht="13.5">
      <c r="C54" s="1"/>
    </row>
    <row r="55" ht="13.5">
      <c r="C55" s="1"/>
    </row>
    <row r="56" ht="13.5">
      <c r="C56" s="1"/>
    </row>
    <row r="57" ht="13.5">
      <c r="C57" s="1"/>
    </row>
    <row r="58" ht="13.5">
      <c r="C58" s="1"/>
    </row>
    <row r="59" ht="13.5">
      <c r="C59" s="1"/>
    </row>
    <row r="60" ht="13.5">
      <c r="C60" s="1"/>
    </row>
  </sheetData>
  <sheetProtection sheet="1" objects="1" scenarios="1"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(株)第一コンサルタンツ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2005-08-02T09:31:22Z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