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315" windowHeight="12540" activeTab="0"/>
  </bookViews>
  <sheets>
    <sheet name="Sheet1" sheetId="1" r:id="rId1"/>
  </sheets>
  <definedNames>
    <definedName name="solver_adj" localSheetId="0" hidden="1">'Sheet1'!$D$20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'Sheet1'!$B$41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<sst xmlns="http://schemas.openxmlformats.org/spreadsheetml/2006/main" count="167" uniqueCount="136">
  <si>
    <t>m</t>
  </si>
  <si>
    <t>kN/m</t>
  </si>
  <si>
    <t>rad</t>
  </si>
  <si>
    <t>塑性場</t>
  </si>
  <si>
    <t>弾性場</t>
  </si>
  <si>
    <t>剛性方程式</t>
  </si>
  <si>
    <t>m</t>
  </si>
  <si>
    <t>荷重ﾍﾞｸﾄﾙ</t>
  </si>
  <si>
    <t>変位ﾍﾞｸﾄﾙ</t>
  </si>
  <si>
    <t>変位量</t>
  </si>
  <si>
    <t>水平変位</t>
  </si>
  <si>
    <t>鉛直変位</t>
  </si>
  <si>
    <t>回転角</t>
  </si>
  <si>
    <t>地盤反力</t>
  </si>
  <si>
    <t>底面鉛直</t>
  </si>
  <si>
    <t>底面水平</t>
  </si>
  <si>
    <t>壁面</t>
  </si>
  <si>
    <t>水平力</t>
  </si>
  <si>
    <t>kN/m</t>
  </si>
  <si>
    <t>鉛直力</t>
  </si>
  <si>
    <t>kN/m</t>
  </si>
  <si>
    <t>モーメント</t>
  </si>
  <si>
    <t>kNm/m</t>
  </si>
  <si>
    <t>基礎高さ</t>
  </si>
  <si>
    <t>H=</t>
  </si>
  <si>
    <t>底面幅</t>
  </si>
  <si>
    <t>B=</t>
  </si>
  <si>
    <t>基礎延長</t>
  </si>
  <si>
    <t>Lw=</t>
  </si>
  <si>
    <t>壁面勾配</t>
  </si>
  <si>
    <t>1:n=1:</t>
  </si>
  <si>
    <t>θ=</t>
  </si>
  <si>
    <t>rad</t>
  </si>
  <si>
    <t>壁面長さ</t>
  </si>
  <si>
    <t>L=</t>
  </si>
  <si>
    <t>m</t>
  </si>
  <si>
    <t>Nb=</t>
  </si>
  <si>
    <t>Nw=</t>
  </si>
  <si>
    <t>バネ定数</t>
  </si>
  <si>
    <t>せん断バネ定数比</t>
  </si>
  <si>
    <t>kv=</t>
  </si>
  <si>
    <t>kN/m3</t>
  </si>
  <si>
    <t>ks=</t>
  </si>
  <si>
    <t>kN/m3</t>
  </si>
  <si>
    <t>kt=</t>
  </si>
  <si>
    <t>kN/m3</t>
  </si>
  <si>
    <t>Lu=</t>
  </si>
  <si>
    <t>m</t>
  </si>
  <si>
    <t>Lo=</t>
  </si>
  <si>
    <t>sinθ=</t>
  </si>
  <si>
    <t>cosθ=</t>
  </si>
  <si>
    <t>uo</t>
  </si>
  <si>
    <t>vo</t>
  </si>
  <si>
    <t>α</t>
  </si>
  <si>
    <t>uo=</t>
  </si>
  <si>
    <t>vo=</t>
  </si>
  <si>
    <t>α=</t>
  </si>
  <si>
    <t>Qv=</t>
  </si>
  <si>
    <t>Qh=</t>
  </si>
  <si>
    <t>Qt=</t>
  </si>
  <si>
    <r>
      <t>下端</t>
    </r>
  </si>
  <si>
    <r>
      <t>上端</t>
    </r>
  </si>
  <si>
    <t>qh=</t>
  </si>
  <si>
    <t>qtu=</t>
  </si>
  <si>
    <t>qto=</t>
  </si>
  <si>
    <r>
      <t>qv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=</t>
    </r>
  </si>
  <si>
    <r>
      <t>qv</t>
    </r>
    <r>
      <rPr>
        <sz val="11"/>
        <rFont val="ＭＳ Ｐゴシック"/>
        <family val="3"/>
      </rPr>
      <t>r</t>
    </r>
    <r>
      <rPr>
        <sz val="11"/>
        <rFont val="ＭＳ Ｐゴシック"/>
        <family val="3"/>
      </rPr>
      <t>=</t>
    </r>
  </si>
  <si>
    <t>x</t>
  </si>
  <si>
    <t>擁壁形状</t>
  </si>
  <si>
    <t>底面反力</t>
  </si>
  <si>
    <t>背面反力</t>
  </si>
  <si>
    <t>盛土</t>
  </si>
  <si>
    <t>反力縮尺1/</t>
  </si>
  <si>
    <t>d=</t>
  </si>
  <si>
    <t>合力位置</t>
  </si>
  <si>
    <t>[参考]</t>
  </si>
  <si>
    <t>Qt</t>
  </si>
  <si>
    <t>Qv</t>
  </si>
  <si>
    <t>QH</t>
  </si>
  <si>
    <t>反力合計</t>
  </si>
  <si>
    <t>解析誤差</t>
  </si>
  <si>
    <t>∑H</t>
  </si>
  <si>
    <t>∑V</t>
  </si>
  <si>
    <t>∑M</t>
  </si>
  <si>
    <t>地盤反力の座標値</t>
  </si>
  <si>
    <t>n</t>
  </si>
  <si>
    <t>Qt</t>
  </si>
  <si>
    <t>QH</t>
  </si>
  <si>
    <t>QV</t>
  </si>
  <si>
    <t>θ</t>
  </si>
  <si>
    <t>θ度</t>
  </si>
  <si>
    <t>KA</t>
  </si>
  <si>
    <t>PA</t>
  </si>
  <si>
    <t>φ=</t>
  </si>
  <si>
    <t>δ=</t>
  </si>
  <si>
    <t>度</t>
  </si>
  <si>
    <t>γ=</t>
  </si>
  <si>
    <t>もたれ式擁壁の地盤反力</t>
  </si>
  <si>
    <t>■入力データ</t>
  </si>
  <si>
    <r>
      <t>H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=</t>
    </r>
  </si>
  <si>
    <r>
      <t>V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=</t>
    </r>
  </si>
  <si>
    <r>
      <t>M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=</t>
    </r>
  </si>
  <si>
    <t>擁壁形状</t>
  </si>
  <si>
    <t>壁傾斜角</t>
  </si>
  <si>
    <t>荷重</t>
  </si>
  <si>
    <t>■出力データ</t>
  </si>
  <si>
    <t>バネ定数</t>
  </si>
  <si>
    <t>底面N値</t>
  </si>
  <si>
    <t>背面N値</t>
  </si>
  <si>
    <r>
      <t>E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の補正係数</t>
    </r>
  </si>
  <si>
    <t>鉛直バネ</t>
  </si>
  <si>
    <t>せん断バネ</t>
  </si>
  <si>
    <t>垂直バネ</t>
  </si>
  <si>
    <t>K1</t>
  </si>
  <si>
    <t>K2</t>
  </si>
  <si>
    <t>K3</t>
  </si>
  <si>
    <t>盛土状態</t>
  </si>
  <si>
    <t>前端</t>
  </si>
  <si>
    <t>後端</t>
  </si>
  <si>
    <t>合力</t>
  </si>
  <si>
    <t>解析誤差</t>
  </si>
  <si>
    <t>m</t>
  </si>
  <si>
    <t>αo=</t>
  </si>
  <si>
    <t>λ=</t>
  </si>
  <si>
    <t>kN/m2</t>
  </si>
  <si>
    <r>
      <t>M</t>
    </r>
    <r>
      <rPr>
        <sz val="11"/>
        <rFont val="ＭＳ Ｐゴシック"/>
        <family val="3"/>
      </rPr>
      <t>A</t>
    </r>
  </si>
  <si>
    <r>
      <t>P</t>
    </r>
    <r>
      <rPr>
        <sz val="11"/>
        <rFont val="ＭＳ Ｐゴシック"/>
        <family val="3"/>
      </rPr>
      <t>AV</t>
    </r>
  </si>
  <si>
    <r>
      <t>P</t>
    </r>
    <r>
      <rPr>
        <sz val="11"/>
        <rFont val="ＭＳ Ｐゴシック"/>
        <family val="3"/>
      </rPr>
      <t>AH</t>
    </r>
  </si>
  <si>
    <r>
      <t>M</t>
    </r>
    <r>
      <rPr>
        <sz val="11"/>
        <rFont val="ＭＳ Ｐゴシック"/>
        <family val="3"/>
      </rPr>
      <t>AH</t>
    </r>
  </si>
  <si>
    <r>
      <t>M</t>
    </r>
    <r>
      <rPr>
        <sz val="11"/>
        <rFont val="ＭＳ Ｐゴシック"/>
        <family val="3"/>
      </rPr>
      <t>AV</t>
    </r>
  </si>
  <si>
    <r>
      <t>M</t>
    </r>
    <r>
      <rPr>
        <sz val="11"/>
        <rFont val="ＭＳ Ｐゴシック"/>
        <family val="3"/>
      </rPr>
      <t>W</t>
    </r>
  </si>
  <si>
    <t>Qtcosθ</t>
  </si>
  <si>
    <t>tanθ</t>
  </si>
  <si>
    <t>MA-MW=</t>
  </si>
  <si>
    <t>◆データ入力後ソルバーを実行して下さい．</t>
  </si>
  <si>
    <t>ツール(T)→ソルバー(V)→実行(S)→OK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</si>
</sst>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"/>
    <numFmt numFmtId="178" formatCode="0.000"/>
    <numFmt numFmtId="179" formatCode="0.000_);[Red]\(0.0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color indexed="8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vertAlign val="subscript"/>
      <sz val="11"/>
      <name val="Times New Roman"/>
      <family val="1"/>
    </font>
    <font>
      <sz val="11"/>
      <name val="ＭＳ 明朝"/>
      <family val="1"/>
    </font>
    <font>
      <sz val="11"/>
      <color indexed="10"/>
      <name val="Times New Roman"/>
      <family val="1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 quotePrefix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left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178" fontId="2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Sheet1!$C$79</c:f>
              <c:strCache>
                <c:ptCount val="1"/>
                <c:pt idx="0">
                  <c:v>擁壁形状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Sheet1!$B$80:$B$94</c:f>
              <c:numCache/>
            </c:numRef>
          </c:xVal>
          <c:yVal>
            <c:numRef>
              <c:f>Sheet1!$C$80:$C$94</c:f>
              <c:numCache/>
            </c:numRef>
          </c:yVal>
          <c:smooth val="0"/>
        </c:ser>
        <c:ser>
          <c:idx val="1"/>
          <c:order val="1"/>
          <c:tx>
            <c:strRef>
              <c:f>Sheet1!$D$79</c:f>
              <c:strCache>
                <c:ptCount val="1"/>
                <c:pt idx="0">
                  <c:v>底面反力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Sheet1!$B$80:$B$94</c:f>
              <c:numCache/>
            </c:numRef>
          </c:xVal>
          <c:yVal>
            <c:numRef>
              <c:f>Sheet1!$D$80:$D$94</c:f>
              <c:numCache/>
            </c:numRef>
          </c:yVal>
          <c:smooth val="0"/>
        </c:ser>
        <c:ser>
          <c:idx val="2"/>
          <c:order val="2"/>
          <c:tx>
            <c:strRef>
              <c:f>Sheet1!$E$79</c:f>
              <c:strCache>
                <c:ptCount val="1"/>
                <c:pt idx="0">
                  <c:v>背面反力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Sheet1!$B$80:$B$94</c:f>
              <c:numCache/>
            </c:numRef>
          </c:xVal>
          <c:yVal>
            <c:numRef>
              <c:f>Sheet1!$E$80:$E$94</c:f>
              <c:numCache/>
            </c:numRef>
          </c:yVal>
          <c:smooth val="0"/>
        </c:ser>
        <c:ser>
          <c:idx val="3"/>
          <c:order val="3"/>
          <c:tx>
            <c:strRef>
              <c:f>Sheet1!$F$79</c:f>
              <c:strCache>
                <c:ptCount val="1"/>
                <c:pt idx="0">
                  <c:v>盛土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Sheet1!$B$80:$B$94</c:f>
              <c:numCache/>
            </c:numRef>
          </c:xVal>
          <c:yVal>
            <c:numRef>
              <c:f>Sheet1!$F$80:$F$94</c:f>
              <c:numCache/>
            </c:numRef>
          </c:yVal>
          <c:smooth val="0"/>
        </c:ser>
        <c:axId val="56529821"/>
        <c:axId val="39006342"/>
      </c:scatterChart>
      <c:valAx>
        <c:axId val="5652982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crossAx val="39006342"/>
        <c:crosses val="autoZero"/>
        <c:crossBetween val="midCat"/>
        <c:dispUnits/>
      </c:valAx>
      <c:valAx>
        <c:axId val="3900634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crossAx val="565298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11</xdr:row>
      <xdr:rowOff>47625</xdr:rowOff>
    </xdr:from>
    <xdr:to>
      <xdr:col>10</xdr:col>
      <xdr:colOff>609600</xdr:colOff>
      <xdr:row>32</xdr:row>
      <xdr:rowOff>57150</xdr:rowOff>
    </xdr:to>
    <xdr:graphicFrame>
      <xdr:nvGraphicFramePr>
        <xdr:cNvPr id="1" name="Chart 12"/>
        <xdr:cNvGraphicFramePr/>
      </xdr:nvGraphicFramePr>
      <xdr:xfrm>
        <a:off x="4552950" y="1952625"/>
        <a:ext cx="30861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4"/>
  <sheetViews>
    <sheetView tabSelected="1" zoomScale="75" zoomScaleNormal="75" workbookViewId="0" topLeftCell="A1">
      <selection activeCell="D56" sqref="D56"/>
    </sheetView>
  </sheetViews>
  <sheetFormatPr defaultColWidth="9.00390625" defaultRowHeight="13.5"/>
  <cols>
    <col min="1" max="1" width="9.00390625" style="6" customWidth="1"/>
    <col min="2" max="2" width="10.375" style="6" customWidth="1"/>
    <col min="3" max="3" width="9.875" style="6" customWidth="1"/>
    <col min="4" max="4" width="9.00390625" style="8" customWidth="1"/>
    <col min="5" max="39" width="9.00390625" style="6" customWidth="1"/>
    <col min="40" max="41" width="12.125" style="6" bestFit="1" customWidth="1"/>
    <col min="42" max="47" width="9.00390625" style="6" customWidth="1"/>
    <col min="48" max="48" width="12.125" style="6" bestFit="1" customWidth="1"/>
    <col min="49" max="49" width="9.00390625" style="6" customWidth="1"/>
    <col min="50" max="50" width="13.125" style="6" bestFit="1" customWidth="1"/>
    <col min="51" max="52" width="12.125" style="6" bestFit="1" customWidth="1"/>
    <col min="53" max="53" width="13.125" style="6" bestFit="1" customWidth="1"/>
    <col min="54" max="54" width="9.00390625" style="6" customWidth="1"/>
    <col min="55" max="55" width="12.125" style="6" bestFit="1" customWidth="1"/>
    <col min="56" max="56" width="13.125" style="6" bestFit="1" customWidth="1"/>
    <col min="57" max="16384" width="9.00390625" style="6" customWidth="1"/>
  </cols>
  <sheetData>
    <row r="1" spans="1:9" ht="13.5">
      <c r="A1" s="2" t="s">
        <v>97</v>
      </c>
      <c r="B1" s="2"/>
      <c r="C1" s="2"/>
      <c r="D1" s="30"/>
      <c r="E1" s="2"/>
      <c r="F1" s="2"/>
      <c r="G1" s="2"/>
      <c r="H1" s="2"/>
      <c r="I1" s="2"/>
    </row>
    <row r="2" spans="1:7" ht="13.5">
      <c r="A2" s="6" t="s">
        <v>98</v>
      </c>
      <c r="G2" s="43" t="s">
        <v>134</v>
      </c>
    </row>
    <row r="3" spans="1:7" ht="13.5">
      <c r="A3" s="3" t="s">
        <v>104</v>
      </c>
      <c r="B3" s="38" t="s">
        <v>17</v>
      </c>
      <c r="C3" s="30" t="s">
        <v>99</v>
      </c>
      <c r="D3" s="42">
        <v>-67.4</v>
      </c>
      <c r="E3" s="3" t="s">
        <v>18</v>
      </c>
      <c r="G3" s="43" t="s">
        <v>135</v>
      </c>
    </row>
    <row r="4" spans="2:5" ht="13.5">
      <c r="B4" s="33" t="s">
        <v>19</v>
      </c>
      <c r="C4" s="4" t="s">
        <v>100</v>
      </c>
      <c r="D4" s="42">
        <v>180.2</v>
      </c>
      <c r="E4" s="3" t="s">
        <v>20</v>
      </c>
    </row>
    <row r="5" spans="2:5" ht="13.5">
      <c r="B5" s="33" t="s">
        <v>21</v>
      </c>
      <c r="C5" s="4" t="s">
        <v>101</v>
      </c>
      <c r="D5" s="42">
        <v>272.1</v>
      </c>
      <c r="E5" s="3" t="s">
        <v>22</v>
      </c>
    </row>
    <row r="6" spans="1:7" ht="13.5">
      <c r="A6" s="3" t="s">
        <v>102</v>
      </c>
      <c r="B6" s="33" t="s">
        <v>23</v>
      </c>
      <c r="C6" s="4" t="s">
        <v>24</v>
      </c>
      <c r="D6" s="42">
        <v>8</v>
      </c>
      <c r="E6" s="2" t="s">
        <v>121</v>
      </c>
      <c r="F6" s="3"/>
      <c r="G6" s="3"/>
    </row>
    <row r="7" spans="1:7" ht="13.5">
      <c r="A7" s="3"/>
      <c r="B7" s="33" t="s">
        <v>25</v>
      </c>
      <c r="C7" s="4" t="s">
        <v>26</v>
      </c>
      <c r="D7" s="42">
        <v>1</v>
      </c>
      <c r="E7" s="2" t="s">
        <v>121</v>
      </c>
      <c r="F7" s="3"/>
      <c r="G7" s="3"/>
    </row>
    <row r="8" spans="1:7" ht="13.5">
      <c r="A8" s="3"/>
      <c r="B8" s="33" t="s">
        <v>27</v>
      </c>
      <c r="C8" s="4" t="s">
        <v>28</v>
      </c>
      <c r="D8" s="42">
        <v>10</v>
      </c>
      <c r="E8" s="2" t="s">
        <v>121</v>
      </c>
      <c r="F8" s="3"/>
      <c r="G8" s="3"/>
    </row>
    <row r="9" spans="1:9" ht="13.5">
      <c r="A9" s="3"/>
      <c r="B9" s="34" t="s">
        <v>29</v>
      </c>
      <c r="C9" s="4" t="s">
        <v>30</v>
      </c>
      <c r="D9" s="42">
        <f>AO47</f>
        <v>0.5</v>
      </c>
      <c r="E9" s="2"/>
      <c r="F9" s="3"/>
      <c r="G9" s="3"/>
      <c r="H9" s="3"/>
      <c r="I9" s="3"/>
    </row>
    <row r="10" spans="1:9" s="2" customFormat="1" ht="13.5">
      <c r="A10" s="3" t="s">
        <v>38</v>
      </c>
      <c r="B10" s="7" t="s">
        <v>107</v>
      </c>
      <c r="C10" s="8" t="s">
        <v>36</v>
      </c>
      <c r="D10" s="42">
        <v>30</v>
      </c>
      <c r="H10" s="3"/>
      <c r="I10" s="3"/>
    </row>
    <row r="11" spans="1:12" ht="15">
      <c r="A11" s="2"/>
      <c r="B11" s="7" t="s">
        <v>108</v>
      </c>
      <c r="C11" s="8" t="s">
        <v>37</v>
      </c>
      <c r="D11" s="42">
        <v>10</v>
      </c>
      <c r="E11" s="2"/>
      <c r="H11" s="3"/>
      <c r="I11" s="3"/>
      <c r="K11" s="14" t="s">
        <v>72</v>
      </c>
      <c r="L11" s="21">
        <v>50</v>
      </c>
    </row>
    <row r="12" spans="2:9" s="2" customFormat="1" ht="13.5">
      <c r="B12" s="3" t="s">
        <v>109</v>
      </c>
      <c r="C12" s="3"/>
      <c r="D12" s="30" t="s">
        <v>122</v>
      </c>
      <c r="E12" s="42">
        <v>1</v>
      </c>
      <c r="H12" s="3"/>
      <c r="I12" s="3"/>
    </row>
    <row r="13" spans="2:9" s="2" customFormat="1" ht="13.5">
      <c r="B13" s="3" t="s">
        <v>39</v>
      </c>
      <c r="C13" s="3"/>
      <c r="D13" s="30" t="s">
        <v>123</v>
      </c>
      <c r="E13" s="42">
        <v>0.5</v>
      </c>
      <c r="H13" s="3"/>
      <c r="I13" s="3"/>
    </row>
    <row r="14" spans="1:4" s="3" customFormat="1" ht="13.5">
      <c r="A14" s="3" t="s">
        <v>105</v>
      </c>
      <c r="D14" s="4"/>
    </row>
    <row r="15" spans="1:5" s="3" customFormat="1" ht="13.5">
      <c r="A15" s="3" t="s">
        <v>106</v>
      </c>
      <c r="B15" s="33" t="s">
        <v>103</v>
      </c>
      <c r="C15" s="4" t="s">
        <v>31</v>
      </c>
      <c r="D15" s="3">
        <f>ATAN(D9)</f>
        <v>0.4636476090008061</v>
      </c>
      <c r="E15" s="3" t="s">
        <v>32</v>
      </c>
    </row>
    <row r="16" spans="2:5" s="3" customFormat="1" ht="13.5">
      <c r="B16" s="33" t="s">
        <v>33</v>
      </c>
      <c r="C16" s="4" t="s">
        <v>34</v>
      </c>
      <c r="D16" s="4">
        <f>D6/C23</f>
        <v>8.94427190999916</v>
      </c>
      <c r="E16" s="3" t="s">
        <v>35</v>
      </c>
    </row>
    <row r="17" spans="2:5" s="3" customFormat="1" ht="13.5">
      <c r="B17" s="33" t="s">
        <v>110</v>
      </c>
      <c r="C17" s="4" t="s">
        <v>40</v>
      </c>
      <c r="D17" s="4">
        <f>3783*E12*D10*(D7*D8)^(-0.375)</f>
        <v>47858.3361741098</v>
      </c>
      <c r="E17" s="3" t="s">
        <v>41</v>
      </c>
    </row>
    <row r="18" spans="2:5" s="3" customFormat="1" ht="13.5">
      <c r="B18" s="33" t="s">
        <v>111</v>
      </c>
      <c r="C18" s="4" t="s">
        <v>42</v>
      </c>
      <c r="D18" s="4">
        <f>E13*D17</f>
        <v>23929.1680870549</v>
      </c>
      <c r="E18" s="3" t="s">
        <v>43</v>
      </c>
    </row>
    <row r="19" spans="2:5" s="3" customFormat="1" ht="13.5">
      <c r="B19" s="33" t="s">
        <v>112</v>
      </c>
      <c r="C19" s="4" t="s">
        <v>44</v>
      </c>
      <c r="D19" s="4">
        <f>3783*E12*D11*(D16*D8)^(-0.375)</f>
        <v>7014.665541306356</v>
      </c>
      <c r="E19" s="3" t="s">
        <v>45</v>
      </c>
    </row>
    <row r="20" spans="1:5" s="3" customFormat="1" ht="13.5">
      <c r="A20" s="3" t="s">
        <v>116</v>
      </c>
      <c r="B20" s="39" t="s">
        <v>3</v>
      </c>
      <c r="C20" s="8" t="s">
        <v>46</v>
      </c>
      <c r="D20" s="36">
        <v>4.611478970563445</v>
      </c>
      <c r="E20" s="3" t="s">
        <v>47</v>
      </c>
    </row>
    <row r="21" spans="2:9" s="3" customFormat="1" ht="15">
      <c r="B21" s="13" t="s">
        <v>4</v>
      </c>
      <c r="C21" s="8" t="s">
        <v>48</v>
      </c>
      <c r="D21" s="8">
        <f>D16-D20</f>
        <v>4.3327929394357145</v>
      </c>
      <c r="E21" s="6" t="s">
        <v>47</v>
      </c>
      <c r="I21" s="15"/>
    </row>
    <row r="22" spans="2:4" s="3" customFormat="1" ht="13.5">
      <c r="B22" s="8" t="s">
        <v>49</v>
      </c>
      <c r="C22" s="6">
        <f>SIN(D15)</f>
        <v>0.4472135954999579</v>
      </c>
      <c r="D22" s="4"/>
    </row>
    <row r="23" spans="2:6" s="3" customFormat="1" ht="13.5">
      <c r="B23" s="8" t="s">
        <v>50</v>
      </c>
      <c r="C23" s="6">
        <f>COS(D15)</f>
        <v>0.8944271909999159</v>
      </c>
      <c r="D23" s="4"/>
      <c r="E23" s="8"/>
      <c r="F23" s="6"/>
    </row>
    <row r="24" spans="1:5" s="3" customFormat="1" ht="13.5">
      <c r="A24" s="7" t="s">
        <v>5</v>
      </c>
      <c r="B24" s="5"/>
      <c r="D24" s="4"/>
      <c r="E24" s="6"/>
    </row>
    <row r="25" spans="1:8" s="3" customFormat="1" ht="13.5">
      <c r="A25" s="17" t="s">
        <v>7</v>
      </c>
      <c r="B25" s="31" t="s">
        <v>113</v>
      </c>
      <c r="C25" s="32" t="s">
        <v>114</v>
      </c>
      <c r="D25" s="32" t="s">
        <v>115</v>
      </c>
      <c r="E25" s="17" t="s">
        <v>8</v>
      </c>
      <c r="H25" s="6"/>
    </row>
    <row r="26" spans="1:9" s="3" customFormat="1" ht="13.5">
      <c r="A26" s="16">
        <f>D3</f>
        <v>-67.4</v>
      </c>
      <c r="B26" s="16">
        <f>D18*D7+D19*D21*C23^2</f>
        <v>48243.64275095504</v>
      </c>
      <c r="C26" s="16">
        <f>D19*D21*C22*C23</f>
        <v>12157.237331950073</v>
      </c>
      <c r="D26" s="16">
        <f>D19*D21*C23*(D7*C22+D20+D21/2)</f>
        <v>196409.77608086015</v>
      </c>
      <c r="E26" s="16" t="s">
        <v>51</v>
      </c>
      <c r="H26" s="6"/>
      <c r="I26" s="6"/>
    </row>
    <row r="27" spans="1:9" s="3" customFormat="1" ht="13.5">
      <c r="A27" s="16">
        <f>D4</f>
        <v>180.2</v>
      </c>
      <c r="B27" s="16">
        <f>C26</f>
        <v>12157.237331950073</v>
      </c>
      <c r="C27" s="16">
        <f>D17*D7+D19*D21*C22^2</f>
        <v>53936.954840084836</v>
      </c>
      <c r="D27" s="16">
        <f>1/2*D17*D7^2+D19*D21*C22*(D7*C22+D20+D21/2)</f>
        <v>122134.05612748498</v>
      </c>
      <c r="E27" s="16" t="s">
        <v>52</v>
      </c>
      <c r="H27" s="6"/>
      <c r="I27" s="6"/>
    </row>
    <row r="28" spans="1:38" s="3" customFormat="1" ht="15">
      <c r="A28" s="16">
        <f>D5</f>
        <v>272.1</v>
      </c>
      <c r="B28" s="16">
        <f>D26</f>
        <v>196409.77608086015</v>
      </c>
      <c r="C28" s="16">
        <f>D27</f>
        <v>122134.05612748498</v>
      </c>
      <c r="D28" s="16">
        <f>1/3*D17*D7^3+D19*D21*(D7*C22*(D7*C22+2*D20+D21)+D20^2+D20*D21+D21^2/3)</f>
        <v>1650078.0507181475</v>
      </c>
      <c r="E28" s="16" t="s">
        <v>53</v>
      </c>
      <c r="H28" s="6"/>
      <c r="I28" s="6"/>
      <c r="J28" s="1"/>
      <c r="K28" s="1"/>
      <c r="L28" s="1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</row>
    <row r="29" spans="1:9" s="3" customFormat="1" ht="13.5">
      <c r="A29" s="13" t="s">
        <v>9</v>
      </c>
      <c r="B29" s="11" t="s">
        <v>10</v>
      </c>
      <c r="C29" s="8" t="s">
        <v>54</v>
      </c>
      <c r="D29" s="10">
        <f>INDEX(MMULT(MINVERSE($B$26:$D$28),$A$26:$A$28),1)</f>
        <v>-0.003690652558041145</v>
      </c>
      <c r="E29" s="7" t="s">
        <v>0</v>
      </c>
      <c r="H29" s="6"/>
      <c r="I29" s="6"/>
    </row>
    <row r="30" spans="2:9" s="3" customFormat="1" ht="13.5">
      <c r="B30" s="11" t="s">
        <v>11</v>
      </c>
      <c r="C30" s="8" t="s">
        <v>55</v>
      </c>
      <c r="D30" s="10">
        <f>INDEX(MMULT(MINVERSE($B$26:$D$28),$A$26:$A$28),2)</f>
        <v>0.003369372370514214</v>
      </c>
      <c r="E30" s="7" t="s">
        <v>0</v>
      </c>
      <c r="G30" s="6"/>
      <c r="H30" s="6"/>
      <c r="I30" s="6"/>
    </row>
    <row r="31" spans="2:9" s="3" customFormat="1" ht="13.5">
      <c r="B31" s="11" t="s">
        <v>12</v>
      </c>
      <c r="C31" s="8" t="s">
        <v>56</v>
      </c>
      <c r="D31" s="10">
        <f>INDEX(MMULT(MINVERSE($B$26:$D$28),$A$26:$A$28),3)</f>
        <v>0.0003548105667168463</v>
      </c>
      <c r="E31" s="7" t="s">
        <v>2</v>
      </c>
      <c r="G31" s="6"/>
      <c r="H31" s="6"/>
      <c r="I31" s="6"/>
    </row>
    <row r="32" spans="1:39" s="3" customFormat="1" ht="13.5">
      <c r="A32" s="7" t="s">
        <v>13</v>
      </c>
      <c r="B32" s="11" t="s">
        <v>14</v>
      </c>
      <c r="C32" s="8" t="s">
        <v>65</v>
      </c>
      <c r="D32" s="12">
        <f>D17*D30</f>
        <v>161.2525556038265</v>
      </c>
      <c r="E32" s="13" t="s">
        <v>124</v>
      </c>
      <c r="F32" s="40" t="s">
        <v>117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s="3" customFormat="1" ht="13.5">
      <c r="A33" s="6"/>
      <c r="B33" s="35"/>
      <c r="C33" s="8" t="s">
        <v>66</v>
      </c>
      <c r="D33" s="12">
        <f>D17*(D30+D7*D31)</f>
        <v>178.23319898388775</v>
      </c>
      <c r="E33" s="13" t="s">
        <v>124</v>
      </c>
      <c r="F33" s="40" t="s">
        <v>118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2:45" ht="13.5">
      <c r="B34" s="35"/>
      <c r="C34" s="8" t="s">
        <v>57</v>
      </c>
      <c r="D34" s="6">
        <f>(D32+D33)/2*D7</f>
        <v>169.74287729385713</v>
      </c>
      <c r="E34" s="7" t="s">
        <v>1</v>
      </c>
      <c r="F34" s="8" t="s">
        <v>119</v>
      </c>
      <c r="AN34" s="2" t="s">
        <v>75</v>
      </c>
      <c r="AO34" s="2"/>
      <c r="AP34" s="2"/>
      <c r="AQ34" s="2"/>
      <c r="AR34" s="2"/>
      <c r="AS34" s="2"/>
    </row>
    <row r="35" spans="2:45" ht="13.5">
      <c r="B35" s="35"/>
      <c r="C35" s="8" t="s">
        <v>73</v>
      </c>
      <c r="D35" s="6">
        <f>D7/3*(D33*2+D32)/(D32+D33)</f>
        <v>0.5083364535676826</v>
      </c>
      <c r="E35" s="6" t="s">
        <v>6</v>
      </c>
      <c r="F35" s="8" t="s">
        <v>74</v>
      </c>
      <c r="AN35" s="18"/>
      <c r="AO35" s="18" t="s">
        <v>76</v>
      </c>
      <c r="AP35" s="18" t="s">
        <v>77</v>
      </c>
      <c r="AQ35" s="18" t="s">
        <v>78</v>
      </c>
      <c r="AR35" s="18" t="s">
        <v>79</v>
      </c>
      <c r="AS35" s="18" t="s">
        <v>80</v>
      </c>
    </row>
    <row r="36" spans="2:45" ht="13.5">
      <c r="B36" s="13" t="s">
        <v>15</v>
      </c>
      <c r="C36" s="8" t="s">
        <v>62</v>
      </c>
      <c r="D36" s="12">
        <f>IF((D38+D39)=0,D3/D7,D29*D18)</f>
        <v>-88.3142454122857</v>
      </c>
      <c r="E36" s="13" t="s">
        <v>124</v>
      </c>
      <c r="F36" s="8"/>
      <c r="AN36" s="18" t="s">
        <v>81</v>
      </c>
      <c r="AO36" s="18">
        <f>D40*C23</f>
        <v>20.914245412285712</v>
      </c>
      <c r="AP36" s="18">
        <v>0</v>
      </c>
      <c r="AQ36" s="19">
        <f>D37</f>
        <v>-88.3142454122857</v>
      </c>
      <c r="AR36" s="20">
        <f>SUM(AO36:AQ36)</f>
        <v>-67.39999999999999</v>
      </c>
      <c r="AS36" s="20">
        <f>A26-AR36</f>
        <v>0</v>
      </c>
    </row>
    <row r="37" spans="2:45" ht="13.5">
      <c r="B37" s="35"/>
      <c r="C37" s="8" t="s">
        <v>58</v>
      </c>
      <c r="D37" s="6">
        <f>D36*D7</f>
        <v>-88.3142454122857</v>
      </c>
      <c r="E37" s="7" t="s">
        <v>1</v>
      </c>
      <c r="F37" s="8" t="s">
        <v>119</v>
      </c>
      <c r="AN37" s="18" t="s">
        <v>82</v>
      </c>
      <c r="AO37" s="18">
        <f>D40*C22</f>
        <v>10.457122706142856</v>
      </c>
      <c r="AP37" s="19">
        <f>D34</f>
        <v>169.74287729385713</v>
      </c>
      <c r="AQ37" s="18">
        <v>0</v>
      </c>
      <c r="AR37" s="20">
        <f>SUM(AO37:AQ37)</f>
        <v>180.2</v>
      </c>
      <c r="AS37" s="20">
        <f>A27-AR37</f>
        <v>0</v>
      </c>
    </row>
    <row r="38" spans="2:45" ht="15">
      <c r="B38" s="13" t="s">
        <v>16</v>
      </c>
      <c r="C38" s="8" t="s">
        <v>63</v>
      </c>
      <c r="D38" s="12">
        <f>D19*(D29*C23+D30*C22+(D7*C22+D20)*D31)</f>
        <v>0.00481702807906809</v>
      </c>
      <c r="E38" s="13" t="s">
        <v>124</v>
      </c>
      <c r="F38" s="41" t="s">
        <v>60</v>
      </c>
      <c r="AN38" s="18" t="s">
        <v>83</v>
      </c>
      <c r="AO38" s="18">
        <f>D40*(D21/3*2+D20+D7*C22)</f>
        <v>185.82857949208136</v>
      </c>
      <c r="AP38" s="18">
        <f>AP37*D35</f>
        <v>86.28649226193366</v>
      </c>
      <c r="AQ38" s="18">
        <v>0</v>
      </c>
      <c r="AR38" s="20">
        <f>SUM(AO38:AQ38)</f>
        <v>272.11507175401505</v>
      </c>
      <c r="AS38" s="20">
        <f>A28-AR38</f>
        <v>-0.015071754015025363</v>
      </c>
    </row>
    <row r="39" spans="3:6" ht="15">
      <c r="C39" s="8" t="s">
        <v>64</v>
      </c>
      <c r="D39" s="12">
        <f>D19*(D29*C23+D30*C22+(D7*C22+D16)*D31)</f>
        <v>10.788607696730084</v>
      </c>
      <c r="E39" s="13" t="s">
        <v>124</v>
      </c>
      <c r="F39" s="41" t="s">
        <v>61</v>
      </c>
    </row>
    <row r="40" spans="3:50" ht="13.5">
      <c r="C40" s="8" t="s">
        <v>59</v>
      </c>
      <c r="D40" s="6">
        <f>1/2*(D38+D39)*D21</f>
        <v>23.382837219991984</v>
      </c>
      <c r="E40" s="7" t="s">
        <v>1</v>
      </c>
      <c r="F40" s="8" t="s">
        <v>119</v>
      </c>
      <c r="AU40" s="6" t="s">
        <v>93</v>
      </c>
      <c r="AV40" s="6">
        <v>30</v>
      </c>
      <c r="AW40" s="6" t="s">
        <v>95</v>
      </c>
      <c r="AX40" s="6">
        <f>AV40*PI()/180</f>
        <v>0.5235987755982988</v>
      </c>
    </row>
    <row r="41" spans="1:50" ht="13.5">
      <c r="A41" s="6" t="s">
        <v>120</v>
      </c>
      <c r="B41" s="8">
        <f>D29*C23+(D30+D7*D31)*C22+D20*D31</f>
        <v>6.867081617364587E-07</v>
      </c>
      <c r="AU41" s="6" t="s">
        <v>94</v>
      </c>
      <c r="AV41" s="6">
        <v>20</v>
      </c>
      <c r="AW41" s="6" t="s">
        <v>95</v>
      </c>
      <c r="AX41" s="6">
        <f>AV41*PI()/180</f>
        <v>0.3490658503988659</v>
      </c>
    </row>
    <row r="42" spans="2:48" ht="13.5">
      <c r="B42" s="5"/>
      <c r="AU42" s="6" t="s">
        <v>96</v>
      </c>
      <c r="AV42" s="6">
        <v>19</v>
      </c>
    </row>
    <row r="44" ht="13.5">
      <c r="B44" s="9"/>
    </row>
    <row r="45" spans="2:43" ht="13.5">
      <c r="B45" s="5"/>
      <c r="C45" s="9"/>
      <c r="AP45" s="6" t="s">
        <v>133</v>
      </c>
      <c r="AQ45" s="6">
        <f>BF47-BE47</f>
        <v>-111.99630348973625</v>
      </c>
    </row>
    <row r="46" spans="2:58" ht="13.5">
      <c r="B46" s="11"/>
      <c r="AO46" s="6" t="s">
        <v>85</v>
      </c>
      <c r="AP46" s="6" t="s">
        <v>86</v>
      </c>
      <c r="AQ46" s="6" t="s">
        <v>87</v>
      </c>
      <c r="AR46" s="6" t="s">
        <v>88</v>
      </c>
      <c r="AS46" s="6" t="s">
        <v>89</v>
      </c>
      <c r="AT46" s="6" t="s">
        <v>90</v>
      </c>
      <c r="AU46" s="6" t="s">
        <v>91</v>
      </c>
      <c r="AV46" s="6" t="s">
        <v>92</v>
      </c>
      <c r="AW46" s="6" t="s">
        <v>132</v>
      </c>
      <c r="AX46" s="6" t="s">
        <v>86</v>
      </c>
      <c r="AY46" s="6" t="s">
        <v>127</v>
      </c>
      <c r="AZ46" s="6" t="s">
        <v>131</v>
      </c>
      <c r="BA46" s="6" t="s">
        <v>126</v>
      </c>
      <c r="BC46" s="6" t="s">
        <v>128</v>
      </c>
      <c r="BD46" s="6" t="s">
        <v>129</v>
      </c>
      <c r="BE46" s="6" t="s">
        <v>130</v>
      </c>
      <c r="BF46" s="6" t="s">
        <v>125</v>
      </c>
    </row>
    <row r="47" spans="2:58" ht="13.5">
      <c r="B47" s="11"/>
      <c r="AO47" s="6">
        <v>0.5</v>
      </c>
      <c r="AP47" s="6">
        <f>D40</f>
        <v>23.382837219991984</v>
      </c>
      <c r="AQ47" s="6">
        <f>D37</f>
        <v>-88.3142454122857</v>
      </c>
      <c r="AR47" s="6">
        <f>D34</f>
        <v>169.74287729385713</v>
      </c>
      <c r="AS47" s="6">
        <f>ATAN(AO47)</f>
        <v>0.4636476090008061</v>
      </c>
      <c r="AT47" s="6">
        <f>AS47*180/PI()</f>
        <v>26.56505117707799</v>
      </c>
      <c r="AU47" s="6">
        <f>COS($AX$40+AS47)^2/(COS(AS47)^2*COS(-AS47+$AX$41)*(1+(SIN($AX$40+$AX$41)*SIN($AX$40)/COS($AX$41-AS47)/COS(AS47))^0.5)^2)</f>
        <v>0.13920188335960954</v>
      </c>
      <c r="AV47" s="6">
        <f>1/2*$AV$42*$D$6^2*AU47</f>
        <v>84.6347450826426</v>
      </c>
      <c r="AW47" s="6">
        <f>TAN(AS47)</f>
        <v>0.49999999999999994</v>
      </c>
      <c r="AX47" s="6">
        <v>155.7138867727335</v>
      </c>
      <c r="AY47" s="6">
        <f>AV47*COS($AX$41-AS47)</f>
        <v>84.0797687582939</v>
      </c>
      <c r="AZ47" s="6">
        <f>AX47*COS(AS47)</f>
        <v>139.27473434581498</v>
      </c>
      <c r="BA47" s="6">
        <f>AV47*SIN($AX$41-AS47)</f>
        <v>-9.676391928591988</v>
      </c>
      <c r="BC47" s="6">
        <f>$D$6/3*AY47</f>
        <v>224.2127166887837</v>
      </c>
      <c r="BD47" s="6">
        <f>($D$6*TAN(AS47)/2+$D$7/2)*BA47</f>
        <v>-24.19097982147997</v>
      </c>
      <c r="BE47" s="6">
        <f>$D$4*(TAN(AS47)*$D$6/2)</f>
        <v>360.3999999999999</v>
      </c>
      <c r="BF47" s="6">
        <f>BC47-BD47</f>
        <v>248.40369651026367</v>
      </c>
    </row>
    <row r="49" spans="41:58" ht="13.5">
      <c r="AO49" s="6" t="s">
        <v>85</v>
      </c>
      <c r="AP49" s="6" t="s">
        <v>86</v>
      </c>
      <c r="AQ49" s="6" t="s">
        <v>87</v>
      </c>
      <c r="AR49" s="6" t="s">
        <v>88</v>
      </c>
      <c r="AS49" s="6" t="s">
        <v>89</v>
      </c>
      <c r="AT49" s="6" t="s">
        <v>90</v>
      </c>
      <c r="AU49" s="6" t="s">
        <v>91</v>
      </c>
      <c r="AV49" s="6" t="s">
        <v>92</v>
      </c>
      <c r="AW49" s="6" t="s">
        <v>132</v>
      </c>
      <c r="AX49" s="6" t="s">
        <v>86</v>
      </c>
      <c r="AY49" s="6" t="s">
        <v>127</v>
      </c>
      <c r="AZ49" s="6" t="s">
        <v>131</v>
      </c>
      <c r="BA49" s="6" t="s">
        <v>126</v>
      </c>
      <c r="BC49" s="6" t="s">
        <v>128</v>
      </c>
      <c r="BD49" s="6" t="s">
        <v>129</v>
      </c>
      <c r="BE49" s="6" t="s">
        <v>130</v>
      </c>
      <c r="BF49" s="6" t="s">
        <v>125</v>
      </c>
    </row>
    <row r="50" spans="2:58" ht="13.5">
      <c r="B50" s="7"/>
      <c r="AO50" s="6">
        <v>1.732051</v>
      </c>
      <c r="AP50" s="6">
        <v>155.7138867727335</v>
      </c>
      <c r="AQ50" s="6">
        <v>-77.8569368989279</v>
      </c>
      <c r="AR50" s="6">
        <v>95.14781458727498</v>
      </c>
      <c r="AS50" s="6">
        <f>ATAN(AO50)</f>
        <v>1.0471975993043745</v>
      </c>
      <c r="AT50" s="6">
        <f>AS50*180/PI()</f>
        <v>60.000002756372574</v>
      </c>
      <c r="AU50" s="6">
        <f aca="true" t="shared" si="0" ref="AU50:AU90">COS($AX$40+AS50)^2/(COS(AS50)^2*COS(-AS50+$AX$41)*(1+(SIN($AX$40+$AX$41)*SIN($AX$40)/COS($AX$41-AS50)/COS(AS50))^0.5)^2)</f>
        <v>3.0211804896698296E-15</v>
      </c>
      <c r="AV50" s="6">
        <f aca="true" t="shared" si="1" ref="AV50:AV90">1/2*$AV$42*$D$6^2*AU50</f>
        <v>1.8368777377192562E-12</v>
      </c>
      <c r="AW50" s="6">
        <f>TAN(AS50)</f>
        <v>1.7320510000000005</v>
      </c>
      <c r="AX50" s="6">
        <v>155.7138867727335</v>
      </c>
      <c r="AY50" s="6">
        <f aca="true" t="shared" si="2" ref="AY50:AY68">AV50*COS($AX$41-AS50)</f>
        <v>1.4071299268668718E-12</v>
      </c>
      <c r="AZ50" s="6">
        <f aca="true" t="shared" si="3" ref="AZ50:AZ68">AX50*COS(AS50)</f>
        <v>77.85693689892801</v>
      </c>
      <c r="BA50" s="6">
        <f aca="true" t="shared" si="4" ref="BA50:BA68">AV50*SIN($AX$41-AS50)</f>
        <v>-1.1807223180088724E-12</v>
      </c>
      <c r="BC50" s="6">
        <f aca="true" t="shared" si="5" ref="BC50:BC68">$D$6/3*AY50</f>
        <v>3.752346471644991E-12</v>
      </c>
      <c r="BD50" s="6">
        <f>($D$6*TAN(AS50)/2+$D$7/2)*BA50</f>
        <v>-8.77064624552278E-12</v>
      </c>
      <c r="BE50" s="6">
        <f aca="true" t="shared" si="6" ref="BE50:BE68">$D$4*(TAN(AS50)*$D$6/2)</f>
        <v>1248.4623608000002</v>
      </c>
      <c r="BF50" s="6">
        <f>BC50-BD50</f>
        <v>1.2522992717167771E-11</v>
      </c>
    </row>
    <row r="51" spans="41:58" ht="13.5">
      <c r="AO51" s="6">
        <v>1.7</v>
      </c>
      <c r="AP51" s="6">
        <v>154.28254488848248</v>
      </c>
      <c r="AQ51" s="6">
        <v>-78.22435543588087</v>
      </c>
      <c r="AR51" s="6">
        <v>97.01859575900238</v>
      </c>
      <c r="AS51" s="6">
        <f aca="true" t="shared" si="7" ref="AS51:AS68">ATAN(AO51)</f>
        <v>1.039072259536091</v>
      </c>
      <c r="AT51" s="6">
        <f aca="true" t="shared" si="8" ref="AT51:AT89">AS51*180/PI()</f>
        <v>59.53445508054013</v>
      </c>
      <c r="AU51" s="6">
        <f t="shared" si="0"/>
        <v>8.411077437499287E-05</v>
      </c>
      <c r="AV51" s="6">
        <f t="shared" si="1"/>
        <v>0.05113935081999567</v>
      </c>
      <c r="AW51" s="6">
        <f aca="true" t="shared" si="9" ref="AW51:AW68">TAN(AS51)</f>
        <v>1.7000000000000002</v>
      </c>
      <c r="AX51" s="6">
        <v>154.28254488848248</v>
      </c>
      <c r="AY51" s="6">
        <f t="shared" si="2"/>
        <v>0.039440811897785824</v>
      </c>
      <c r="AZ51" s="6">
        <f t="shared" si="3"/>
        <v>78.22435543588087</v>
      </c>
      <c r="BA51" s="6">
        <f t="shared" si="4"/>
        <v>-0.03255235105386503</v>
      </c>
      <c r="BC51" s="6">
        <f t="shared" si="5"/>
        <v>0.10517549839409553</v>
      </c>
      <c r="BD51" s="6">
        <f aca="true" t="shared" si="10" ref="BD51:BD68">($D$6*TAN(AS51)/2+$D$7/2)*BA51</f>
        <v>-0.23763216269321474</v>
      </c>
      <c r="BE51" s="6">
        <f t="shared" si="6"/>
        <v>1225.3600000000001</v>
      </c>
      <c r="BF51" s="6">
        <f aca="true" t="shared" si="11" ref="BF51:BF68">BC51-BD51</f>
        <v>0.34280766108731026</v>
      </c>
    </row>
    <row r="52" spans="41:58" ht="13.5">
      <c r="AO52" s="6">
        <v>1.6</v>
      </c>
      <c r="AP52" s="6">
        <v>149.57862410094864</v>
      </c>
      <c r="AQ52" s="6">
        <v>-79.27651222063676</v>
      </c>
      <c r="AR52" s="6">
        <v>103.15758044698096</v>
      </c>
      <c r="AS52" s="6">
        <f t="shared" si="7"/>
        <v>1.0121970114513341</v>
      </c>
      <c r="AT52" s="6">
        <f t="shared" si="8"/>
        <v>57.9946167919165</v>
      </c>
      <c r="AU52" s="6">
        <f t="shared" si="0"/>
        <v>0.0014434509866331244</v>
      </c>
      <c r="AV52" s="6">
        <f t="shared" si="1"/>
        <v>0.8776181998729397</v>
      </c>
      <c r="AW52" s="6">
        <f t="shared" si="9"/>
        <v>1.5999999999999999</v>
      </c>
      <c r="AX52" s="6">
        <v>149.57862410094864</v>
      </c>
      <c r="AY52" s="6">
        <f t="shared" si="2"/>
        <v>0.6916233412122312</v>
      </c>
      <c r="AZ52" s="6">
        <f t="shared" si="3"/>
        <v>79.2765122206369</v>
      </c>
      <c r="BA52" s="6">
        <f t="shared" si="4"/>
        <v>-0.5402507368237907</v>
      </c>
      <c r="BC52" s="6">
        <f t="shared" si="5"/>
        <v>1.8443289098992832</v>
      </c>
      <c r="BD52" s="6">
        <f t="shared" si="10"/>
        <v>-3.7277300840841554</v>
      </c>
      <c r="BE52" s="6">
        <f t="shared" si="6"/>
        <v>1153.2799999999997</v>
      </c>
      <c r="BF52" s="6">
        <f t="shared" si="11"/>
        <v>5.572058993983439</v>
      </c>
    </row>
    <row r="53" spans="41:58" ht="13.5">
      <c r="AO53" s="6">
        <v>1.5</v>
      </c>
      <c r="AP53" s="6">
        <v>144.49529501540866</v>
      </c>
      <c r="AQ53" s="6">
        <v>-80.15156849866943</v>
      </c>
      <c r="AR53" s="6">
        <v>109.77264725199578</v>
      </c>
      <c r="AS53" s="6">
        <f t="shared" si="7"/>
        <v>0.982793723247329</v>
      </c>
      <c r="AT53" s="6">
        <f t="shared" si="8"/>
        <v>56.309932474020215</v>
      </c>
      <c r="AU53" s="6">
        <f t="shared" si="0"/>
        <v>0.004505007360309323</v>
      </c>
      <c r="AV53" s="6">
        <f t="shared" si="1"/>
        <v>2.7390444750680687</v>
      </c>
      <c r="AW53" s="6">
        <f t="shared" si="9"/>
        <v>1.5</v>
      </c>
      <c r="AX53" s="6">
        <v>144.49529501540866</v>
      </c>
      <c r="AY53" s="6">
        <f t="shared" si="2"/>
        <v>2.2071922727661457</v>
      </c>
      <c r="AZ53" s="6">
        <f t="shared" si="3"/>
        <v>80.15156849866956</v>
      </c>
      <c r="BA53" s="6">
        <f t="shared" si="4"/>
        <v>-1.6219330773624194</v>
      </c>
      <c r="BC53" s="6">
        <f t="shared" si="5"/>
        <v>5.885846060709722</v>
      </c>
      <c r="BD53" s="6">
        <f t="shared" si="10"/>
        <v>-10.542565002855726</v>
      </c>
      <c r="BE53" s="6">
        <f t="shared" si="6"/>
        <v>1081.1999999999998</v>
      </c>
      <c r="BF53" s="6">
        <f t="shared" si="11"/>
        <v>16.42841106356545</v>
      </c>
    </row>
    <row r="54" spans="41:58" ht="13.5">
      <c r="AO54" s="6">
        <v>1.4</v>
      </c>
      <c r="AP54" s="6">
        <v>139.00827680267287</v>
      </c>
      <c r="AQ54" s="6">
        <v>-80.79691972078977</v>
      </c>
      <c r="AR54" s="6">
        <v>116.88431239089428</v>
      </c>
      <c r="AS54" s="6">
        <f t="shared" si="7"/>
        <v>0.9505468408120751</v>
      </c>
      <c r="AT54" s="6">
        <f t="shared" si="8"/>
        <v>54.46232220802562</v>
      </c>
      <c r="AU54" s="6">
        <f t="shared" si="0"/>
        <v>0.009319593178159183</v>
      </c>
      <c r="AV54" s="6">
        <f t="shared" si="1"/>
        <v>5.666312652320784</v>
      </c>
      <c r="AW54" s="6">
        <f t="shared" si="9"/>
        <v>1.3999999999999997</v>
      </c>
      <c r="AX54" s="6">
        <v>139.00827680267287</v>
      </c>
      <c r="AY54" s="6">
        <f t="shared" si="2"/>
        <v>4.671866169087376</v>
      </c>
      <c r="AZ54" s="6">
        <f t="shared" si="3"/>
        <v>80.79691972078976</v>
      </c>
      <c r="BA54" s="6">
        <f t="shared" si="4"/>
        <v>-3.2063632938248654</v>
      </c>
      <c r="BC54" s="6">
        <f t="shared" si="5"/>
        <v>12.458309784233002</v>
      </c>
      <c r="BD54" s="6">
        <f t="shared" si="10"/>
        <v>-19.558816092331675</v>
      </c>
      <c r="BE54" s="6">
        <f t="shared" si="6"/>
        <v>1009.1199999999997</v>
      </c>
      <c r="BF54" s="6">
        <f t="shared" si="11"/>
        <v>32.01712587656468</v>
      </c>
    </row>
    <row r="55" spans="41:58" ht="13.5">
      <c r="AO55" s="6">
        <v>1.3</v>
      </c>
      <c r="AP55" s="6">
        <v>133.09337357513672</v>
      </c>
      <c r="AQ55" s="6">
        <v>-81.14846206654907</v>
      </c>
      <c r="AR55" s="6">
        <v>124.50699931348632</v>
      </c>
      <c r="AS55" s="6">
        <f t="shared" si="7"/>
        <v>0.9151007005533605</v>
      </c>
      <c r="AT55" s="6">
        <f t="shared" si="8"/>
        <v>52.43140797117251</v>
      </c>
      <c r="AU55" s="6">
        <f t="shared" si="0"/>
        <v>0.015935083069616107</v>
      </c>
      <c r="AV55" s="6">
        <f t="shared" si="1"/>
        <v>9.688530506326593</v>
      </c>
      <c r="AW55" s="6">
        <f t="shared" si="9"/>
        <v>1.3</v>
      </c>
      <c r="AX55" s="6">
        <v>133.09337357513672</v>
      </c>
      <c r="AY55" s="6">
        <f t="shared" si="2"/>
        <v>8.17744986600699</v>
      </c>
      <c r="AZ55" s="6">
        <f t="shared" si="3"/>
        <v>81.14846206654894</v>
      </c>
      <c r="BA55" s="6">
        <f t="shared" si="4"/>
        <v>-5.195857682901187</v>
      </c>
      <c r="BC55" s="6">
        <f t="shared" si="5"/>
        <v>21.806532976018637</v>
      </c>
      <c r="BD55" s="6">
        <f t="shared" si="10"/>
        <v>-29.616388792536767</v>
      </c>
      <c r="BE55" s="6">
        <f t="shared" si="6"/>
        <v>937.04</v>
      </c>
      <c r="BF55" s="6">
        <f t="shared" si="11"/>
        <v>51.422921768555405</v>
      </c>
    </row>
    <row r="56" spans="41:58" ht="13.5">
      <c r="AO56" s="6">
        <v>1.2</v>
      </c>
      <c r="AP56" s="6">
        <v>126.72552387599477</v>
      </c>
      <c r="AQ56" s="6">
        <v>-81.12770342472044</v>
      </c>
      <c r="AR56" s="6">
        <v>132.64675589033547</v>
      </c>
      <c r="AS56" s="6">
        <f t="shared" si="7"/>
        <v>0.8760580505981934</v>
      </c>
      <c r="AT56" s="6">
        <f t="shared" si="8"/>
        <v>50.19442890773481</v>
      </c>
      <c r="AU56" s="6">
        <f t="shared" si="0"/>
        <v>0.024396120086086832</v>
      </c>
      <c r="AV56" s="6">
        <f t="shared" si="1"/>
        <v>14.832841012340793</v>
      </c>
      <c r="AW56" s="6">
        <f t="shared" si="9"/>
        <v>1.2</v>
      </c>
      <c r="AX56" s="6">
        <v>126.72552387599477</v>
      </c>
      <c r="AY56" s="6">
        <f t="shared" si="2"/>
        <v>12.820376150794234</v>
      </c>
      <c r="AZ56" s="6">
        <f t="shared" si="3"/>
        <v>81.12770342472041</v>
      </c>
      <c r="BA56" s="6">
        <f t="shared" si="4"/>
        <v>-7.459968354458715</v>
      </c>
      <c r="BC56" s="6">
        <f t="shared" si="5"/>
        <v>34.18766973545129</v>
      </c>
      <c r="BD56" s="6">
        <f t="shared" si="10"/>
        <v>-39.537832278631186</v>
      </c>
      <c r="BE56" s="6">
        <f t="shared" si="6"/>
        <v>864.9599999999999</v>
      </c>
      <c r="BF56" s="6">
        <f t="shared" si="11"/>
        <v>73.72550201408248</v>
      </c>
    </row>
    <row r="57" spans="41:58" ht="13.5">
      <c r="AO57" s="6">
        <v>1.1</v>
      </c>
      <c r="AP57" s="6">
        <v>119.87700927513312</v>
      </c>
      <c r="AQ57" s="6">
        <v>-80.63800276502556</v>
      </c>
      <c r="AR57" s="6">
        <v>141.2981969584717</v>
      </c>
      <c r="AS57" s="6">
        <f t="shared" si="7"/>
        <v>0.8329812666744317</v>
      </c>
      <c r="AT57" s="6">
        <f t="shared" si="8"/>
        <v>47.72631099390627</v>
      </c>
      <c r="AU57" s="6">
        <f t="shared" si="0"/>
        <v>0.03474442273489637</v>
      </c>
      <c r="AV57" s="6">
        <f t="shared" si="1"/>
        <v>21.124609022816994</v>
      </c>
      <c r="AW57" s="6">
        <f t="shared" si="9"/>
        <v>1.1</v>
      </c>
      <c r="AX57" s="6">
        <v>119.87700927513312</v>
      </c>
      <c r="AY57" s="6">
        <f t="shared" si="2"/>
        <v>18.699082907842424</v>
      </c>
      <c r="AZ57" s="6">
        <f t="shared" si="3"/>
        <v>80.63800276502565</v>
      </c>
      <c r="BA57" s="6">
        <f t="shared" si="4"/>
        <v>-9.828194380073915</v>
      </c>
      <c r="BC57" s="6">
        <f t="shared" si="5"/>
        <v>49.86422108757979</v>
      </c>
      <c r="BD57" s="6">
        <f t="shared" si="10"/>
        <v>-48.15815246236219</v>
      </c>
      <c r="BE57" s="6">
        <f t="shared" si="6"/>
        <v>792.88</v>
      </c>
      <c r="BF57" s="6">
        <f t="shared" si="11"/>
        <v>98.02237354994199</v>
      </c>
    </row>
    <row r="58" spans="41:58" ht="13.5">
      <c r="AO58" s="6">
        <v>1</v>
      </c>
      <c r="AP58" s="6">
        <v>112.5145726819732</v>
      </c>
      <c r="AQ58" s="6">
        <v>-79.55981732572998</v>
      </c>
      <c r="AR58" s="6">
        <v>150.44018267426992</v>
      </c>
      <c r="AS58" s="6">
        <f t="shared" si="7"/>
        <v>0.7853981633974483</v>
      </c>
      <c r="AT58" s="6">
        <f t="shared" si="8"/>
        <v>45</v>
      </c>
      <c r="AU58" s="6">
        <f t="shared" si="0"/>
        <v>0.04702012861936904</v>
      </c>
      <c r="AV58" s="6">
        <f t="shared" si="1"/>
        <v>28.588238200576374</v>
      </c>
      <c r="AW58" s="6">
        <f t="shared" si="9"/>
        <v>0.9999999999999999</v>
      </c>
      <c r="AX58" s="6">
        <v>112.5145726819732</v>
      </c>
      <c r="AY58" s="6">
        <f t="shared" si="2"/>
        <v>25.909742898840992</v>
      </c>
      <c r="AZ58" s="6">
        <f t="shared" si="3"/>
        <v>79.55981732572994</v>
      </c>
      <c r="BA58" s="6">
        <f t="shared" si="4"/>
        <v>-12.081911534556648</v>
      </c>
      <c r="BC58" s="6">
        <f t="shared" si="5"/>
        <v>69.09264773024265</v>
      </c>
      <c r="BD58" s="6">
        <f t="shared" si="10"/>
        <v>-54.36860190550492</v>
      </c>
      <c r="BE58" s="6">
        <f t="shared" si="6"/>
        <v>720.7999999999998</v>
      </c>
      <c r="BF58" s="6">
        <f t="shared" si="11"/>
        <v>123.46124963574756</v>
      </c>
    </row>
    <row r="59" spans="41:58" ht="13.5">
      <c r="AO59" s="6">
        <v>0.9</v>
      </c>
      <c r="AP59" s="6">
        <v>104.59585016194448</v>
      </c>
      <c r="AQ59" s="6">
        <v>-77.745483147119</v>
      </c>
      <c r="AR59" s="6">
        <v>160.02906516759282</v>
      </c>
      <c r="AS59" s="6">
        <f t="shared" si="7"/>
        <v>0.7328151017865066</v>
      </c>
      <c r="AT59" s="6">
        <f t="shared" si="8"/>
        <v>41.987212495816664</v>
      </c>
      <c r="AU59" s="6">
        <f t="shared" si="0"/>
        <v>0.061264770132635975</v>
      </c>
      <c r="AV59" s="6">
        <f t="shared" si="1"/>
        <v>37.24898024064267</v>
      </c>
      <c r="AW59" s="6">
        <f t="shared" si="9"/>
        <v>0.8999999999999999</v>
      </c>
      <c r="AX59" s="6">
        <v>104.59585016194448</v>
      </c>
      <c r="AY59" s="6">
        <f t="shared" si="2"/>
        <v>34.53976646434907</v>
      </c>
      <c r="AZ59" s="6">
        <f t="shared" si="3"/>
        <v>77.74548314711906</v>
      </c>
      <c r="BA59" s="6">
        <f t="shared" si="4"/>
        <v>-13.94600521855687</v>
      </c>
      <c r="BC59" s="6">
        <f t="shared" si="5"/>
        <v>92.10604390493086</v>
      </c>
      <c r="BD59" s="6">
        <f t="shared" si="10"/>
        <v>-57.17862139608316</v>
      </c>
      <c r="BE59" s="6">
        <f t="shared" si="6"/>
        <v>648.7199999999999</v>
      </c>
      <c r="BF59" s="6">
        <f t="shared" si="11"/>
        <v>149.284665301014</v>
      </c>
    </row>
    <row r="60" spans="41:58" ht="13.5">
      <c r="AO60" s="6">
        <v>0.8</v>
      </c>
      <c r="AP60" s="6">
        <v>96.06627833581713</v>
      </c>
      <c r="AQ60" s="6">
        <v>-75.01516039171248</v>
      </c>
      <c r="AR60" s="6">
        <v>169.98787168663011</v>
      </c>
      <c r="AS60" s="6">
        <f t="shared" si="7"/>
        <v>0.6747409422235527</v>
      </c>
      <c r="AT60" s="6">
        <f t="shared" si="8"/>
        <v>38.659808254090095</v>
      </c>
      <c r="AU60" s="6">
        <f t="shared" si="0"/>
        <v>0.07752661453200688</v>
      </c>
      <c r="AV60" s="6">
        <f t="shared" si="1"/>
        <v>47.13618163546018</v>
      </c>
      <c r="AW60" s="6">
        <f t="shared" si="9"/>
        <v>0.8000000000000002</v>
      </c>
      <c r="AX60" s="6">
        <v>96.06627833581713</v>
      </c>
      <c r="AY60" s="6">
        <f t="shared" si="2"/>
        <v>44.658465784214634</v>
      </c>
      <c r="AZ60" s="6">
        <f t="shared" si="3"/>
        <v>75.0151603917123</v>
      </c>
      <c r="BA60" s="6">
        <f t="shared" si="4"/>
        <v>-15.081148927426733</v>
      </c>
      <c r="BC60" s="6">
        <f t="shared" si="5"/>
        <v>119.08924209123902</v>
      </c>
      <c r="BD60" s="6">
        <f t="shared" si="10"/>
        <v>-55.80025103147892</v>
      </c>
      <c r="BE60" s="6">
        <f t="shared" si="6"/>
        <v>576.6400000000001</v>
      </c>
      <c r="BF60" s="6">
        <f t="shared" si="11"/>
        <v>174.88949312271794</v>
      </c>
    </row>
    <row r="61" spans="41:58" ht="13.5">
      <c r="AO61" s="6">
        <v>0.7</v>
      </c>
      <c r="AP61" s="6">
        <v>86.85845421504345</v>
      </c>
      <c r="AQ61" s="6">
        <v>-71.15721825990518</v>
      </c>
      <c r="AR61" s="6">
        <v>180.18994721806632</v>
      </c>
      <c r="AS61" s="6">
        <f t="shared" si="7"/>
        <v>0.6107259643892086</v>
      </c>
      <c r="AT61" s="6">
        <f t="shared" si="8"/>
        <v>34.992020198558656</v>
      </c>
      <c r="AU61" s="6">
        <f t="shared" si="0"/>
        <v>0.09586912460711926</v>
      </c>
      <c r="AV61" s="6">
        <f t="shared" si="1"/>
        <v>58.28842776112851</v>
      </c>
      <c r="AW61" s="6">
        <f t="shared" si="9"/>
        <v>0.7</v>
      </c>
      <c r="AX61" s="6">
        <v>86.85845421504345</v>
      </c>
      <c r="AY61" s="6">
        <f t="shared" si="2"/>
        <v>56.30439830849549</v>
      </c>
      <c r="AZ61" s="6">
        <f t="shared" si="3"/>
        <v>71.15721825990519</v>
      </c>
      <c r="BA61" s="6">
        <f t="shared" si="4"/>
        <v>-15.078313631921382</v>
      </c>
      <c r="BC61" s="6">
        <f t="shared" si="5"/>
        <v>150.14506215598797</v>
      </c>
      <c r="BD61" s="6">
        <f t="shared" si="10"/>
        <v>-49.75843498534056</v>
      </c>
      <c r="BE61" s="6">
        <f t="shared" si="6"/>
        <v>504.55999999999995</v>
      </c>
      <c r="BF61" s="6">
        <f t="shared" si="11"/>
        <v>199.90349714132853</v>
      </c>
    </row>
    <row r="62" spans="41:58" ht="13.5">
      <c r="AO62" s="6">
        <v>0.6</v>
      </c>
      <c r="AP62" s="6">
        <v>76.89660337094891</v>
      </c>
      <c r="AQ62" s="6">
        <v>-65.93829340191206</v>
      </c>
      <c r="AR62" s="6">
        <v>190.4370239588527</v>
      </c>
      <c r="AS62" s="6">
        <f t="shared" si="7"/>
        <v>0.5404195002705842</v>
      </c>
      <c r="AT62" s="6">
        <f t="shared" si="8"/>
        <v>30.96375653207352</v>
      </c>
      <c r="AU62" s="6">
        <f t="shared" si="0"/>
        <v>0.11638304629944207</v>
      </c>
      <c r="AV62" s="6">
        <f t="shared" si="1"/>
        <v>70.76089215006078</v>
      </c>
      <c r="AW62" s="6">
        <f t="shared" si="9"/>
        <v>0.6</v>
      </c>
      <c r="AX62" s="6">
        <v>76.89660337094891</v>
      </c>
      <c r="AY62" s="6">
        <f t="shared" si="2"/>
        <v>69.46934217573286</v>
      </c>
      <c r="AZ62" s="6">
        <f t="shared" si="3"/>
        <v>65.93829340191208</v>
      </c>
      <c r="BA62" s="6">
        <f t="shared" si="4"/>
        <v>-13.457873366304105</v>
      </c>
      <c r="BC62" s="6">
        <f t="shared" si="5"/>
        <v>185.2515791352876</v>
      </c>
      <c r="BD62" s="6">
        <f t="shared" si="10"/>
        <v>-39.0278327622819</v>
      </c>
      <c r="BE62" s="6">
        <f t="shared" si="6"/>
        <v>432.47999999999996</v>
      </c>
      <c r="BF62" s="6">
        <f t="shared" si="11"/>
        <v>224.2794118975695</v>
      </c>
    </row>
    <row r="63" spans="41:58" ht="13.5">
      <c r="AO63" s="6">
        <v>0.5</v>
      </c>
      <c r="AP63" s="6">
        <v>66.107470668063</v>
      </c>
      <c r="AQ63" s="6">
        <v>-59.12831929374484</v>
      </c>
      <c r="AR63" s="6">
        <v>200.43584035312765</v>
      </c>
      <c r="AS63" s="6">
        <f t="shared" si="7"/>
        <v>0.4636476090008061</v>
      </c>
      <c r="AT63" s="6">
        <f t="shared" si="8"/>
        <v>26.56505117707799</v>
      </c>
      <c r="AU63" s="6">
        <f t="shared" si="0"/>
        <v>0.13920188335960954</v>
      </c>
      <c r="AV63" s="6">
        <f t="shared" si="1"/>
        <v>84.6347450826426</v>
      </c>
      <c r="AW63" s="6">
        <f t="shared" si="9"/>
        <v>0.49999999999999994</v>
      </c>
      <c r="AX63" s="6">
        <v>66.107470668063</v>
      </c>
      <c r="AY63" s="6">
        <f t="shared" si="2"/>
        <v>84.0797687582939</v>
      </c>
      <c r="AZ63" s="6">
        <f t="shared" si="3"/>
        <v>59.12831929374492</v>
      </c>
      <c r="BA63" s="6">
        <f t="shared" si="4"/>
        <v>-9.676391928591988</v>
      </c>
      <c r="BC63" s="6">
        <f t="shared" si="5"/>
        <v>224.2127166887837</v>
      </c>
      <c r="BD63" s="6">
        <f t="shared" si="10"/>
        <v>-24.19097982147997</v>
      </c>
      <c r="BE63" s="6">
        <f t="shared" si="6"/>
        <v>360.3999999999999</v>
      </c>
      <c r="BF63" s="6">
        <f t="shared" si="11"/>
        <v>248.40369651026367</v>
      </c>
    </row>
    <row r="64" spans="41:58" ht="13.5">
      <c r="AO64" s="6">
        <v>0.4</v>
      </c>
      <c r="AP64" s="6">
        <v>54.43933109437407</v>
      </c>
      <c r="AQ64" s="6">
        <v>-50.545649988511414</v>
      </c>
      <c r="AR64" s="6">
        <v>209.78174000459543</v>
      </c>
      <c r="AS64" s="6">
        <f t="shared" si="7"/>
        <v>0.3805063771123649</v>
      </c>
      <c r="AT64" s="6">
        <f t="shared" si="8"/>
        <v>21.80140948635181</v>
      </c>
      <c r="AU64" s="6">
        <f t="shared" si="0"/>
        <v>0.16451907886375</v>
      </c>
      <c r="AV64" s="6">
        <f t="shared" si="1"/>
        <v>100.02759994916</v>
      </c>
      <c r="AW64" s="6">
        <f t="shared" si="9"/>
        <v>0.4</v>
      </c>
      <c r="AX64" s="6">
        <v>54.43933109437407</v>
      </c>
      <c r="AY64" s="6">
        <f t="shared" si="2"/>
        <v>99.97816504422053</v>
      </c>
      <c r="AZ64" s="6">
        <f t="shared" si="3"/>
        <v>50.545649988511435</v>
      </c>
      <c r="BA64" s="6">
        <f t="shared" si="4"/>
        <v>-3.1444023247339787</v>
      </c>
      <c r="BC64" s="6">
        <f t="shared" si="5"/>
        <v>266.6084401179214</v>
      </c>
      <c r="BD64" s="6">
        <f t="shared" si="10"/>
        <v>-6.603244881941356</v>
      </c>
      <c r="BE64" s="6">
        <f t="shared" si="6"/>
        <v>288.32</v>
      </c>
      <c r="BF64" s="6">
        <f t="shared" si="11"/>
        <v>273.21168499986277</v>
      </c>
    </row>
    <row r="65" spans="41:58" ht="13.5">
      <c r="AO65" s="6">
        <v>0.3</v>
      </c>
      <c r="AP65" s="6">
        <v>41.88610013130877</v>
      </c>
      <c r="AQ65" s="6">
        <v>-40.119607691172696</v>
      </c>
      <c r="AR65" s="6">
        <v>217.9641176926482</v>
      </c>
      <c r="AS65" s="6">
        <f t="shared" si="7"/>
        <v>0.2914567944778671</v>
      </c>
      <c r="AT65" s="6">
        <f t="shared" si="8"/>
        <v>16.69924423399362</v>
      </c>
      <c r="AU65" s="6">
        <f t="shared" si="0"/>
        <v>0.19260314097276154</v>
      </c>
      <c r="AV65" s="6">
        <f t="shared" si="1"/>
        <v>117.10270971143902</v>
      </c>
      <c r="AW65" s="6">
        <f t="shared" si="9"/>
        <v>0.3</v>
      </c>
      <c r="AX65" s="6">
        <v>41.88610013130877</v>
      </c>
      <c r="AY65" s="6">
        <f t="shared" si="2"/>
        <v>116.9084430169755</v>
      </c>
      <c r="AZ65" s="6">
        <f t="shared" si="3"/>
        <v>40.11960769117267</v>
      </c>
      <c r="BA65" s="6">
        <f t="shared" si="4"/>
        <v>6.742445632568916</v>
      </c>
      <c r="BC65" s="6">
        <f t="shared" si="5"/>
        <v>311.75584804526795</v>
      </c>
      <c r="BD65" s="6">
        <f t="shared" si="10"/>
        <v>11.462157575367158</v>
      </c>
      <c r="BE65" s="6">
        <f t="shared" si="6"/>
        <v>216.23999999999998</v>
      </c>
      <c r="BF65" s="6">
        <f t="shared" si="11"/>
        <v>300.2936904699008</v>
      </c>
    </row>
    <row r="66" spans="41:58" ht="13.5">
      <c r="AO66" s="6">
        <v>0.2</v>
      </c>
      <c r="AP66" s="6">
        <v>28.512216548463293</v>
      </c>
      <c r="AQ66" s="6">
        <v>-27.958528568538032</v>
      </c>
      <c r="AR66" s="6">
        <v>224.4082942862924</v>
      </c>
      <c r="AS66" s="6">
        <f t="shared" si="7"/>
        <v>0.19739555984988078</v>
      </c>
      <c r="AT66" s="6">
        <f t="shared" si="8"/>
        <v>11.309932474020213</v>
      </c>
      <c r="AU66" s="6">
        <f t="shared" si="0"/>
        <v>0.22380486230484753</v>
      </c>
      <c r="AV66" s="6">
        <f t="shared" si="1"/>
        <v>136.0733562813473</v>
      </c>
      <c r="AW66" s="6">
        <f t="shared" si="9"/>
        <v>0.2</v>
      </c>
      <c r="AX66" s="6">
        <v>28.512216548463293</v>
      </c>
      <c r="AY66" s="6">
        <f t="shared" si="2"/>
        <v>134.51124689865142</v>
      </c>
      <c r="AZ66" s="6">
        <f t="shared" si="3"/>
        <v>27.95852856853797</v>
      </c>
      <c r="BA66" s="6">
        <f t="shared" si="4"/>
        <v>20.559249680873855</v>
      </c>
      <c r="BC66" s="6">
        <f t="shared" si="5"/>
        <v>358.6966583964038</v>
      </c>
      <c r="BD66" s="6">
        <f t="shared" si="10"/>
        <v>26.72702458513601</v>
      </c>
      <c r="BE66" s="6">
        <f t="shared" si="6"/>
        <v>144.16</v>
      </c>
      <c r="BF66" s="6">
        <f t="shared" si="11"/>
        <v>331.9696338112678</v>
      </c>
    </row>
    <row r="67" spans="41:58" ht="13.5">
      <c r="AO67" s="6">
        <v>0.1</v>
      </c>
      <c r="AP67" s="6">
        <v>14.46985924398712</v>
      </c>
      <c r="AQ67" s="6">
        <v>-14.398048084871</v>
      </c>
      <c r="AR67" s="6">
        <v>228.56019519151295</v>
      </c>
      <c r="AS67" s="6">
        <f t="shared" si="7"/>
        <v>0.09966865249116204</v>
      </c>
      <c r="AT67" s="6">
        <f t="shared" si="8"/>
        <v>5.710593137499643</v>
      </c>
      <c r="AU67" s="6">
        <f t="shared" si="0"/>
        <v>0.25855008890286646</v>
      </c>
      <c r="AV67" s="6">
        <f t="shared" si="1"/>
        <v>157.1984540529428</v>
      </c>
      <c r="AW67" s="6">
        <f t="shared" si="9"/>
        <v>0.1</v>
      </c>
      <c r="AX67" s="6">
        <v>14.46985924398712</v>
      </c>
      <c r="AY67" s="6">
        <f t="shared" si="2"/>
        <v>152.33495102101975</v>
      </c>
      <c r="AZ67" s="6">
        <f t="shared" si="3"/>
        <v>14.398048084870982</v>
      </c>
      <c r="BA67" s="6">
        <f t="shared" si="4"/>
        <v>38.799699149074364</v>
      </c>
      <c r="BC67" s="6">
        <f t="shared" si="5"/>
        <v>406.2265360560526</v>
      </c>
      <c r="BD67" s="6">
        <f t="shared" si="10"/>
        <v>34.91972923416693</v>
      </c>
      <c r="BE67" s="6">
        <f t="shared" si="6"/>
        <v>72.08</v>
      </c>
      <c r="BF67" s="6">
        <f t="shared" si="11"/>
        <v>371.3068068218857</v>
      </c>
    </row>
    <row r="68" spans="41:58" ht="13.5">
      <c r="AO68" s="6">
        <v>0</v>
      </c>
      <c r="AP68" s="6">
        <v>0</v>
      </c>
      <c r="AQ68" s="6">
        <v>0</v>
      </c>
      <c r="AR68" s="6">
        <v>235</v>
      </c>
      <c r="AS68" s="6">
        <f t="shared" si="7"/>
        <v>0</v>
      </c>
      <c r="AT68" s="6">
        <f t="shared" si="8"/>
        <v>0</v>
      </c>
      <c r="AU68" s="6">
        <f t="shared" si="0"/>
        <v>0.29731385720545095</v>
      </c>
      <c r="AV68" s="6">
        <f t="shared" si="1"/>
        <v>180.76682518091417</v>
      </c>
      <c r="AW68" s="6">
        <f t="shared" si="9"/>
        <v>0</v>
      </c>
      <c r="AX68" s="6">
        <v>0</v>
      </c>
      <c r="AY68" s="6">
        <f t="shared" si="2"/>
        <v>169.8652517054014</v>
      </c>
      <c r="AZ68" s="6">
        <f t="shared" si="3"/>
        <v>0</v>
      </c>
      <c r="BA68" s="6">
        <f t="shared" si="4"/>
        <v>61.825895456902366</v>
      </c>
      <c r="BC68" s="6">
        <f t="shared" si="5"/>
        <v>452.974004547737</v>
      </c>
      <c r="BD68" s="6">
        <f t="shared" si="10"/>
        <v>30.912947728451183</v>
      </c>
      <c r="BE68" s="6">
        <f t="shared" si="6"/>
        <v>0</v>
      </c>
      <c r="BF68" s="6">
        <f t="shared" si="11"/>
        <v>422.06105681928585</v>
      </c>
    </row>
    <row r="69" spans="45:48" ht="13.5">
      <c r="AS69" s="6">
        <f>0</f>
        <v>0</v>
      </c>
      <c r="AT69" s="6">
        <f t="shared" si="8"/>
        <v>0</v>
      </c>
      <c r="AU69" s="6">
        <f t="shared" si="0"/>
        <v>0.29731385720545095</v>
      </c>
      <c r="AV69" s="6">
        <f t="shared" si="1"/>
        <v>180.76682518091417</v>
      </c>
    </row>
    <row r="70" spans="45:48" ht="13.5">
      <c r="AS70" s="6">
        <f>AS69+0.05</f>
        <v>0.05</v>
      </c>
      <c r="AT70" s="6">
        <f t="shared" si="8"/>
        <v>2.864788975654116</v>
      </c>
      <c r="AU70" s="6">
        <f t="shared" si="0"/>
        <v>0.2773829698873786</v>
      </c>
      <c r="AV70" s="6">
        <f t="shared" si="1"/>
        <v>168.6488456915262</v>
      </c>
    </row>
    <row r="71" spans="45:48" ht="13.5">
      <c r="AS71" s="6">
        <f aca="true" t="shared" si="12" ref="AS71:AS89">AS70+0.05</f>
        <v>0.1</v>
      </c>
      <c r="AT71" s="6">
        <f t="shared" si="8"/>
        <v>5.729577951308232</v>
      </c>
      <c r="AU71" s="6">
        <f t="shared" si="0"/>
        <v>0.2584273766245328</v>
      </c>
      <c r="AV71" s="6">
        <f t="shared" si="1"/>
        <v>157.12384498771596</v>
      </c>
    </row>
    <row r="72" spans="45:48" ht="13.5">
      <c r="AS72" s="6">
        <f t="shared" si="12"/>
        <v>0.15000000000000002</v>
      </c>
      <c r="AT72" s="6">
        <f t="shared" si="8"/>
        <v>8.59436692696235</v>
      </c>
      <c r="AU72" s="6">
        <f t="shared" si="0"/>
        <v>0.2403116033142208</v>
      </c>
      <c r="AV72" s="6">
        <f t="shared" si="1"/>
        <v>146.10945481504623</v>
      </c>
    </row>
    <row r="73" spans="45:48" ht="13.5">
      <c r="AS73" s="6">
        <f t="shared" si="12"/>
        <v>0.2</v>
      </c>
      <c r="AT73" s="6">
        <f t="shared" si="8"/>
        <v>11.459155902616464</v>
      </c>
      <c r="AU73" s="6">
        <f t="shared" si="0"/>
        <v>0.22291463415909601</v>
      </c>
      <c r="AV73" s="6">
        <f t="shared" si="1"/>
        <v>135.53209756873036</v>
      </c>
    </row>
    <row r="74" spans="45:48" ht="13.5">
      <c r="AS74" s="6">
        <f t="shared" si="12"/>
        <v>0.25</v>
      </c>
      <c r="AT74" s="6">
        <f t="shared" si="8"/>
        <v>14.32394487827058</v>
      </c>
      <c r="AU74" s="6">
        <f t="shared" si="0"/>
        <v>0.2061281340563766</v>
      </c>
      <c r="AV74" s="6">
        <f t="shared" si="1"/>
        <v>125.32590550627697</v>
      </c>
    </row>
    <row r="75" spans="45:48" ht="13.5">
      <c r="AS75" s="6">
        <f t="shared" si="12"/>
        <v>0.3</v>
      </c>
      <c r="AT75" s="6">
        <f t="shared" si="8"/>
        <v>17.188733853924695</v>
      </c>
      <c r="AU75" s="6">
        <f t="shared" si="0"/>
        <v>0.18985520567622943</v>
      </c>
      <c r="AV75" s="6">
        <f t="shared" si="1"/>
        <v>115.4319650511475</v>
      </c>
    </row>
    <row r="76" spans="45:48" ht="13.5">
      <c r="AS76" s="6">
        <f t="shared" si="12"/>
        <v>0.35</v>
      </c>
      <c r="AT76" s="6">
        <f t="shared" si="8"/>
        <v>20.05352282957881</v>
      </c>
      <c r="AU76" s="6">
        <f t="shared" si="0"/>
        <v>0.17400968081574977</v>
      </c>
      <c r="AV76" s="6">
        <f t="shared" si="1"/>
        <v>105.79788593597586</v>
      </c>
    </row>
    <row r="77" spans="45:48" ht="13.5">
      <c r="AS77" s="6">
        <f t="shared" si="12"/>
        <v>0.39999999999999997</v>
      </c>
      <c r="AT77" s="6">
        <f t="shared" si="8"/>
        <v>22.91831180523293</v>
      </c>
      <c r="AU77" s="6">
        <f t="shared" si="0"/>
        <v>0.15851598962491587</v>
      </c>
      <c r="AV77" s="6">
        <f t="shared" si="1"/>
        <v>96.37772169194885</v>
      </c>
    </row>
    <row r="78" spans="1:48" ht="15">
      <c r="A78" s="6" t="s">
        <v>84</v>
      </c>
      <c r="C78" s="1"/>
      <c r="D78" s="37"/>
      <c r="E78" s="1"/>
      <c r="AS78" s="6">
        <f t="shared" si="12"/>
        <v>0.44999999999999996</v>
      </c>
      <c r="AT78" s="6">
        <f t="shared" si="8"/>
        <v>25.78310078088704</v>
      </c>
      <c r="AU78" s="6">
        <f t="shared" si="0"/>
        <v>0.14330970513251226</v>
      </c>
      <c r="AV78" s="6">
        <f t="shared" si="1"/>
        <v>87.13230072056746</v>
      </c>
    </row>
    <row r="79" spans="2:48" ht="15">
      <c r="B79" s="22" t="s">
        <v>67</v>
      </c>
      <c r="C79" s="23" t="s">
        <v>68</v>
      </c>
      <c r="D79" s="23" t="s">
        <v>69</v>
      </c>
      <c r="E79" s="23" t="s">
        <v>70</v>
      </c>
      <c r="F79" s="23" t="s">
        <v>71</v>
      </c>
      <c r="AS79" s="6">
        <f t="shared" si="12"/>
        <v>0.49999999999999994</v>
      </c>
      <c r="AT79" s="6">
        <f t="shared" si="8"/>
        <v>28.647889756541158</v>
      </c>
      <c r="AU79" s="6">
        <f t="shared" si="0"/>
        <v>0.128338931857346</v>
      </c>
      <c r="AV79" s="6">
        <f t="shared" si="1"/>
        <v>78.03007056926636</v>
      </c>
    </row>
    <row r="80" spans="2:48" ht="15">
      <c r="B80" s="24">
        <v>0</v>
      </c>
      <c r="C80" s="24">
        <v>0</v>
      </c>
      <c r="D80" s="25"/>
      <c r="E80" s="25"/>
      <c r="F80" s="25"/>
      <c r="AS80" s="6">
        <f t="shared" si="12"/>
        <v>0.5499999999999999</v>
      </c>
      <c r="AT80" s="6">
        <f t="shared" si="8"/>
        <v>31.512678732195273</v>
      </c>
      <c r="AU80" s="6">
        <f t="shared" si="0"/>
        <v>0.11356680753637886</v>
      </c>
      <c r="AV80" s="6">
        <f t="shared" si="1"/>
        <v>69.04861898211836</v>
      </c>
    </row>
    <row r="81" spans="2:48" ht="15">
      <c r="B81" s="26">
        <f>D6*D9</f>
        <v>4</v>
      </c>
      <c r="C81" s="26">
        <f>D6</f>
        <v>8</v>
      </c>
      <c r="D81" s="27"/>
      <c r="E81" s="27"/>
      <c r="F81" s="27"/>
      <c r="AS81" s="6">
        <f t="shared" si="12"/>
        <v>0.6</v>
      </c>
      <c r="AT81" s="6">
        <f t="shared" si="8"/>
        <v>34.37746770784939</v>
      </c>
      <c r="AU81" s="6">
        <f t="shared" si="0"/>
        <v>0.09897553375853457</v>
      </c>
      <c r="AV81" s="6">
        <f t="shared" si="1"/>
        <v>60.17712452518902</v>
      </c>
    </row>
    <row r="82" spans="2:48" ht="15">
      <c r="B82" s="26">
        <f>B81+D7</f>
        <v>5</v>
      </c>
      <c r="C82" s="26">
        <f>C81</f>
        <v>8</v>
      </c>
      <c r="D82" s="27"/>
      <c r="E82" s="27"/>
      <c r="F82" s="27"/>
      <c r="AS82" s="6">
        <f t="shared" si="12"/>
        <v>0.65</v>
      </c>
      <c r="AT82" s="6">
        <f t="shared" si="8"/>
        <v>37.24225668350351</v>
      </c>
      <c r="AU82" s="6">
        <f t="shared" si="0"/>
        <v>0.0845725728652192</v>
      </c>
      <c r="AV82" s="6">
        <f t="shared" si="1"/>
        <v>51.420124302053274</v>
      </c>
    </row>
    <row r="83" spans="2:48" ht="15">
      <c r="B83" s="26">
        <f>D7</f>
        <v>1</v>
      </c>
      <c r="C83" s="26">
        <v>0</v>
      </c>
      <c r="D83" s="27"/>
      <c r="E83" s="27"/>
      <c r="F83" s="27"/>
      <c r="AS83" s="6">
        <f t="shared" si="12"/>
        <v>0.7000000000000001</v>
      </c>
      <c r="AT83" s="6">
        <f t="shared" si="8"/>
        <v>40.10704565915763</v>
      </c>
      <c r="AU83" s="6">
        <f t="shared" si="0"/>
        <v>0.0703999916349721</v>
      </c>
      <c r="AV83" s="6">
        <f t="shared" si="1"/>
        <v>42.803194914063035</v>
      </c>
    </row>
    <row r="84" spans="2:48" ht="15">
      <c r="B84" s="26">
        <v>0</v>
      </c>
      <c r="C84" s="26">
        <v>0</v>
      </c>
      <c r="D84" s="27"/>
      <c r="E84" s="27"/>
      <c r="F84" s="27"/>
      <c r="AS84" s="6">
        <f t="shared" si="12"/>
        <v>0.7500000000000001</v>
      </c>
      <c r="AT84" s="6">
        <f t="shared" si="8"/>
        <v>42.97183463481175</v>
      </c>
      <c r="AU84" s="6">
        <f t="shared" si="0"/>
        <v>0.056548476342557566</v>
      </c>
      <c r="AV84" s="6">
        <f t="shared" si="1"/>
        <v>34.381473616275</v>
      </c>
    </row>
    <row r="85" spans="2:48" ht="15">
      <c r="B85" s="27">
        <v>0</v>
      </c>
      <c r="C85" s="27"/>
      <c r="D85" s="27">
        <v>0</v>
      </c>
      <c r="E85" s="27"/>
      <c r="F85" s="27"/>
      <c r="AS85" s="6">
        <f>AS84+0.05</f>
        <v>0.8000000000000002</v>
      </c>
      <c r="AT85" s="6">
        <f t="shared" si="8"/>
        <v>45.83662361046587</v>
      </c>
      <c r="AU85" s="6">
        <f t="shared" si="0"/>
        <v>0.04317842697805371</v>
      </c>
      <c r="AV85" s="6">
        <f t="shared" si="1"/>
        <v>26.252483602656657</v>
      </c>
    </row>
    <row r="86" spans="2:48" ht="15">
      <c r="B86" s="27">
        <v>0</v>
      </c>
      <c r="C86" s="27"/>
      <c r="D86" s="27">
        <f>-D32/L11</f>
        <v>-3.22505111207653</v>
      </c>
      <c r="E86" s="27"/>
      <c r="F86" s="27"/>
      <c r="AS86" s="6">
        <f t="shared" si="12"/>
        <v>0.8500000000000002</v>
      </c>
      <c r="AT86" s="6">
        <f t="shared" si="8"/>
        <v>48.701412586119986</v>
      </c>
      <c r="AU86" s="6">
        <f t="shared" si="0"/>
        <v>0.03055200848408636</v>
      </c>
      <c r="AV86" s="6">
        <f t="shared" si="1"/>
        <v>18.575621158324505</v>
      </c>
    </row>
    <row r="87" spans="2:48" ht="15">
      <c r="B87" s="27">
        <f>D7</f>
        <v>1</v>
      </c>
      <c r="C87" s="27"/>
      <c r="D87" s="27">
        <f>-D33/L11</f>
        <v>-3.564663979677755</v>
      </c>
      <c r="E87" s="27"/>
      <c r="F87" s="27"/>
      <c r="AS87" s="6">
        <f t="shared" si="12"/>
        <v>0.9000000000000002</v>
      </c>
      <c r="AT87" s="6">
        <f t="shared" si="8"/>
        <v>51.56620156177411</v>
      </c>
      <c r="AU87" s="6">
        <f t="shared" si="0"/>
        <v>0.019082552188305638</v>
      </c>
      <c r="AV87" s="6">
        <f t="shared" si="1"/>
        <v>11.602191730489828</v>
      </c>
    </row>
    <row r="88" spans="2:48" ht="15">
      <c r="B88" s="27">
        <f>D7</f>
        <v>1</v>
      </c>
      <c r="C88" s="27"/>
      <c r="D88" s="27">
        <f>0</f>
        <v>0</v>
      </c>
      <c r="E88" s="27"/>
      <c r="F88" s="27"/>
      <c r="AS88" s="6">
        <f t="shared" si="12"/>
        <v>0.9500000000000003</v>
      </c>
      <c r="AT88" s="6">
        <f t="shared" si="8"/>
        <v>54.43099053742822</v>
      </c>
      <c r="AU88" s="6">
        <f t="shared" si="0"/>
        <v>0.009412139704090257</v>
      </c>
      <c r="AV88" s="6">
        <f t="shared" si="1"/>
        <v>5.722580940086876</v>
      </c>
    </row>
    <row r="89" spans="2:48" ht="15">
      <c r="B89" s="26">
        <f>D7+D9*D6</f>
        <v>5</v>
      </c>
      <c r="C89" s="27"/>
      <c r="D89" s="27"/>
      <c r="E89" s="26">
        <f>D6</f>
        <v>8</v>
      </c>
      <c r="F89" s="27"/>
      <c r="AS89" s="6">
        <f t="shared" si="12"/>
        <v>1.0000000000000002</v>
      </c>
      <c r="AT89" s="6">
        <f t="shared" si="8"/>
        <v>57.29577951308233</v>
      </c>
      <c r="AU89" s="6">
        <f t="shared" si="0"/>
        <v>0.0025363170925571613</v>
      </c>
      <c r="AV89" s="6">
        <f t="shared" si="1"/>
        <v>1.5420807922747541</v>
      </c>
    </row>
    <row r="90" spans="2:48" ht="15">
      <c r="B90" s="27">
        <f>B89+D39/L11*C23</f>
        <v>5.1929924815397275</v>
      </c>
      <c r="C90" s="27"/>
      <c r="D90" s="27"/>
      <c r="E90" s="27">
        <f>D6-D39/L11*C22</f>
        <v>7.903503759230136</v>
      </c>
      <c r="F90" s="27"/>
      <c r="AS90" s="6">
        <f>AT90*PI()/180</f>
        <v>1.0471975511965976</v>
      </c>
      <c r="AT90" s="6">
        <v>60</v>
      </c>
      <c r="AU90" s="6">
        <f t="shared" si="0"/>
        <v>4.8985040947939265E-33</v>
      </c>
      <c r="AV90" s="6">
        <f t="shared" si="1"/>
        <v>2.9782904896347073E-30</v>
      </c>
    </row>
    <row r="91" spans="2:6" ht="15">
      <c r="B91" s="27">
        <f>D7+D20*C22+D38*C23</f>
        <v>3.0666245718918512</v>
      </c>
      <c r="C91" s="27"/>
      <c r="D91" s="27"/>
      <c r="E91" s="27">
        <f>D20*C23-D38*C22</f>
        <v>4.1224779415493815</v>
      </c>
      <c r="F91" s="27"/>
    </row>
    <row r="92" spans="2:6" ht="15">
      <c r="B92" s="27">
        <f>D7+D20*SIN(D15)</f>
        <v>3.062316090998123</v>
      </c>
      <c r="C92" s="27"/>
      <c r="D92" s="27"/>
      <c r="E92" s="27">
        <f>D20*C23</f>
        <v>4.124632181996246</v>
      </c>
      <c r="F92" s="27"/>
    </row>
    <row r="93" spans="2:6" ht="15">
      <c r="B93" s="26">
        <f>B82</f>
        <v>5</v>
      </c>
      <c r="C93" s="27"/>
      <c r="D93" s="27"/>
      <c r="E93" s="27"/>
      <c r="F93" s="26">
        <f>D6</f>
        <v>8</v>
      </c>
    </row>
    <row r="94" spans="2:6" ht="15">
      <c r="B94" s="28">
        <f>B93+D6/2</f>
        <v>9</v>
      </c>
      <c r="C94" s="29"/>
      <c r="D94" s="29"/>
      <c r="E94" s="29"/>
      <c r="F94" s="28">
        <f>D6</f>
        <v>8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2004-06-09T06:07:15Z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