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360" windowHeight="12540" tabRatio="601" activeTab="0"/>
  </bookViews>
  <sheets>
    <sheet name="極限平衡法" sheetId="1" r:id="rId1"/>
    <sheet name="Sheet4" sheetId="2" r:id="rId2"/>
  </sheets>
  <definedNames>
    <definedName name="B">'極限平衡法'!$D$3</definedName>
    <definedName name="Bd">'極限平衡法'!$D$4</definedName>
    <definedName name="cosθ">'極限平衡法'!$D$15</definedName>
    <definedName name="cosφ">'極限平衡法'!$G$20</definedName>
    <definedName name="cosω">'極限平衡法'!$G$19</definedName>
    <definedName name="cu">'極限平衡法'!$D$10</definedName>
    <definedName name="Nc">'極限平衡法'!$D$26</definedName>
    <definedName name="NG">'極限平衡法'!$D$28</definedName>
    <definedName name="Nq">'極限平衡法'!$D$25</definedName>
    <definedName name="Nγ">'極限平衡法'!$D$27</definedName>
    <definedName name="q">'極限平衡法'!$D$11</definedName>
    <definedName name="qd">'極限平衡法'!$D$32</definedName>
    <definedName name="rA">'極限平衡法'!#REF!</definedName>
    <definedName name="rP">'極限平衡法'!#REF!</definedName>
    <definedName name="Sc">'極限平衡法'!$D$29</definedName>
    <definedName name="sencount" hidden="1">1</definedName>
    <definedName name="sinφ">'極限平衡法'!$D$20</definedName>
    <definedName name="sinω">'極限平衡法'!$D$19</definedName>
    <definedName name="solver_adj" localSheetId="0" hidden="1">'極限平衡法'!$D$16</definedName>
    <definedName name="solver_cvg" localSheetId="0" hidden="1">0.001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'極限平衡法'!$D$16</definedName>
    <definedName name="solver_lhs2" localSheetId="0" hidden="1">'極限平衡法'!$D$16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'極限平衡法'!$D$32</definedName>
    <definedName name="solver_pre" localSheetId="0" hidden="1">0.000001</definedName>
    <definedName name="solver_rel1" localSheetId="0" hidden="1">3</definedName>
    <definedName name="solver_rel2" localSheetId="0" hidden="1">3</definedName>
    <definedName name="solver_rhs1" localSheetId="0" hidden="1">'極限平衡法'!#REF!</definedName>
    <definedName name="solver_rhs2" localSheetId="0" hidden="1">'極限平衡法'!#REF!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  <definedName name="Sq">'極限平衡法'!$D$30</definedName>
    <definedName name="Sγ">'極限平衡法'!$D$31</definedName>
    <definedName name="tanθ">'極限平衡法'!$D$14</definedName>
    <definedName name="tanφ">'極限平衡法'!$D$21</definedName>
    <definedName name="X">'極限平衡法'!$G$38</definedName>
    <definedName name="α">'極限平衡法'!$F$17</definedName>
    <definedName name="γ">'極限平衡法'!$D$8</definedName>
    <definedName name="ε">'極限平衡法'!$F$5</definedName>
    <definedName name="θ">'極限平衡法'!$F$13</definedName>
    <definedName name="κ">'極限平衡法'!$D$24</definedName>
    <definedName name="φ">'極限平衡法'!$F$9</definedName>
    <definedName name="ω">'極限平衡法'!$F$16</definedName>
    <definedName name="ωp">'極限平衡法'!$F$18</definedName>
  </definedNames>
  <calcPr fullCalcOnLoad="1"/>
</workbook>
</file>

<file path=xl/sharedStrings.xml><?xml version="1.0" encoding="utf-8"?>
<sst xmlns="http://schemas.openxmlformats.org/spreadsheetml/2006/main" count="92" uniqueCount="81">
  <si>
    <t>B=</t>
  </si>
  <si>
    <t>m</t>
  </si>
  <si>
    <t>作用荷重</t>
  </si>
  <si>
    <t>V=</t>
  </si>
  <si>
    <t>H=</t>
  </si>
  <si>
    <t>kN/m</t>
  </si>
  <si>
    <t>支持地盤</t>
  </si>
  <si>
    <t>γ=</t>
  </si>
  <si>
    <t>φ=</t>
  </si>
  <si>
    <t>q=</t>
  </si>
  <si>
    <t>kN/m3</t>
  </si>
  <si>
    <t>度</t>
  </si>
  <si>
    <t>kN/m2</t>
  </si>
  <si>
    <t>rad</t>
  </si>
  <si>
    <t>tanθ=</t>
  </si>
  <si>
    <t>ω=</t>
  </si>
  <si>
    <t>度</t>
  </si>
  <si>
    <t>sinφ=</t>
  </si>
  <si>
    <t>cosφ=</t>
  </si>
  <si>
    <t>cos(ω-φ)=</t>
  </si>
  <si>
    <t>tanφ=</t>
  </si>
  <si>
    <t>α=</t>
  </si>
  <si>
    <t>exp(2αtanφ)=</t>
  </si>
  <si>
    <t>exp(3αtanφ)=</t>
  </si>
  <si>
    <t>qd=</t>
  </si>
  <si>
    <t>Qu=</t>
  </si>
  <si>
    <t>θ=</t>
  </si>
  <si>
    <t>ωp=</t>
  </si>
  <si>
    <t>Nq=</t>
  </si>
  <si>
    <t>Nc=</t>
  </si>
  <si>
    <t>Nγ=</t>
  </si>
  <si>
    <t>NG=</t>
  </si>
  <si>
    <t>rad</t>
  </si>
  <si>
    <t>cosθ=</t>
  </si>
  <si>
    <t>sinω=</t>
  </si>
  <si>
    <t>cosω=</t>
  </si>
  <si>
    <t>すべり角</t>
  </si>
  <si>
    <t>主働場</t>
  </si>
  <si>
    <t>遷移場</t>
  </si>
  <si>
    <t>受働場</t>
  </si>
  <si>
    <t>荷重傾斜</t>
  </si>
  <si>
    <t>傾斜角</t>
  </si>
  <si>
    <t>支持力係数</t>
  </si>
  <si>
    <t>極限支持力度</t>
  </si>
  <si>
    <t>極限支持力</t>
  </si>
  <si>
    <t>粘着力</t>
  </si>
  <si>
    <t>m</t>
  </si>
  <si>
    <t>exp(αtanφ)=</t>
  </si>
  <si>
    <t>■入力データ</t>
  </si>
  <si>
    <t>上載荷重</t>
  </si>
  <si>
    <t>鉛直力</t>
  </si>
  <si>
    <t>水平力</t>
  </si>
  <si>
    <t>単位重量</t>
  </si>
  <si>
    <t>内部摩擦角</t>
  </si>
  <si>
    <t>■計算結果</t>
  </si>
  <si>
    <t>補正係数</t>
  </si>
  <si>
    <t>Sc=</t>
  </si>
  <si>
    <t>Sq=</t>
  </si>
  <si>
    <t>Sγ=</t>
  </si>
  <si>
    <t>許容支持力</t>
  </si>
  <si>
    <t>Qa=</t>
  </si>
  <si>
    <t>基礎幅</t>
  </si>
  <si>
    <t>cu=</t>
  </si>
  <si>
    <t>照査</t>
  </si>
  <si>
    <t>rad</t>
  </si>
  <si>
    <t>仮想基礎幅</t>
  </si>
  <si>
    <t>傾斜角</t>
  </si>
  <si>
    <t>基礎</t>
  </si>
  <si>
    <t>B'=</t>
  </si>
  <si>
    <t>ε=</t>
  </si>
  <si>
    <t>度</t>
  </si>
  <si>
    <t>仮想基礎幅</t>
  </si>
  <si>
    <t>B'=</t>
  </si>
  <si>
    <t>m</t>
  </si>
  <si>
    <t>誤差</t>
  </si>
  <si>
    <t>ΔB=</t>
  </si>
  <si>
    <t>m</t>
  </si>
  <si>
    <t>低減率</t>
  </si>
  <si>
    <t>κ=</t>
  </si>
  <si>
    <t>上載荷重</t>
  </si>
  <si>
    <t>極限平衡法による底面が傾斜した基礎の支持力計算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</si>
</sst>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1"/>
      <name val="Times New Roman"/>
      <family val="1"/>
    </font>
    <font>
      <sz val="11"/>
      <name val="ＭＳ Ｐ明朝"/>
      <family val="1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 horizontal="right" vertical="center"/>
    </xf>
    <xf numFmtId="0" fontId="0" fillId="0" borderId="0" xfId="0" applyAlignment="1" quotePrefix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39</xdr:row>
      <xdr:rowOff>0</xdr:rowOff>
    </xdr:from>
    <xdr:to>
      <xdr:col>8</xdr:col>
      <xdr:colOff>0</xdr:colOff>
      <xdr:row>39</xdr:row>
      <xdr:rowOff>0</xdr:rowOff>
    </xdr:to>
    <xdr:sp>
      <xdr:nvSpPr>
        <xdr:cNvPr id="1" name="AutoShape 20"/>
        <xdr:cNvSpPr>
          <a:spLocks/>
        </xdr:cNvSpPr>
      </xdr:nvSpPr>
      <xdr:spPr>
        <a:xfrm>
          <a:off x="5591175" y="74295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8</xdr:col>
      <xdr:colOff>0</xdr:colOff>
      <xdr:row>39</xdr:row>
      <xdr:rowOff>0</xdr:rowOff>
    </xdr:from>
    <xdr:ext cx="76200" cy="209550"/>
    <xdr:sp>
      <xdr:nvSpPr>
        <xdr:cNvPr id="2" name="TextBox 21"/>
        <xdr:cNvSpPr txBox="1">
          <a:spLocks noChangeArrowheads="1"/>
        </xdr:cNvSpPr>
      </xdr:nvSpPr>
      <xdr:spPr>
        <a:xfrm>
          <a:off x="5591175" y="7429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tabSelected="1" zoomScale="102" zoomScaleNormal="102" workbookViewId="0" topLeftCell="A1">
      <selection activeCell="K5" sqref="K5"/>
    </sheetView>
  </sheetViews>
  <sheetFormatPr defaultColWidth="9.00390625" defaultRowHeight="13.5"/>
  <cols>
    <col min="2" max="2" width="10.375" style="0" customWidth="1"/>
    <col min="4" max="4" width="9.00390625" style="1" customWidth="1"/>
  </cols>
  <sheetData>
    <row r="1" spans="1:13" ht="15">
      <c r="A1" s="7" t="s">
        <v>80</v>
      </c>
      <c r="J1" s="4"/>
      <c r="K1" s="3"/>
      <c r="L1" s="3"/>
      <c r="M1" s="3"/>
    </row>
    <row r="2" spans="1:16" ht="15">
      <c r="A2" t="s">
        <v>48</v>
      </c>
      <c r="D2" s="6"/>
      <c r="P2" s="3"/>
    </row>
    <row r="3" spans="1:16" ht="15">
      <c r="A3" s="1" t="s">
        <v>67</v>
      </c>
      <c r="B3" t="s">
        <v>61</v>
      </c>
      <c r="C3" s="2" t="s">
        <v>0</v>
      </c>
      <c r="D3" s="6">
        <v>3</v>
      </c>
      <c r="E3" t="s">
        <v>1</v>
      </c>
      <c r="P3" s="3"/>
    </row>
    <row r="4" spans="1:16" ht="15">
      <c r="A4" s="1"/>
      <c r="B4" t="s">
        <v>65</v>
      </c>
      <c r="C4" s="2" t="s">
        <v>68</v>
      </c>
      <c r="D4" s="6">
        <v>4.05</v>
      </c>
      <c r="E4" t="s">
        <v>46</v>
      </c>
      <c r="P4" s="3"/>
    </row>
    <row r="5" spans="1:16" ht="15">
      <c r="A5" s="1"/>
      <c r="B5" t="s">
        <v>66</v>
      </c>
      <c r="C5" s="2" t="s">
        <v>69</v>
      </c>
      <c r="D5" s="6">
        <v>15</v>
      </c>
      <c r="E5" t="s">
        <v>70</v>
      </c>
      <c r="F5">
        <f>MAX(D5*PI()/180,0.00001)</f>
        <v>0.2617993877991494</v>
      </c>
      <c r="G5" t="s">
        <v>64</v>
      </c>
      <c r="P5" s="3"/>
    </row>
    <row r="6" spans="1:16" ht="15">
      <c r="A6" s="1" t="s">
        <v>2</v>
      </c>
      <c r="B6" t="s">
        <v>50</v>
      </c>
      <c r="C6" s="2" t="s">
        <v>3</v>
      </c>
      <c r="D6" s="6">
        <v>1000</v>
      </c>
      <c r="E6" t="s">
        <v>5</v>
      </c>
      <c r="P6" s="3"/>
    </row>
    <row r="7" spans="1:16" ht="15">
      <c r="A7" s="1"/>
      <c r="B7" t="s">
        <v>51</v>
      </c>
      <c r="C7" s="2" t="s">
        <v>4</v>
      </c>
      <c r="D7" s="6">
        <v>300</v>
      </c>
      <c r="E7" t="s">
        <v>5</v>
      </c>
      <c r="P7" s="3"/>
    </row>
    <row r="8" spans="1:16" ht="15">
      <c r="A8" s="1" t="s">
        <v>6</v>
      </c>
      <c r="B8" t="s">
        <v>52</v>
      </c>
      <c r="C8" s="2" t="s">
        <v>7</v>
      </c>
      <c r="D8" s="6">
        <v>20</v>
      </c>
      <c r="E8" t="s">
        <v>10</v>
      </c>
      <c r="P8" s="3"/>
    </row>
    <row r="9" spans="1:16" ht="15">
      <c r="A9" s="1"/>
      <c r="B9" t="s">
        <v>53</v>
      </c>
      <c r="C9" s="2" t="s">
        <v>8</v>
      </c>
      <c r="D9" s="6">
        <v>40</v>
      </c>
      <c r="E9" t="s">
        <v>11</v>
      </c>
      <c r="F9">
        <f>MAX(D9*PI()/180,0.00001)</f>
        <v>0.6981317007977318</v>
      </c>
      <c r="G9" t="s">
        <v>13</v>
      </c>
      <c r="P9" s="3"/>
    </row>
    <row r="10" spans="1:16" ht="15">
      <c r="A10" s="1"/>
      <c r="B10" t="s">
        <v>45</v>
      </c>
      <c r="C10" s="2" t="s">
        <v>62</v>
      </c>
      <c r="D10" s="6">
        <v>20</v>
      </c>
      <c r="E10" t="s">
        <v>12</v>
      </c>
      <c r="P10" s="3"/>
    </row>
    <row r="11" spans="1:16" ht="15">
      <c r="A11" s="1" t="s">
        <v>49</v>
      </c>
      <c r="B11" t="s">
        <v>79</v>
      </c>
      <c r="C11" s="2" t="s">
        <v>9</v>
      </c>
      <c r="D11" s="6">
        <v>20</v>
      </c>
      <c r="E11" t="s">
        <v>12</v>
      </c>
      <c r="P11" s="3"/>
    </row>
    <row r="12" spans="1:16" ht="15">
      <c r="A12" s="1" t="s">
        <v>54</v>
      </c>
      <c r="C12" s="1"/>
      <c r="D12" s="6"/>
      <c r="P12" s="3"/>
    </row>
    <row r="13" spans="1:16" ht="15">
      <c r="A13" t="s">
        <v>40</v>
      </c>
      <c r="B13" s="1" t="s">
        <v>41</v>
      </c>
      <c r="C13" s="4" t="s">
        <v>26</v>
      </c>
      <c r="D13" s="6">
        <f>θ*180/PI()</f>
        <v>16.69924423399362</v>
      </c>
      <c r="E13" t="s">
        <v>16</v>
      </c>
      <c r="F13" s="3">
        <f>ATAN(tanθ)</f>
        <v>0.2914567944778671</v>
      </c>
      <c r="G13" t="s">
        <v>32</v>
      </c>
      <c r="P13" s="3"/>
    </row>
    <row r="14" spans="3:16" ht="15">
      <c r="C14" s="2" t="s">
        <v>14</v>
      </c>
      <c r="D14" s="6">
        <f>D7/D6</f>
        <v>0.3</v>
      </c>
      <c r="P14" s="3"/>
    </row>
    <row r="15" spans="2:16" ht="15">
      <c r="B15" s="1"/>
      <c r="C15" s="2" t="s">
        <v>33</v>
      </c>
      <c r="D15" s="6">
        <f>COS(θ)</f>
        <v>0.9578262852211514</v>
      </c>
      <c r="P15" s="3"/>
    </row>
    <row r="16" spans="1:16" ht="15">
      <c r="A16" t="s">
        <v>36</v>
      </c>
      <c r="B16" s="1" t="s">
        <v>37</v>
      </c>
      <c r="C16" s="2" t="s">
        <v>15</v>
      </c>
      <c r="D16" s="6">
        <v>92.59798784060546</v>
      </c>
      <c r="E16" t="s">
        <v>16</v>
      </c>
      <c r="F16">
        <f>D16*PI()/180</f>
        <v>1.6161397685402394</v>
      </c>
      <c r="G16" t="s">
        <v>13</v>
      </c>
      <c r="P16" s="3"/>
    </row>
    <row r="17" spans="2:16" ht="15">
      <c r="B17" s="1" t="s">
        <v>38</v>
      </c>
      <c r="C17" s="2" t="s">
        <v>21</v>
      </c>
      <c r="D17" s="1">
        <f>F17*180/PI()</f>
        <v>62.402012159394545</v>
      </c>
      <c r="E17" t="s">
        <v>16</v>
      </c>
      <c r="F17">
        <f>3*PI()/4+φ/2-ω</f>
        <v>1.0891205720509713</v>
      </c>
      <c r="G17" t="s">
        <v>13</v>
      </c>
      <c r="P17" s="3"/>
    </row>
    <row r="18" spans="2:16" ht="15">
      <c r="B18" s="1" t="s">
        <v>39</v>
      </c>
      <c r="C18" s="2" t="s">
        <v>27</v>
      </c>
      <c r="D18" s="1">
        <f>ωp*180/PI()</f>
        <v>25</v>
      </c>
      <c r="E18" t="s">
        <v>16</v>
      </c>
      <c r="F18">
        <f>PI()/4-φ/2</f>
        <v>0.4363323129985824</v>
      </c>
      <c r="G18" t="s">
        <v>13</v>
      </c>
      <c r="P18" s="3"/>
    </row>
    <row r="19" spans="3:16" ht="15">
      <c r="C19" s="2" t="s">
        <v>34</v>
      </c>
      <c r="D19" s="1">
        <f>SIN(ω)</f>
        <v>0.9989721622686868</v>
      </c>
      <c r="F19" s="2" t="s">
        <v>35</v>
      </c>
      <c r="G19">
        <f>COS(ω)</f>
        <v>-0.0453279054471378</v>
      </c>
      <c r="P19" s="3"/>
    </row>
    <row r="20" spans="3:16" ht="15">
      <c r="C20" s="2" t="s">
        <v>17</v>
      </c>
      <c r="D20" s="1">
        <f>SIN(φ)</f>
        <v>0.6427876096865393</v>
      </c>
      <c r="F20" s="2" t="s">
        <v>18</v>
      </c>
      <c r="G20">
        <f>COS(φ)</f>
        <v>0.766044443118978</v>
      </c>
      <c r="P20" s="3"/>
    </row>
    <row r="21" spans="3:16" ht="15">
      <c r="C21" s="2" t="s">
        <v>20</v>
      </c>
      <c r="D21" s="1">
        <f>TAN(φ)</f>
        <v>0.8390996311772799</v>
      </c>
      <c r="F21" s="2" t="s">
        <v>19</v>
      </c>
      <c r="G21">
        <f>COS(ω-φ)</f>
        <v>0.6074037382420804</v>
      </c>
      <c r="P21" s="3"/>
    </row>
    <row r="22" spans="3:16" ht="15">
      <c r="C22" s="2" t="s">
        <v>47</v>
      </c>
      <c r="D22" s="1">
        <f>EXP(α*tanφ)</f>
        <v>2.4939821007701686</v>
      </c>
      <c r="F22" s="2" t="s">
        <v>22</v>
      </c>
      <c r="G22">
        <f>EXP(2*α*tanφ)</f>
        <v>6.219946718961982</v>
      </c>
      <c r="P22" s="3"/>
    </row>
    <row r="23" spans="3:16" ht="15">
      <c r="C23" s="2" t="s">
        <v>23</v>
      </c>
      <c r="D23" s="1">
        <f>EXP(3*α*tanφ)</f>
        <v>15.512435784835317</v>
      </c>
      <c r="P23" s="3"/>
    </row>
    <row r="24" spans="1:16" ht="15">
      <c r="A24" t="s">
        <v>77</v>
      </c>
      <c r="C24" s="2" t="s">
        <v>78</v>
      </c>
      <c r="D24" s="1">
        <f>1-SIN(ε)*cosφ/sinω/COS(ω-φ-ε)</f>
        <v>0.7495038318331724</v>
      </c>
      <c r="P24" s="3"/>
    </row>
    <row r="25" spans="1:16" ht="15">
      <c r="A25" t="s">
        <v>42</v>
      </c>
      <c r="C25" s="2" t="s">
        <v>28</v>
      </c>
      <c r="D25" s="1">
        <f>G21*COS(θ)/(TAN(ωp)*COS(ω-θ))*G22</f>
        <v>31.851975245284677</v>
      </c>
      <c r="P25" s="3"/>
    </row>
    <row r="26" spans="3:16" ht="15">
      <c r="C26" s="2" t="s">
        <v>29</v>
      </c>
      <c r="D26" s="1">
        <f>cosθ/COS(ω-θ)*(G21/sinφ*(G22-1)+G21*G22+κ*sinω)</f>
        <v>37.1882948705803</v>
      </c>
      <c r="P26" s="3"/>
    </row>
    <row r="27" spans="3:16" ht="15">
      <c r="C27" s="2" t="s">
        <v>30</v>
      </c>
      <c r="D27" s="1">
        <f>G21^2/(cosφ*(cosω+tanθ*sinω))*(COS(ωp)*D23+NG/cosφ-κ*sinω*cosω/G21)</f>
        <v>36.73764519208135</v>
      </c>
      <c r="P27" s="3"/>
    </row>
    <row r="28" spans="3:16" ht="15">
      <c r="C28" s="2" t="s">
        <v>31</v>
      </c>
      <c r="D28" s="5">
        <f>(sinω+3*tanφ*cosω-(SIN(α+ω)+3*tanφ*COS(α+ω))*D23)/(9*tanφ^2+1)</f>
        <v>4.050793847384271</v>
      </c>
      <c r="F28" s="2"/>
      <c r="G28" s="5"/>
      <c r="P28" s="3"/>
    </row>
    <row r="29" spans="1:16" ht="15">
      <c r="A29" t="s">
        <v>55</v>
      </c>
      <c r="C29" s="2" t="s">
        <v>56</v>
      </c>
      <c r="D29" s="1">
        <f>MAX(IF(cu&lt;1,1,(cu/10)^(-1/3)),0.464)</f>
        <v>0.7937005259840997</v>
      </c>
      <c r="P29" s="3"/>
    </row>
    <row r="30" spans="3:16" ht="15">
      <c r="C30" s="2" t="s">
        <v>57</v>
      </c>
      <c r="D30" s="1">
        <f>MAX(IF(q&lt;1,1,(q/10)^(-1/3)),0.464)</f>
        <v>0.7937005259840997</v>
      </c>
      <c r="P30" s="3"/>
    </row>
    <row r="31" spans="3:16" ht="15">
      <c r="C31" s="2" t="s">
        <v>58</v>
      </c>
      <c r="D31" s="1">
        <f>MIN(B^(-1/3),1)</f>
        <v>0.6933612743506348</v>
      </c>
      <c r="P31" s="3"/>
    </row>
    <row r="32" spans="1:16" ht="15">
      <c r="A32" t="s">
        <v>43</v>
      </c>
      <c r="C32" s="2" t="s">
        <v>24</v>
      </c>
      <c r="D32" s="1">
        <f>cu*Nc*Sc+q*Nq*Sq+1/2*γ*Bd*Nγ*Sγ</f>
        <v>2127.580623825358</v>
      </c>
      <c r="E32" t="s">
        <v>12</v>
      </c>
      <c r="P32" s="3"/>
    </row>
    <row r="33" spans="1:16" ht="15">
      <c r="A33" t="s">
        <v>44</v>
      </c>
      <c r="C33" s="2" t="s">
        <v>25</v>
      </c>
      <c r="D33" s="1">
        <f>Bd*qd</f>
        <v>8616.7015264927</v>
      </c>
      <c r="E33" t="s">
        <v>5</v>
      </c>
      <c r="P33" s="3"/>
    </row>
    <row r="34" spans="1:16" ht="15">
      <c r="A34" t="s">
        <v>59</v>
      </c>
      <c r="C34" s="2" t="s">
        <v>60</v>
      </c>
      <c r="D34" s="1">
        <f>D33/3</f>
        <v>2872.233842164233</v>
      </c>
      <c r="E34" t="s">
        <v>5</v>
      </c>
      <c r="P34" s="3"/>
    </row>
    <row r="35" spans="1:16" ht="15">
      <c r="A35" t="s">
        <v>63</v>
      </c>
      <c r="B35" s="1" t="s">
        <v>71</v>
      </c>
      <c r="C35" s="2" t="s">
        <v>72</v>
      </c>
      <c r="D35" s="1">
        <f>B*(1+TAN(ε)*TAN(ω-φ))</f>
        <v>4.051312465110024</v>
      </c>
      <c r="E35" t="s">
        <v>73</v>
      </c>
      <c r="P35" s="3"/>
    </row>
    <row r="36" spans="2:16" ht="15">
      <c r="B36" s="1" t="s">
        <v>74</v>
      </c>
      <c r="C36" s="2" t="s">
        <v>75</v>
      </c>
      <c r="D36" s="1">
        <f>Bd-D35</f>
        <v>-0.0013124651100238083</v>
      </c>
      <c r="E36" t="s">
        <v>76</v>
      </c>
      <c r="P36" s="3"/>
    </row>
    <row r="37" ht="15">
      <c r="P37" s="3"/>
    </row>
    <row r="38" spans="6:16" ht="15">
      <c r="F38" s="2"/>
      <c r="P38" s="3"/>
    </row>
    <row r="39" ht="15">
      <c r="P39" s="3"/>
    </row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36" sqref="G36:G37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シーネット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右城 猛</dc:creator>
  <cp:keywords/>
  <dc:description/>
  <cp:lastModifiedBy>右城 猛</cp:lastModifiedBy>
  <dcterms:created xsi:type="dcterms:W3CDTF">2004-06-08T14:42:47Z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