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1776" windowWidth="9312" windowHeight="9120" activeTab="0"/>
  </bookViews>
  <sheets>
    <sheet name="入力" sheetId="1" r:id="rId1"/>
    <sheet name="出力" sheetId="2" r:id="rId2"/>
  </sheets>
  <definedNames>
    <definedName name="_xlnm.Print_Area" localSheetId="1">'出力'!$A$3:$I$216</definedName>
    <definedName name="_xlnm.Print_Area" localSheetId="0">'入力'!$A$1:$Q$33</definedName>
    <definedName name="solver_adj" localSheetId="1" hidden="1">'出力'!#REF!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'出力'!#REF!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<sst xmlns="http://schemas.openxmlformats.org/spreadsheetml/2006/main" count="229" uniqueCount="198">
  <si>
    <t>基礎寸法</t>
  </si>
  <si>
    <t>基礎幅</t>
  </si>
  <si>
    <t>α</t>
  </si>
  <si>
    <t>β</t>
  </si>
  <si>
    <t>帯　状</t>
  </si>
  <si>
    <t>正方形，円形</t>
  </si>
  <si>
    <t>鉛直力</t>
  </si>
  <si>
    <t>長方形</t>
  </si>
  <si>
    <t>幅方向</t>
  </si>
  <si>
    <t>長さ方向</t>
  </si>
  <si>
    <t>支持地盤</t>
  </si>
  <si>
    <t>単位重量</t>
  </si>
  <si>
    <t>内部摩擦角</t>
  </si>
  <si>
    <t>根入れ深</t>
  </si>
  <si>
    <t>基礎の形状係数</t>
  </si>
  <si>
    <t>支持層への根入れ深さ</t>
  </si>
  <si>
    <t>割り増し係数</t>
  </si>
  <si>
    <t>κ：支持層への根入れ効果に対する割り増し係数</t>
  </si>
  <si>
    <t>B=</t>
  </si>
  <si>
    <t>(m)</t>
  </si>
  <si>
    <t>L=</t>
  </si>
  <si>
    <t>V=</t>
  </si>
  <si>
    <t>(kN)</t>
  </si>
  <si>
    <t>水平力</t>
  </si>
  <si>
    <t>H=</t>
  </si>
  <si>
    <t>(kN)</t>
  </si>
  <si>
    <t>eB=</t>
  </si>
  <si>
    <t>(m)</t>
  </si>
  <si>
    <t>eL=</t>
  </si>
  <si>
    <t>(m)</t>
  </si>
  <si>
    <t>(kN/m3)</t>
  </si>
  <si>
    <t>粘着力</t>
  </si>
  <si>
    <t>c=</t>
  </si>
  <si>
    <t>(kN/m2)</t>
  </si>
  <si>
    <t>Df'=</t>
  </si>
  <si>
    <t>(m)</t>
  </si>
  <si>
    <t>Df=</t>
  </si>
  <si>
    <t>ここに，</t>
  </si>
  <si>
    <t>図１記号の説明</t>
  </si>
  <si>
    <t>根入れに対する割り増し係数</t>
  </si>
  <si>
    <t>鉛直力</t>
  </si>
  <si>
    <t>地盤</t>
  </si>
  <si>
    <t>図４すべり面</t>
  </si>
  <si>
    <t>(m)</t>
  </si>
  <si>
    <t>基礎長</t>
  </si>
  <si>
    <t>基礎形状</t>
  </si>
  <si>
    <t>荷重条件</t>
  </si>
  <si>
    <t>荷重偏心量</t>
  </si>
  <si>
    <r>
      <t>γ</t>
    </r>
    <r>
      <rPr>
        <sz val="11"/>
        <rFont val="Times New Roman"/>
        <family val="1"/>
      </rPr>
      <t>1=</t>
    </r>
  </si>
  <si>
    <r>
      <t>φ</t>
    </r>
    <r>
      <rPr>
        <sz val="11"/>
        <rFont val="Times New Roman"/>
        <family val="1"/>
      </rPr>
      <t>=</t>
    </r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</si>
  <si>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</si>
  <si>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根入れ深</t>
  </si>
  <si>
    <t>根入れ地盤</t>
  </si>
  <si>
    <t>単位重量</t>
  </si>
  <si>
    <r>
      <t>γ</t>
    </r>
    <r>
      <rPr>
        <sz val="11"/>
        <rFont val="Times New Roman"/>
        <family val="1"/>
      </rPr>
      <t>2=</t>
    </r>
  </si>
  <si>
    <r>
      <t>極限支持力は式</t>
    </r>
    <r>
      <rPr>
        <sz val="11"/>
        <rFont val="Times New Roman"/>
        <family val="1"/>
      </rPr>
      <t>(1)</t>
    </r>
    <r>
      <rPr>
        <sz val="11"/>
        <rFont val="ＭＳ 明朝"/>
        <family val="1"/>
      </rPr>
      <t>による。</t>
    </r>
  </si>
  <si>
    <t>図２有効載荷面積</t>
  </si>
  <si>
    <r>
      <t>α，β</t>
    </r>
    <r>
      <rPr>
        <sz val="11"/>
        <rFont val="Times New Roman"/>
        <family val="1"/>
      </rPr>
      <t>:</t>
    </r>
    <r>
      <rPr>
        <sz val="11"/>
        <rFont val="ＭＳ 明朝"/>
        <family val="1"/>
      </rPr>
      <t>基礎の形状係数</t>
    </r>
  </si>
  <si>
    <t>表１形状係数</t>
  </si>
  <si>
    <t>図３記号の説明</t>
  </si>
  <si>
    <r>
      <t>φ：支持地盤の内部摩擦角</t>
    </r>
    <r>
      <rPr>
        <sz val="11"/>
        <rFont val="Times New Roman"/>
        <family val="1"/>
      </rPr>
      <t xml:space="preserve"> (rad)</t>
    </r>
  </si>
  <si>
    <r>
      <t>α：主働塑性場と受働塑性場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の間の角度</t>
    </r>
    <r>
      <rPr>
        <sz val="11"/>
        <rFont val="Times New Roman"/>
        <family val="1"/>
      </rPr>
      <t xml:space="preserve"> (rad)</t>
    </r>
  </si>
  <si>
    <r>
      <t>ω：主働塑性場と遷移場の境界面と基礎底面のなす角度</t>
    </r>
    <r>
      <rPr>
        <sz val="11"/>
        <rFont val="Times New Roman"/>
        <family val="1"/>
      </rPr>
      <t>(rad)</t>
    </r>
  </si>
  <si>
    <r>
      <t>θ：基礎に作用する荷重の傾斜角</t>
    </r>
    <r>
      <rPr>
        <sz val="11"/>
        <rFont val="Times New Roman"/>
        <family val="1"/>
      </rPr>
      <t>(rad)</t>
    </r>
  </si>
  <si>
    <r>
      <t>H</t>
    </r>
    <r>
      <rPr>
        <sz val="11"/>
        <rFont val="ＭＳ 明朝"/>
        <family val="1"/>
      </rPr>
      <t>：基礎に作用する水平荷重</t>
    </r>
    <r>
      <rPr>
        <sz val="11"/>
        <rFont val="Times New Roman"/>
        <family val="1"/>
      </rPr>
      <t>(kN)</t>
    </r>
  </si>
  <si>
    <t>λ，ν，μ：寸法効果の程度を表す係数</t>
  </si>
  <si>
    <r>
      <t>λ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ν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μ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－</t>
    </r>
    <r>
      <rPr>
        <sz val="11"/>
        <rFont val="Times New Roman"/>
        <family val="1"/>
      </rPr>
      <t>1/3</t>
    </r>
  </si>
  <si>
    <t>有効載荷幅</t>
  </si>
  <si>
    <t>基礎の有効載荷面積</t>
  </si>
  <si>
    <t>(m2)</t>
  </si>
  <si>
    <t>上載荷重</t>
  </si>
  <si>
    <t>荷重の傾斜角</t>
  </si>
  <si>
    <r>
      <t>α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</si>
  <si>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</si>
  <si>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t>荷重傾斜</t>
  </si>
  <si>
    <r>
      <t>κ</t>
    </r>
    <r>
      <rPr>
        <sz val="11"/>
        <rFont val="Times New Roman"/>
        <family val="1"/>
      </rPr>
      <t>=</t>
    </r>
  </si>
  <si>
    <t>すべり面の角度</t>
  </si>
  <si>
    <t>支持力係数</t>
  </si>
  <si>
    <t>q=</t>
  </si>
  <si>
    <t>(kN/m2)</t>
  </si>
  <si>
    <r>
      <t xml:space="preserve"> </t>
    </r>
    <r>
      <rPr>
        <sz val="11"/>
        <rFont val="ＭＳ 明朝"/>
        <family val="1"/>
      </rPr>
      <t>支持力係数の寸法効果に対する補正係数</t>
    </r>
  </si>
  <si>
    <r>
      <t>tan</t>
    </r>
    <r>
      <rPr>
        <sz val="11"/>
        <rFont val="ＭＳ 明朝"/>
        <family val="1"/>
      </rPr>
      <t>θ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</si>
  <si>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</si>
  <si>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t>(rad)</t>
  </si>
  <si>
    <t>c=</t>
  </si>
  <si>
    <t>極限支持力</t>
  </si>
  <si>
    <r>
      <t>φ</t>
    </r>
    <r>
      <rPr>
        <sz val="11"/>
        <rFont val="Times New Roman"/>
        <family val="1"/>
      </rPr>
      <t>=</t>
    </r>
  </si>
  <si>
    <t>(rad)</t>
  </si>
  <si>
    <r>
      <t>ω</t>
    </r>
    <r>
      <rPr>
        <sz val="11"/>
        <rFont val="Times New Roman"/>
        <family val="1"/>
      </rPr>
      <t>b=</t>
    </r>
  </si>
  <si>
    <r>
      <t>ω</t>
    </r>
    <r>
      <rPr>
        <sz val="11"/>
        <rFont val="Times New Roman"/>
        <family val="1"/>
      </rPr>
      <t>0=</t>
    </r>
  </si>
  <si>
    <t>支持力の安全率</t>
  </si>
  <si>
    <t>c*=</t>
  </si>
  <si>
    <t>q*=</t>
  </si>
  <si>
    <t>B*=</t>
  </si>
  <si>
    <r>
      <t>φ</t>
    </r>
    <r>
      <rPr>
        <sz val="11"/>
        <rFont val="Times New Roman"/>
        <family val="1"/>
      </rPr>
      <t>=</t>
    </r>
  </si>
  <si>
    <r>
      <t>S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</si>
  <si>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</si>
  <si>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</si>
  <si>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α</t>
    </r>
    <r>
      <rPr>
        <sz val="11"/>
        <rFont val="Times New Roman"/>
        <family val="1"/>
      </rPr>
      <t>(rad)</t>
    </r>
  </si>
  <si>
    <t>X</t>
  </si>
  <si>
    <t>Nc</t>
  </si>
  <si>
    <t>Nq</t>
  </si>
  <si>
    <t>Nr</t>
  </si>
  <si>
    <r>
      <t>ex(2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tan</t>
    </r>
    <r>
      <rPr>
        <sz val="11"/>
        <rFont val="ＭＳ 明朝"/>
        <family val="1"/>
      </rPr>
      <t>φ</t>
    </r>
    <r>
      <rPr>
        <sz val="11"/>
        <rFont val="Times New Roman"/>
        <family val="1"/>
      </rPr>
      <t>)</t>
    </r>
  </si>
  <si>
    <r>
      <t>ex(3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tan</t>
    </r>
    <r>
      <rPr>
        <sz val="11"/>
        <rFont val="ＭＳ 明朝"/>
        <family val="1"/>
      </rPr>
      <t>φ</t>
    </r>
    <r>
      <rPr>
        <sz val="11"/>
        <rFont val="Times New Roman"/>
        <family val="1"/>
      </rPr>
      <t>)</t>
    </r>
  </si>
  <si>
    <r>
      <t>ω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φ</t>
    </r>
  </si>
  <si>
    <t>増加率</t>
  </si>
  <si>
    <r>
      <t>S</t>
    </r>
    <r>
      <rPr>
        <i/>
        <vertAlign val="subscript"/>
        <sz val="11"/>
        <rFont val="Times New Roman"/>
        <family val="1"/>
      </rPr>
      <t>q</t>
    </r>
    <r>
      <rPr>
        <i/>
        <sz val="11"/>
        <rFont val="Times New Roman"/>
        <family val="1"/>
      </rPr>
      <t>=</t>
    </r>
  </si>
  <si>
    <r>
      <t>S</t>
    </r>
    <r>
      <rPr>
        <i/>
        <sz val="11"/>
        <rFont val="ＭＳ Ｐ明朝"/>
        <family val="1"/>
      </rPr>
      <t>γ</t>
    </r>
    <r>
      <rPr>
        <i/>
        <sz val="11"/>
        <rFont val="Times New Roman"/>
        <family val="1"/>
      </rPr>
      <t>=</t>
    </r>
  </si>
  <si>
    <t>Qu=</t>
  </si>
  <si>
    <t>(kN)</t>
  </si>
  <si>
    <t>Fs=</t>
  </si>
  <si>
    <r>
      <t>θ</t>
    </r>
    <r>
      <rPr>
        <sz val="11"/>
        <rFont val="Times New Roman"/>
        <family val="1"/>
      </rPr>
      <t>=</t>
    </r>
  </si>
  <si>
    <r>
      <t>角</t>
    </r>
    <r>
      <rPr>
        <sz val="11"/>
        <rFont val="Times New Roman"/>
        <family val="1"/>
      </rPr>
      <t>B=</t>
    </r>
  </si>
  <si>
    <r>
      <t>ω</t>
    </r>
    <r>
      <rPr>
        <sz val="11"/>
        <rFont val="Times New Roman"/>
        <family val="1"/>
      </rPr>
      <t>=</t>
    </r>
  </si>
  <si>
    <t>r0=</t>
  </si>
  <si>
    <t>m</t>
  </si>
  <si>
    <r>
      <t>α</t>
    </r>
    <r>
      <rPr>
        <sz val="11"/>
        <rFont val="Times New Roman"/>
        <family val="1"/>
      </rPr>
      <t>=</t>
    </r>
  </si>
  <si>
    <t>r1=</t>
  </si>
  <si>
    <r>
      <t>φ</t>
    </r>
    <r>
      <rPr>
        <sz val="11"/>
        <rFont val="Times New Roman"/>
        <family val="1"/>
      </rPr>
      <t>=</t>
    </r>
  </si>
  <si>
    <t>Be=</t>
  </si>
  <si>
    <t>縮尺</t>
  </si>
  <si>
    <t>x</t>
  </si>
  <si>
    <t>荷重</t>
  </si>
  <si>
    <t>すべり１</t>
  </si>
  <si>
    <r>
      <t>すべり</t>
    </r>
    <r>
      <rPr>
        <sz val="11"/>
        <rFont val="Times New Roman"/>
        <family val="1"/>
      </rPr>
      <t>2</t>
    </r>
  </si>
  <si>
    <t>載荷重</t>
  </si>
  <si>
    <t>r</t>
  </si>
  <si>
    <t>θ</t>
  </si>
  <si>
    <t>正解</t>
  </si>
  <si>
    <t>Nq=</t>
  </si>
  <si>
    <t>Nc=</t>
  </si>
  <si>
    <t>Nr=</t>
  </si>
  <si>
    <t>Qu=</t>
  </si>
  <si>
    <r>
      <t>ω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</si>
  <si>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</si>
  <si>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t>(kN)</t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</si>
  <si>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</si>
  <si>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(m)</t>
  </si>
  <si>
    <t>(kN)</t>
  </si>
  <si>
    <t>(kN/m3)</t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</si>
  <si>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</si>
  <si>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(kN/m2)</t>
  </si>
  <si>
    <t>(m)</t>
  </si>
  <si>
    <t>(kN/m3)</t>
  </si>
  <si>
    <t>支持力係数</t>
  </si>
  <si>
    <t>◆インプットデータ</t>
  </si>
  <si>
    <t>◆アウトプットデータ</t>
  </si>
  <si>
    <t>平坦支持力２</t>
  </si>
  <si>
    <t>修正係数</t>
  </si>
  <si>
    <t>Qu</t>
  </si>
  <si>
    <t>支持力係数Nγの補正係数Kγ=</t>
  </si>
  <si>
    <r>
      <t>B</t>
    </r>
    <r>
      <rPr>
        <sz val="11"/>
        <rFont val="Times New Roman"/>
        <family val="1"/>
      </rPr>
      <t>=</t>
    </r>
  </si>
  <si>
    <r>
      <t>L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</si>
  <si>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</si>
  <si>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</si>
  <si>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L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</si>
  <si>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</si>
  <si>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</si>
  <si>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c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</si>
  <si>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'=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</si>
  <si>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</si>
  <si>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</si>
  <si>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t>１．　計算条件</t>
  </si>
  <si>
    <t>２．　支持力算定式</t>
  </si>
  <si>
    <r>
      <t>Q</t>
    </r>
    <r>
      <rPr>
        <i/>
        <vertAlign val="subscript"/>
        <sz val="11"/>
        <rFont val="Times New Roman"/>
        <family val="1"/>
      </rPr>
      <t>u</t>
    </r>
    <r>
      <rPr>
        <sz val="11"/>
        <rFont val="ＭＳ 明朝"/>
        <family val="1"/>
      </rPr>
      <t>：荷重の偏心傾斜，支持力係数の寸法効果を考慮した地盤の極限支持力</t>
    </r>
    <r>
      <rPr>
        <sz val="11"/>
        <rFont val="Times New Roman"/>
        <family val="1"/>
      </rPr>
      <t xml:space="preserve">(kN) </t>
    </r>
  </si>
  <si>
    <r>
      <t>A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：有効載荷面積</t>
    </r>
    <r>
      <rPr>
        <sz val="11"/>
        <rFont val="Times New Roman"/>
        <family val="1"/>
      </rPr>
      <t>(m2)</t>
    </r>
  </si>
  <si>
    <r>
      <t>c</t>
    </r>
    <r>
      <rPr>
        <sz val="11"/>
        <rFont val="ＭＳ 明朝"/>
        <family val="1"/>
      </rPr>
      <t>：地盤の粘着力</t>
    </r>
    <r>
      <rPr>
        <sz val="11"/>
        <rFont val="Times New Roman"/>
        <family val="1"/>
      </rPr>
      <t>(kN/m2)</t>
    </r>
  </si>
  <si>
    <r>
      <t>q</t>
    </r>
    <r>
      <rPr>
        <sz val="11"/>
        <rFont val="ＭＳ 明朝"/>
        <family val="1"/>
      </rPr>
      <t>：上載荷重</t>
    </r>
    <r>
      <rPr>
        <sz val="11"/>
        <rFont val="Times New Roman"/>
        <family val="1"/>
      </rPr>
      <t xml:space="preserve">(kN/m2) 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</si>
  <si>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ＭＳ 明朝"/>
        <family val="1"/>
      </rPr>
      <t>：基礎の有効根入れ深さ</t>
    </r>
    <r>
      <rPr>
        <sz val="11"/>
        <rFont val="Times New Roman"/>
        <family val="1"/>
      </rPr>
      <t>(m)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</si>
  <si>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ＭＳ 明朝"/>
        <family val="1"/>
      </rPr>
      <t>：支持地盤の単位体積重量</t>
    </r>
    <r>
      <rPr>
        <sz val="11"/>
        <rFont val="Times New Roman"/>
        <family val="1"/>
      </rPr>
      <t>(kN/m3)</t>
    </r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</si>
  <si>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：根入れ地盤の単位体積重量</t>
    </r>
    <r>
      <rPr>
        <sz val="11"/>
        <rFont val="Times New Roman"/>
        <family val="1"/>
      </rPr>
      <t>(kN/m3)</t>
    </r>
  </si>
  <si>
    <r>
      <t>B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L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：荷重の偏心を考慮した基礎の有効載荷幅</t>
    </r>
    <r>
      <rPr>
        <sz val="11"/>
        <rFont val="Times New Roman"/>
        <family val="1"/>
      </rPr>
      <t>(m)</t>
    </r>
  </si>
  <si>
    <r>
      <t>B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L</t>
    </r>
    <r>
      <rPr>
        <sz val="11"/>
        <rFont val="ＭＳ 明朝"/>
        <family val="1"/>
      </rPr>
      <t>：基礎幅</t>
    </r>
    <r>
      <rPr>
        <sz val="11"/>
        <rFont val="Times New Roman"/>
        <family val="1"/>
      </rPr>
      <t>(m)</t>
    </r>
  </si>
  <si>
    <r>
      <t>e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e</t>
    </r>
    <r>
      <rPr>
        <i/>
        <vertAlign val="subscript"/>
        <sz val="11"/>
        <rFont val="Times New Roman"/>
        <family val="1"/>
      </rPr>
      <t>L</t>
    </r>
    <r>
      <rPr>
        <sz val="11"/>
        <rFont val="ＭＳ 明朝"/>
        <family val="1"/>
      </rPr>
      <t>：荷重の偏心量</t>
    </r>
    <r>
      <rPr>
        <sz val="11"/>
        <rFont val="Times New Roman"/>
        <family val="1"/>
      </rPr>
      <t>(m)</t>
    </r>
  </si>
  <si>
    <r>
      <t>L</t>
    </r>
    <r>
      <rPr>
        <sz val="11"/>
        <rFont val="ＭＳ 明朝"/>
        <family val="1"/>
      </rPr>
      <t>：基礎幅</t>
    </r>
    <r>
      <rPr>
        <sz val="11"/>
        <rFont val="Times New Roman"/>
        <family val="1"/>
      </rPr>
      <t>(m)</t>
    </r>
  </si>
  <si>
    <r>
      <t>D</t>
    </r>
    <r>
      <rPr>
        <i/>
        <vertAlign val="subscript"/>
        <sz val="11"/>
        <rFont val="Times New Roman"/>
        <family val="1"/>
      </rPr>
      <t>f'</t>
    </r>
    <r>
      <rPr>
        <sz val="11"/>
        <rFont val="ＭＳ 明朝"/>
        <family val="1"/>
      </rPr>
      <t>：支持地盤へ根入れした深さ</t>
    </r>
    <r>
      <rPr>
        <sz val="11"/>
        <rFont val="Times New Roman"/>
        <family val="1"/>
      </rPr>
      <t>(m)</t>
    </r>
  </si>
  <si>
    <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q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vertAlign val="subscript"/>
        <sz val="11"/>
        <rFont val="ＭＳ 明朝"/>
        <family val="1"/>
      </rPr>
      <t>γ</t>
    </r>
    <r>
      <rPr>
        <sz val="11"/>
        <rFont val="ＭＳ 明朝"/>
        <family val="1"/>
      </rPr>
      <t>：荷重の傾斜を考慮した支持力係数で，速度場法で算定</t>
    </r>
  </si>
  <si>
    <r>
      <t>V</t>
    </r>
    <r>
      <rPr>
        <sz val="11"/>
        <rFont val="ＭＳ 明朝"/>
        <family val="1"/>
      </rPr>
      <t>：基礎に作用する鉛直荷重</t>
    </r>
    <r>
      <rPr>
        <sz val="11"/>
        <rFont val="Times New Roman"/>
        <family val="1"/>
      </rPr>
      <t>(kN)</t>
    </r>
  </si>
  <si>
    <r>
      <t>K</t>
    </r>
    <r>
      <rPr>
        <vertAlign val="subscript"/>
        <sz val="11"/>
        <rFont val="ＭＳ Ｐ明朝"/>
        <family val="1"/>
      </rPr>
      <t>γ</t>
    </r>
    <r>
      <rPr>
        <sz val="11"/>
        <rFont val="ＭＳ Ｐ明朝"/>
        <family val="1"/>
      </rPr>
      <t>：支持力係数の補正係数</t>
    </r>
  </si>
  <si>
    <r>
      <t>K</t>
    </r>
    <r>
      <rPr>
        <vertAlign val="subscript"/>
        <sz val="11"/>
        <rFont val="ＭＳ Ｐ明朝"/>
        <family val="1"/>
      </rPr>
      <t>γ</t>
    </r>
    <r>
      <rPr>
        <sz val="11"/>
        <rFont val="ＭＳ Ｐ明朝"/>
        <family val="1"/>
      </rPr>
      <t>=</t>
    </r>
  </si>
  <si>
    <r>
      <t xml:space="preserve"> 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q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S</t>
    </r>
    <r>
      <rPr>
        <vertAlign val="subscript"/>
        <sz val="11"/>
        <rFont val="ＭＳ 明朝"/>
        <family val="1"/>
      </rPr>
      <t>γ</t>
    </r>
    <r>
      <rPr>
        <sz val="11"/>
        <rFont val="ＭＳ 明朝"/>
        <family val="1"/>
      </rPr>
      <t>：支持力係数の寸法効果に対する補正係数</t>
    </r>
  </si>
  <si>
    <r>
      <t>c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≦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=10(kN/m2)</t>
    </r>
  </si>
  <si>
    <r>
      <t>q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≦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=10(kN/m2)</t>
    </r>
  </si>
  <si>
    <r>
      <t>q</t>
    </r>
    <r>
      <rPr>
        <sz val="11"/>
        <rFont val="ＭＳ 明朝"/>
        <family val="1"/>
      </rPr>
      <t>：上載荷重</t>
    </r>
    <r>
      <rPr>
        <sz val="11"/>
        <rFont val="Times New Roman"/>
        <family val="1"/>
      </rPr>
      <t xml:space="preserve">(kN/m2) </t>
    </r>
  </si>
  <si>
    <r>
      <t>B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B</t>
    </r>
    <r>
      <rPr>
        <i/>
        <vertAlign val="subscript"/>
        <sz val="11"/>
        <rFont val="Times New Roman"/>
        <family val="1"/>
      </rPr>
      <t>e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=1(m)</t>
    </r>
  </si>
  <si>
    <r>
      <t>V</t>
    </r>
    <r>
      <rPr>
        <sz val="11"/>
        <rFont val="Times New Roman"/>
        <family val="1"/>
      </rPr>
      <t>=</t>
    </r>
  </si>
  <si>
    <t>３．　支持力の計算</t>
  </si>
  <si>
    <t>(注1)すべり面が適切に描かれていることを確認して下さい．</t>
  </si>
  <si>
    <t>(注2)極限支持力Qu曲線が凹形になっていれば正解値が探索されています．</t>
  </si>
  <si>
    <t>(注3)鉛直力V，荷重傾斜H/Vに対してc，φが小さすぎると解が求まりません．</t>
  </si>
  <si>
    <t>(注4)Nγの補正係数Kγについて</t>
  </si>
  <si>
    <t>　　γ=0であれば，主働塑性場及び受働塑性場は直線になるためKγ=1になります．</t>
  </si>
  <si>
    <t>　　γ&gt;0の場合には，主働塑性場及び受働塑性場が曲線になるためKγ&lt;1になります．</t>
  </si>
  <si>
    <t>　　Kγ≒0.5として計算すれば，道路橋示方書のNγになります．</t>
  </si>
  <si>
    <r>
      <t>(</t>
    </r>
    <r>
      <rPr>
        <sz val="11"/>
        <rFont val="ＭＳ Ｐ明朝"/>
        <family val="1"/>
      </rPr>
      <t>速度場法)</t>
    </r>
  </si>
  <si>
    <t>2007.10.12修正</t>
  </si>
  <si>
    <t>2009.02.14修正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</si>
</sst>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Times New Roman"/>
      <family val="1"/>
    </font>
    <font>
      <i/>
      <sz val="11"/>
      <name val="ＭＳ Ｐ明朝"/>
      <family val="1"/>
    </font>
    <font>
      <sz val="11"/>
      <color indexed="10"/>
      <name val="Times New Roman"/>
      <family val="1"/>
    </font>
    <font>
      <sz val="14"/>
      <name val="ＭＳ Ｐゴシック"/>
      <family val="3"/>
    </font>
    <font>
      <vertAlign val="subscript"/>
      <sz val="11"/>
      <name val="ＭＳ Ｐ明朝"/>
      <family val="1"/>
    </font>
    <font>
      <vertAlign val="subscript"/>
      <sz val="11"/>
      <name val="Times New Roman"/>
      <family val="1"/>
    </font>
    <font>
      <vertAlign val="subscript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61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 shrinkToFit="1"/>
    </xf>
    <xf numFmtId="0" fontId="15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 shrinkToFit="1"/>
    </xf>
    <xf numFmtId="49" fontId="18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5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'出力'!$AB$287</c:f>
              <c:strCache>
                <c:ptCount val="1"/>
                <c:pt idx="0">
                  <c:v>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'出力'!$AB$288:$AB$314</c:f>
              <c:numCache>
                <c:ptCount val="27"/>
                <c:pt idx="0">
                  <c:v>0.6211951447245565</c:v>
                </c:pt>
                <c:pt idx="1">
                  <c:v>0</c:v>
                </c:pt>
                <c:pt idx="2">
                  <c:v>0</c:v>
                </c:pt>
                <c:pt idx="3">
                  <c:v>0.6211951447245565</c:v>
                </c:pt>
                <c:pt idx="4">
                  <c:v>0.6211951447245565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'出力'!$AC$287</c:f>
              <c:strCache>
                <c:ptCount val="1"/>
                <c:pt idx="0">
                  <c:v>すべり１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'出力'!$AC$288:$AC$314</c:f>
              <c:numCache>
                <c:ptCount val="27"/>
                <c:pt idx="5">
                  <c:v>0</c:v>
                </c:pt>
                <c:pt idx="6">
                  <c:v>-1.4802707406991562</c:v>
                </c:pt>
                <c:pt idx="7">
                  <c:v>0</c:v>
                </c:pt>
                <c:pt idx="8">
                  <c:v>-1.219748993942319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'出力'!$AD$287</c:f>
              <c:strCache>
                <c:ptCount val="1"/>
                <c:pt idx="0">
                  <c:v>すべり2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'出力'!$AD$288:$AD$314</c:f>
              <c:numCache>
                <c:ptCount val="27"/>
                <c:pt idx="11">
                  <c:v>-1.4802707406991562</c:v>
                </c:pt>
                <c:pt idx="12">
                  <c:v>-1.5174841098768403</c:v>
                </c:pt>
                <c:pt idx="13">
                  <c:v>-1.5441248429899168</c:v>
                </c:pt>
                <c:pt idx="14">
                  <c:v>-1.5588920113880131</c:v>
                </c:pt>
                <c:pt idx="15">
                  <c:v>-1.5604670914767382</c:v>
                </c:pt>
                <c:pt idx="16">
                  <c:v>-1.5475246155279299</c:v>
                </c:pt>
                <c:pt idx="17">
                  <c:v>-1.5187439459659178</c:v>
                </c:pt>
                <c:pt idx="18">
                  <c:v>-1.4728221740280993</c:v>
                </c:pt>
                <c:pt idx="19">
                  <c:v>-1.4084881332141779</c:v>
                </c:pt>
                <c:pt idx="20">
                  <c:v>-1.3245175065030323</c:v>
                </c:pt>
                <c:pt idx="21">
                  <c:v>-1.2197489939423187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'出力'!$AE$287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'出力'!$AE$288:$AE$314</c:f>
              <c:numCache>
                <c:ptCount val="27"/>
                <c:pt idx="22">
                  <c:v>0.1152</c:v>
                </c:pt>
                <c:pt idx="23">
                  <c:v>0.1152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'出力'!$AF$287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'出力'!$AF$288:$AF$314</c:f>
              <c:numCache>
                <c:ptCount val="27"/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11712320"/>
        <c:axId val="38302017"/>
      </c:scatterChart>
      <c:valAx>
        <c:axId val="11712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 val="autoZero"/>
        <c:crossBetween val="midCat"/>
        <c:dispUnits/>
      </c:valAx>
      <c:valAx>
        <c:axId val="38302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4"/>
          <c:w val="0.90375"/>
          <c:h val="0.86725"/>
        </c:manualLayout>
      </c:layout>
      <c:scatterChart>
        <c:scatterStyle val="line"/>
        <c:varyColors val="0"/>
        <c:ser>
          <c:idx val="0"/>
          <c:order val="0"/>
          <c:tx>
            <c:strRef>
              <c:f>'出力'!$K$264</c:f>
              <c:strCache>
                <c:ptCount val="1"/>
                <c:pt idx="0">
                  <c:v>ω(deg)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'出力'!$K$265:$K$325</c:f>
              <c:numCache>
                <c:ptCount val="61"/>
                <c:pt idx="0">
                  <c:v>59.99999999999999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67.00000000000001</c:v>
                </c:pt>
                <c:pt idx="8">
                  <c:v>68</c:v>
                </c:pt>
                <c:pt idx="9">
                  <c:v>69.00000000000001</c:v>
                </c:pt>
                <c:pt idx="10">
                  <c:v>70</c:v>
                </c:pt>
                <c:pt idx="11">
                  <c:v>71.00000000000001</c:v>
                </c:pt>
                <c:pt idx="12">
                  <c:v>72.00000000000001</c:v>
                </c:pt>
                <c:pt idx="13">
                  <c:v>73.00000000000001</c:v>
                </c:pt>
                <c:pt idx="14">
                  <c:v>74.00000000000001</c:v>
                </c:pt>
                <c:pt idx="15">
                  <c:v>75.00000000000001</c:v>
                </c:pt>
                <c:pt idx="16">
                  <c:v>76.00000000000003</c:v>
                </c:pt>
                <c:pt idx="17">
                  <c:v>77.00000000000001</c:v>
                </c:pt>
                <c:pt idx="18">
                  <c:v>78.00000000000003</c:v>
                </c:pt>
                <c:pt idx="19">
                  <c:v>79.00000000000003</c:v>
                </c:pt>
                <c:pt idx="20">
                  <c:v>80.00000000000003</c:v>
                </c:pt>
                <c:pt idx="21">
                  <c:v>81.00000000000003</c:v>
                </c:pt>
                <c:pt idx="22">
                  <c:v>82.00000000000003</c:v>
                </c:pt>
                <c:pt idx="23">
                  <c:v>83.00000000000003</c:v>
                </c:pt>
                <c:pt idx="24">
                  <c:v>84.00000000000003</c:v>
                </c:pt>
                <c:pt idx="25">
                  <c:v>85.00000000000004</c:v>
                </c:pt>
                <c:pt idx="26">
                  <c:v>86.00000000000003</c:v>
                </c:pt>
                <c:pt idx="27">
                  <c:v>87.00000000000003</c:v>
                </c:pt>
                <c:pt idx="28">
                  <c:v>88.00000000000003</c:v>
                </c:pt>
                <c:pt idx="29">
                  <c:v>89.00000000000004</c:v>
                </c:pt>
                <c:pt idx="30">
                  <c:v>90.00000000000004</c:v>
                </c:pt>
                <c:pt idx="31">
                  <c:v>91.00000000000003</c:v>
                </c:pt>
                <c:pt idx="32">
                  <c:v>92.00000000000006</c:v>
                </c:pt>
                <c:pt idx="33">
                  <c:v>93.00000000000004</c:v>
                </c:pt>
                <c:pt idx="34">
                  <c:v>94.00000000000004</c:v>
                </c:pt>
                <c:pt idx="35">
                  <c:v>95.00000000000004</c:v>
                </c:pt>
                <c:pt idx="36">
                  <c:v>96.00000000000006</c:v>
                </c:pt>
                <c:pt idx="37">
                  <c:v>97.00000000000006</c:v>
                </c:pt>
                <c:pt idx="38">
                  <c:v>98.00000000000004</c:v>
                </c:pt>
                <c:pt idx="39">
                  <c:v>99.00000000000004</c:v>
                </c:pt>
                <c:pt idx="40">
                  <c:v>100.00000000000006</c:v>
                </c:pt>
                <c:pt idx="41">
                  <c:v>101.00000000000006</c:v>
                </c:pt>
                <c:pt idx="42">
                  <c:v>102.00000000000006</c:v>
                </c:pt>
                <c:pt idx="43">
                  <c:v>103.00000000000004</c:v>
                </c:pt>
                <c:pt idx="44">
                  <c:v>104.00000000000006</c:v>
                </c:pt>
                <c:pt idx="45">
                  <c:v>105.00000000000006</c:v>
                </c:pt>
                <c:pt idx="46">
                  <c:v>106.00000000000006</c:v>
                </c:pt>
                <c:pt idx="47">
                  <c:v>107.00000000000007</c:v>
                </c:pt>
                <c:pt idx="48">
                  <c:v>108.00000000000007</c:v>
                </c:pt>
                <c:pt idx="49">
                  <c:v>109.00000000000007</c:v>
                </c:pt>
                <c:pt idx="50">
                  <c:v>110.00000000000006</c:v>
                </c:pt>
                <c:pt idx="51">
                  <c:v>111.00000000000007</c:v>
                </c:pt>
                <c:pt idx="52">
                  <c:v>112.00000000000007</c:v>
                </c:pt>
                <c:pt idx="53">
                  <c:v>113.00000000000007</c:v>
                </c:pt>
                <c:pt idx="54">
                  <c:v>113.00000000000007</c:v>
                </c:pt>
                <c:pt idx="55">
                  <c:v>113.00000000000007</c:v>
                </c:pt>
                <c:pt idx="56">
                  <c:v>113.00000000000007</c:v>
                </c:pt>
                <c:pt idx="57">
                  <c:v>113.00000000000007</c:v>
                </c:pt>
                <c:pt idx="58">
                  <c:v>113.00000000000007</c:v>
                </c:pt>
                <c:pt idx="59">
                  <c:v>113.00000000000007</c:v>
                </c:pt>
                <c:pt idx="60">
                  <c:v>113.00000000000007</c:v>
                </c:pt>
              </c:numCache>
            </c:numRef>
          </c:xVal>
          <c:yVal>
            <c:numRef>
              <c:f>'出力'!$J$265:$J$325</c:f>
              <c:numCache>
                <c:ptCount val="61"/>
                <c:pt idx="0">
                  <c:v>15642.1264168285</c:v>
                </c:pt>
                <c:pt idx="1">
                  <c:v>15262.684168469454</c:v>
                </c:pt>
                <c:pt idx="2">
                  <c:v>14892.750824911547</c:v>
                </c:pt>
                <c:pt idx="3">
                  <c:v>14532.166261568933</c:v>
                </c:pt>
                <c:pt idx="4">
                  <c:v>14180.77252510563</c:v>
                </c:pt>
                <c:pt idx="5">
                  <c:v>13838.414042419587</c:v>
                </c:pt>
                <c:pt idx="6">
                  <c:v>13504.937835002858</c:v>
                </c:pt>
                <c:pt idx="7">
                  <c:v>13180.193740739178</c:v>
                </c:pt>
                <c:pt idx="8">
                  <c:v>12864.034645478578</c:v>
                </c:pt>
                <c:pt idx="9">
                  <c:v>12556.31672706276</c:v>
                </c:pt>
                <c:pt idx="10">
                  <c:v>12256.899714875099</c:v>
                </c:pt>
                <c:pt idx="11">
                  <c:v>11965.6471684712</c:v>
                </c:pt>
                <c:pt idx="12">
                  <c:v>11682.42677942699</c:v>
                </c:pt>
                <c:pt idx="13">
                  <c:v>11407.110701245205</c:v>
                </c:pt>
                <c:pt idx="14">
                  <c:v>11139.5759130153</c:v>
                </c:pt>
                <c:pt idx="15">
                  <c:v>10879.704623563777</c:v>
                </c:pt>
                <c:pt idx="16">
                  <c:v>10627.38472410671</c:v>
                </c:pt>
                <c:pt idx="17">
                  <c:v>10382.510298983487</c:v>
                </c:pt>
                <c:pt idx="18">
                  <c:v>10144.982205985369</c:v>
                </c:pt>
                <c:pt idx="19">
                  <c:v>9914.708740193559</c:v>
                </c:pt>
                <c:pt idx="20">
                  <c:v>9691.606398234391</c:v>
                </c:pt>
                <c:pt idx="21">
                  <c:v>9475.600763612932</c:v>
                </c:pt>
                <c:pt idx="22">
                  <c:v>9266.627538518449</c:v>
                </c:pt>
                <c:pt idx="23">
                  <c:v>9064.63375349865</c:v>
                </c:pt>
                <c:pt idx="24">
                  <c:v>8869.579194064556</c:v>
                </c:pt>
                <c:pt idx="25">
                  <c:v>8681.438093139757</c:v>
                </c:pt>
                <c:pt idx="26">
                  <c:v>8500.201151023224</c:v>
                </c:pt>
                <c:pt idx="27">
                  <c:v>8325.877961175016</c:v>
                </c:pt>
                <c:pt idx="28">
                  <c:v>8158.499942019182</c:v>
                </c:pt>
                <c:pt idx="29">
                  <c:v>7998.123903990952</c:v>
                </c:pt>
                <c:pt idx="30">
                  <c:v>7844.836419925937</c:v>
                </c:pt>
                <c:pt idx="31">
                  <c:v>7698.75921944587</c:v>
                </c:pt>
                <c:pt idx="32">
                  <c:v>7560.055899810365</c:v>
                </c:pt>
                <c:pt idx="33">
                  <c:v>7428.940344947878</c:v>
                </c:pt>
                <c:pt idx="34">
                  <c:v>7305.687383209171</c:v>
                </c:pt>
                <c:pt idx="35">
                  <c:v>7190.64641115722</c:v>
                </c:pt>
                <c:pt idx="36">
                  <c:v>7084.25899359547</c:v>
                </c:pt>
                <c:pt idx="37">
                  <c:v>6987.081863054731</c:v>
                </c:pt>
                <c:pt idx="38">
                  <c:v>6899.817355204926</c:v>
                </c:pt>
                <c:pt idx="39">
                  <c:v>6823.354244120242</c:v>
                </c:pt>
                <c:pt idx="40">
                  <c:v>6758.823372694276</c:v>
                </c:pt>
                <c:pt idx="41">
                  <c:v>6707.674732514339</c:v>
                </c:pt>
                <c:pt idx="42">
                  <c:v>6671.786302403743</c:v>
                </c:pt>
                <c:pt idx="43">
                  <c:v>6653.62103465702</c:v>
                </c:pt>
                <c:pt idx="44">
                  <c:v>6656.458812617763</c:v>
                </c:pt>
                <c:pt idx="45">
                  <c:v>6684.748758169831</c:v>
                </c:pt>
                <c:pt idx="46">
                  <c:v>6744.661628930189</c:v>
                </c:pt>
                <c:pt idx="47">
                  <c:v>6844.988737494961</c:v>
                </c:pt>
                <c:pt idx="48">
                  <c:v>6998.67059699092</c:v>
                </c:pt>
                <c:pt idx="49">
                  <c:v>7225.5379840610485</c:v>
                </c:pt>
                <c:pt idx="50">
                  <c:v>7557.558162547128</c:v>
                </c:pt>
                <c:pt idx="51">
                  <c:v>8049.7373850008025</c:v>
                </c:pt>
                <c:pt idx="52">
                  <c:v>8805.352947766583</c:v>
                </c:pt>
                <c:pt idx="53">
                  <c:v>10043.650967252197</c:v>
                </c:pt>
                <c:pt idx="54">
                  <c:v>10043.650967252197</c:v>
                </c:pt>
                <c:pt idx="55">
                  <c:v>10043.650967252197</c:v>
                </c:pt>
                <c:pt idx="56">
                  <c:v>10043.650967252197</c:v>
                </c:pt>
                <c:pt idx="57">
                  <c:v>10043.650967252197</c:v>
                </c:pt>
                <c:pt idx="58">
                  <c:v>10043.650967252197</c:v>
                </c:pt>
                <c:pt idx="59">
                  <c:v>10043.650967252197</c:v>
                </c:pt>
                <c:pt idx="60">
                  <c:v>10043.650967252197</c:v>
                </c:pt>
              </c:numCache>
            </c:numRef>
          </c:yVal>
          <c:smooth val="0"/>
        </c:ser>
        <c:axId val="9173834"/>
        <c:axId val="15455643"/>
      </c:scatterChart>
      <c:valAx>
        <c:axId val="9173834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主働場のすべり角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 val="autoZero"/>
        <c:crossBetween val="midCat"/>
        <c:dispUnits/>
      </c:val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極限支持力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Qu(kN)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738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1"/>
          <c:w val="0.948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'出力'!$AB$287</c:f>
              <c:strCache>
                <c:ptCount val="1"/>
                <c:pt idx="0">
                  <c:v>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'出力'!$AB$288:$AB$314</c:f>
              <c:numCache/>
            </c:numRef>
          </c:yVal>
          <c:smooth val="0"/>
        </c:ser>
        <c:ser>
          <c:idx val="1"/>
          <c:order val="1"/>
          <c:tx>
            <c:strRef>
              <c:f>'出力'!$AC$287</c:f>
              <c:strCache>
                <c:ptCount val="1"/>
                <c:pt idx="0">
                  <c:v>すべり１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'出力'!$AC$288:$AC$314</c:f>
              <c:numCache/>
            </c:numRef>
          </c:yVal>
          <c:smooth val="0"/>
        </c:ser>
        <c:ser>
          <c:idx val="2"/>
          <c:order val="2"/>
          <c:tx>
            <c:strRef>
              <c:f>'出力'!$AD$287</c:f>
              <c:strCache>
                <c:ptCount val="1"/>
                <c:pt idx="0">
                  <c:v>すべり2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'出力'!$AD$288:$AD$314</c:f>
              <c:numCache/>
            </c:numRef>
          </c:yVal>
          <c:smooth val="0"/>
        </c:ser>
        <c:ser>
          <c:idx val="3"/>
          <c:order val="3"/>
          <c:tx>
            <c:strRef>
              <c:f>'出力'!$AE$287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'出力'!$AE$288:$AE$314</c:f>
              <c:numCache/>
            </c:numRef>
          </c:yVal>
          <c:smooth val="0"/>
        </c:ser>
        <c:ser>
          <c:idx val="4"/>
          <c:order val="4"/>
          <c:tx>
            <c:strRef>
              <c:f>'出力'!$AF$287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'出力'!$AF$288:$AF$314</c:f>
              <c:numCache/>
            </c:numRef>
          </c:yVal>
          <c:smooth val="0"/>
        </c:ser>
        <c:axId val="4883060"/>
        <c:axId val="43947541"/>
      </c:scatterChart>
      <c:valAx>
        <c:axId val="4883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 val="autoZero"/>
        <c:crossBetween val="midCat"/>
        <c:dispUnits/>
      </c:valAx>
      <c:valAx>
        <c:axId val="439475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30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45"/>
          <c:w val="0.93025"/>
          <c:h val="0.897"/>
        </c:manualLayout>
      </c:layout>
      <c:scatterChart>
        <c:scatterStyle val="line"/>
        <c:varyColors val="0"/>
        <c:ser>
          <c:idx val="0"/>
          <c:order val="0"/>
          <c:tx>
            <c:strRef>
              <c:f>'出力'!$K$264</c:f>
              <c:strCache>
                <c:ptCount val="1"/>
                <c:pt idx="0">
                  <c:v>ω(deg)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'出力'!$K$265:$K$325</c:f>
              <c:numCache/>
            </c:numRef>
          </c:xVal>
          <c:yVal>
            <c:numRef>
              <c:f>'出力'!$J$265:$J$325</c:f>
              <c:numCache/>
            </c:numRef>
          </c:yVal>
          <c:smooth val="0"/>
        </c:ser>
        <c:axId val="59983550"/>
        <c:axId val="2981039"/>
      </c:scatterChart>
      <c:valAx>
        <c:axId val="59983550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主働場のすべり角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ω(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 val="autoZero"/>
        <c:crossBetween val="midCat"/>
        <c:dispUnits/>
      </c:valAx>
      <c:valAx>
        <c:axId val="298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極限支持力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Qu(kN)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chart" Target="/xl/charts/chart3.xml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chart" Target="/xl/charts/chart4.xml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9</xdr:row>
      <xdr:rowOff>19050</xdr:rowOff>
    </xdr:from>
    <xdr:to>
      <xdr:col>10</xdr:col>
      <xdr:colOff>533400</xdr:colOff>
      <xdr:row>15</xdr:row>
      <xdr:rowOff>9525</xdr:rowOff>
    </xdr:to>
    <xdr:sp>
      <xdr:nvSpPr>
        <xdr:cNvPr id="1" name="Rectangle 1026"/>
        <xdr:cNvSpPr>
          <a:spLocks/>
        </xdr:cNvSpPr>
      </xdr:nvSpPr>
      <xdr:spPr>
        <a:xfrm>
          <a:off x="5019675" y="1628775"/>
          <a:ext cx="2371725" cy="1019175"/>
        </a:xfrm>
        <a:prstGeom prst="rect">
          <a:avLst/>
        </a:prstGeom>
        <a:solidFill>
          <a:srgbClr val="CC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47625</xdr:rowOff>
    </xdr:from>
    <xdr:to>
      <xdr:col>15</xdr:col>
      <xdr:colOff>47625</xdr:colOff>
      <xdr:row>15</xdr:row>
      <xdr:rowOff>38100</xdr:rowOff>
    </xdr:to>
    <xdr:sp>
      <xdr:nvSpPr>
        <xdr:cNvPr id="2" name="Rectangle 1027"/>
        <xdr:cNvSpPr>
          <a:spLocks/>
        </xdr:cNvSpPr>
      </xdr:nvSpPr>
      <xdr:spPr>
        <a:xfrm>
          <a:off x="7677150" y="1657350"/>
          <a:ext cx="2657475" cy="1019175"/>
        </a:xfrm>
        <a:prstGeom prst="rect">
          <a:avLst/>
        </a:prstGeom>
        <a:solidFill>
          <a:srgbClr val="CC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6</xdr:row>
      <xdr:rowOff>9525</xdr:rowOff>
    </xdr:from>
    <xdr:to>
      <xdr:col>10</xdr:col>
      <xdr:colOff>552450</xdr:colOff>
      <xdr:row>9</xdr:row>
      <xdr:rowOff>38100</xdr:rowOff>
    </xdr:to>
    <xdr:sp>
      <xdr:nvSpPr>
        <xdr:cNvPr id="3" name="Rectangle 1028"/>
        <xdr:cNvSpPr>
          <a:spLocks/>
        </xdr:cNvSpPr>
      </xdr:nvSpPr>
      <xdr:spPr>
        <a:xfrm>
          <a:off x="5000625" y="1085850"/>
          <a:ext cx="2409825" cy="5619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0</xdr:rowOff>
    </xdr:from>
    <xdr:to>
      <xdr:col>15</xdr:col>
      <xdr:colOff>38100</xdr:colOff>
      <xdr:row>9</xdr:row>
      <xdr:rowOff>38100</xdr:rowOff>
    </xdr:to>
    <xdr:sp>
      <xdr:nvSpPr>
        <xdr:cNvPr id="4" name="Rectangle 1029"/>
        <xdr:cNvSpPr>
          <a:spLocks/>
        </xdr:cNvSpPr>
      </xdr:nvSpPr>
      <xdr:spPr>
        <a:xfrm>
          <a:off x="7667625" y="1076325"/>
          <a:ext cx="2657475" cy="5715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10</xdr:col>
      <xdr:colOff>200025</xdr:colOff>
      <xdr:row>10</xdr:row>
      <xdr:rowOff>47625</xdr:rowOff>
    </xdr:to>
    <xdr:sp>
      <xdr:nvSpPr>
        <xdr:cNvPr id="5" name="Freeform 1030"/>
        <xdr:cNvSpPr>
          <a:spLocks/>
        </xdr:cNvSpPr>
      </xdr:nvSpPr>
      <xdr:spPr>
        <a:xfrm>
          <a:off x="5591175" y="552450"/>
          <a:ext cx="1466850" cy="1276350"/>
        </a:xfrm>
        <a:custGeom>
          <a:pathLst>
            <a:path h="130" w="154">
              <a:moveTo>
                <a:pt x="27" y="0"/>
              </a:moveTo>
              <a:lnTo>
                <a:pt x="27" y="92"/>
              </a:lnTo>
              <a:lnTo>
                <a:pt x="0" y="92"/>
              </a:lnTo>
              <a:lnTo>
                <a:pt x="0" y="130"/>
              </a:lnTo>
              <a:lnTo>
                <a:pt x="154" y="130"/>
              </a:lnTo>
              <a:lnTo>
                <a:pt x="154" y="91"/>
              </a:lnTo>
              <a:lnTo>
                <a:pt x="129" y="91"/>
              </a:lnTo>
              <a:lnTo>
                <a:pt x="129" y="1"/>
              </a:lnTo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6</xdr:row>
      <xdr:rowOff>9525</xdr:rowOff>
    </xdr:from>
    <xdr:to>
      <xdr:col>10</xdr:col>
      <xdr:colOff>457200</xdr:colOff>
      <xdr:row>6</xdr:row>
      <xdr:rowOff>9525</xdr:rowOff>
    </xdr:to>
    <xdr:sp>
      <xdr:nvSpPr>
        <xdr:cNvPr id="6" name="Line 1031"/>
        <xdr:cNvSpPr>
          <a:spLocks/>
        </xdr:cNvSpPr>
      </xdr:nvSpPr>
      <xdr:spPr>
        <a:xfrm>
          <a:off x="5248275" y="1085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38100</xdr:rowOff>
    </xdr:from>
    <xdr:to>
      <xdr:col>8</xdr:col>
      <xdr:colOff>104775</xdr:colOff>
      <xdr:row>13</xdr:row>
      <xdr:rowOff>123825</xdr:rowOff>
    </xdr:to>
    <xdr:sp>
      <xdr:nvSpPr>
        <xdr:cNvPr id="7" name="Line 1032"/>
        <xdr:cNvSpPr>
          <a:spLocks/>
        </xdr:cNvSpPr>
      </xdr:nvSpPr>
      <xdr:spPr>
        <a:xfrm>
          <a:off x="559117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200025</xdr:colOff>
      <xdr:row>13</xdr:row>
      <xdr:rowOff>123825</xdr:rowOff>
    </xdr:to>
    <xdr:sp>
      <xdr:nvSpPr>
        <xdr:cNvPr id="8" name="Line 1033"/>
        <xdr:cNvSpPr>
          <a:spLocks/>
        </xdr:cNvSpPr>
      </xdr:nvSpPr>
      <xdr:spPr>
        <a:xfrm>
          <a:off x="7058025" y="1828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76200</xdr:rowOff>
    </xdr:from>
    <xdr:to>
      <xdr:col>10</xdr:col>
      <xdr:colOff>171450</xdr:colOff>
      <xdr:row>13</xdr:row>
      <xdr:rowOff>76200</xdr:rowOff>
    </xdr:to>
    <xdr:sp>
      <xdr:nvSpPr>
        <xdr:cNvPr id="9" name="Line 1034"/>
        <xdr:cNvSpPr>
          <a:spLocks/>
        </xdr:cNvSpPr>
      </xdr:nvSpPr>
      <xdr:spPr>
        <a:xfrm>
          <a:off x="5600700" y="2371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4</xdr:row>
      <xdr:rowOff>66675</xdr:rowOff>
    </xdr:from>
    <xdr:to>
      <xdr:col>8</xdr:col>
      <xdr:colOff>609600</xdr:colOff>
      <xdr:row>10</xdr:row>
      <xdr:rowOff>38100</xdr:rowOff>
    </xdr:to>
    <xdr:sp>
      <xdr:nvSpPr>
        <xdr:cNvPr id="10" name="Line 1035"/>
        <xdr:cNvSpPr>
          <a:spLocks/>
        </xdr:cNvSpPr>
      </xdr:nvSpPr>
      <xdr:spPr>
        <a:xfrm>
          <a:off x="6096000" y="781050"/>
          <a:ext cx="0" cy="1038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</xdr:row>
      <xdr:rowOff>85725</xdr:rowOff>
    </xdr:from>
    <xdr:to>
      <xdr:col>9</xdr:col>
      <xdr:colOff>161925</xdr:colOff>
      <xdr:row>15</xdr:row>
      <xdr:rowOff>57150</xdr:rowOff>
    </xdr:to>
    <xdr:sp>
      <xdr:nvSpPr>
        <xdr:cNvPr id="11" name="Line 1036"/>
        <xdr:cNvSpPr>
          <a:spLocks/>
        </xdr:cNvSpPr>
      </xdr:nvSpPr>
      <xdr:spPr>
        <a:xfrm>
          <a:off x="6334125" y="2857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9525</xdr:rowOff>
    </xdr:from>
    <xdr:to>
      <xdr:col>6</xdr:col>
      <xdr:colOff>657225</xdr:colOff>
      <xdr:row>10</xdr:row>
      <xdr:rowOff>19050</xdr:rowOff>
    </xdr:to>
    <xdr:sp>
      <xdr:nvSpPr>
        <xdr:cNvPr id="12" name="Line 1037"/>
        <xdr:cNvSpPr>
          <a:spLocks/>
        </xdr:cNvSpPr>
      </xdr:nvSpPr>
      <xdr:spPr>
        <a:xfrm>
          <a:off x="4772025" y="10858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19050</xdr:rowOff>
    </xdr:from>
    <xdr:to>
      <xdr:col>7</xdr:col>
      <xdr:colOff>419100</xdr:colOff>
      <xdr:row>6</xdr:row>
      <xdr:rowOff>19050</xdr:rowOff>
    </xdr:to>
    <xdr:sp>
      <xdr:nvSpPr>
        <xdr:cNvPr id="13" name="Line 1038"/>
        <xdr:cNvSpPr>
          <a:spLocks/>
        </xdr:cNvSpPr>
      </xdr:nvSpPr>
      <xdr:spPr>
        <a:xfrm flipH="1">
          <a:off x="4714875" y="109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38100</xdr:rowOff>
    </xdr:from>
    <xdr:to>
      <xdr:col>8</xdr:col>
      <xdr:colOff>123825</xdr:colOff>
      <xdr:row>10</xdr:row>
      <xdr:rowOff>38100</xdr:rowOff>
    </xdr:to>
    <xdr:sp>
      <xdr:nvSpPr>
        <xdr:cNvPr id="14" name="Line 1039"/>
        <xdr:cNvSpPr>
          <a:spLocks/>
        </xdr:cNvSpPr>
      </xdr:nvSpPr>
      <xdr:spPr>
        <a:xfrm flipH="1">
          <a:off x="4714875" y="18192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19050</xdr:rowOff>
    </xdr:from>
    <xdr:to>
      <xdr:col>10</xdr:col>
      <xdr:colOff>542925</xdr:colOff>
      <xdr:row>9</xdr:row>
      <xdr:rowOff>19050</xdr:rowOff>
    </xdr:to>
    <xdr:sp>
      <xdr:nvSpPr>
        <xdr:cNvPr id="15" name="Line 1040"/>
        <xdr:cNvSpPr>
          <a:spLocks/>
        </xdr:cNvSpPr>
      </xdr:nvSpPr>
      <xdr:spPr>
        <a:xfrm>
          <a:off x="4981575" y="16287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95250</xdr:rowOff>
    </xdr:from>
    <xdr:to>
      <xdr:col>9</xdr:col>
      <xdr:colOff>400050</xdr:colOff>
      <xdr:row>10</xdr:row>
      <xdr:rowOff>95250</xdr:rowOff>
    </xdr:to>
    <xdr:sp>
      <xdr:nvSpPr>
        <xdr:cNvPr id="16" name="Line 1041"/>
        <xdr:cNvSpPr>
          <a:spLocks/>
        </xdr:cNvSpPr>
      </xdr:nvSpPr>
      <xdr:spPr>
        <a:xfrm flipH="1">
          <a:off x="6143625" y="1876425"/>
          <a:ext cx="428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7</xdr:row>
      <xdr:rowOff>123825</xdr:rowOff>
    </xdr:from>
    <xdr:to>
      <xdr:col>9</xdr:col>
      <xdr:colOff>152400</xdr:colOff>
      <xdr:row>7</xdr:row>
      <xdr:rowOff>123825</xdr:rowOff>
    </xdr:to>
    <xdr:sp>
      <xdr:nvSpPr>
        <xdr:cNvPr id="17" name="Line 1042"/>
        <xdr:cNvSpPr>
          <a:spLocks/>
        </xdr:cNvSpPr>
      </xdr:nvSpPr>
      <xdr:spPr>
        <a:xfrm flipH="1">
          <a:off x="6115050" y="1390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</xdr:row>
      <xdr:rowOff>9525</xdr:rowOff>
    </xdr:from>
    <xdr:to>
      <xdr:col>14</xdr:col>
      <xdr:colOff>409575</xdr:colOff>
      <xdr:row>10</xdr:row>
      <xdr:rowOff>38100</xdr:rowOff>
    </xdr:to>
    <xdr:sp>
      <xdr:nvSpPr>
        <xdr:cNvPr id="18" name="Freeform 1043"/>
        <xdr:cNvSpPr>
          <a:spLocks/>
        </xdr:cNvSpPr>
      </xdr:nvSpPr>
      <xdr:spPr>
        <a:xfrm>
          <a:off x="7934325" y="552450"/>
          <a:ext cx="2076450" cy="1266825"/>
        </a:xfrm>
        <a:custGeom>
          <a:pathLst>
            <a:path h="129" w="218">
              <a:moveTo>
                <a:pt x="45" y="0"/>
              </a:moveTo>
              <a:lnTo>
                <a:pt x="45" y="91"/>
              </a:lnTo>
              <a:lnTo>
                <a:pt x="0" y="91"/>
              </a:lnTo>
              <a:lnTo>
                <a:pt x="0" y="129"/>
              </a:lnTo>
              <a:lnTo>
                <a:pt x="218" y="129"/>
              </a:lnTo>
              <a:lnTo>
                <a:pt x="218" y="90"/>
              </a:lnTo>
              <a:lnTo>
                <a:pt x="172" y="90"/>
              </a:lnTo>
              <a:lnTo>
                <a:pt x="172" y="1"/>
              </a:lnTo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</xdr:row>
      <xdr:rowOff>104775</xdr:rowOff>
    </xdr:from>
    <xdr:to>
      <xdr:col>13</xdr:col>
      <xdr:colOff>38100</xdr:colOff>
      <xdr:row>14</xdr:row>
      <xdr:rowOff>95250</xdr:rowOff>
    </xdr:to>
    <xdr:sp>
      <xdr:nvSpPr>
        <xdr:cNvPr id="19" name="Line 1044"/>
        <xdr:cNvSpPr>
          <a:spLocks/>
        </xdr:cNvSpPr>
      </xdr:nvSpPr>
      <xdr:spPr>
        <a:xfrm>
          <a:off x="8953500" y="3048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10</xdr:row>
      <xdr:rowOff>38100</xdr:rowOff>
    </xdr:from>
    <xdr:to>
      <xdr:col>11</xdr:col>
      <xdr:colOff>390525</xdr:colOff>
      <xdr:row>13</xdr:row>
      <xdr:rowOff>123825</xdr:rowOff>
    </xdr:to>
    <xdr:sp>
      <xdr:nvSpPr>
        <xdr:cNvPr id="20" name="Line 1045"/>
        <xdr:cNvSpPr>
          <a:spLocks/>
        </xdr:cNvSpPr>
      </xdr:nvSpPr>
      <xdr:spPr>
        <a:xfrm>
          <a:off x="793432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10</xdr:row>
      <xdr:rowOff>38100</xdr:rowOff>
    </xdr:from>
    <xdr:to>
      <xdr:col>14</xdr:col>
      <xdr:colOff>409575</xdr:colOff>
      <xdr:row>13</xdr:row>
      <xdr:rowOff>152400</xdr:rowOff>
    </xdr:to>
    <xdr:sp>
      <xdr:nvSpPr>
        <xdr:cNvPr id="21" name="Line 1046"/>
        <xdr:cNvSpPr>
          <a:spLocks/>
        </xdr:cNvSpPr>
      </xdr:nvSpPr>
      <xdr:spPr>
        <a:xfrm>
          <a:off x="10010775" y="18192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13</xdr:row>
      <xdr:rowOff>66675</xdr:rowOff>
    </xdr:from>
    <xdr:to>
      <xdr:col>14</xdr:col>
      <xdr:colOff>428625</xdr:colOff>
      <xdr:row>13</xdr:row>
      <xdr:rowOff>66675</xdr:rowOff>
    </xdr:to>
    <xdr:sp>
      <xdr:nvSpPr>
        <xdr:cNvPr id="22" name="Line 1047"/>
        <xdr:cNvSpPr>
          <a:spLocks/>
        </xdr:cNvSpPr>
      </xdr:nvSpPr>
      <xdr:spPr>
        <a:xfrm>
          <a:off x="7915275" y="23622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4</xdr:row>
      <xdr:rowOff>161925</xdr:rowOff>
    </xdr:from>
    <xdr:to>
      <xdr:col>12</xdr:col>
      <xdr:colOff>495300</xdr:colOff>
      <xdr:row>10</xdr:row>
      <xdr:rowOff>47625</xdr:rowOff>
    </xdr:to>
    <xdr:sp>
      <xdr:nvSpPr>
        <xdr:cNvPr id="23" name="Line 1048"/>
        <xdr:cNvSpPr>
          <a:spLocks/>
        </xdr:cNvSpPr>
      </xdr:nvSpPr>
      <xdr:spPr>
        <a:xfrm>
          <a:off x="8724900" y="876300"/>
          <a:ext cx="0" cy="952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7</xdr:row>
      <xdr:rowOff>114300</xdr:rowOff>
    </xdr:from>
    <xdr:to>
      <xdr:col>13</xdr:col>
      <xdr:colOff>19050</xdr:colOff>
      <xdr:row>7</xdr:row>
      <xdr:rowOff>114300</xdr:rowOff>
    </xdr:to>
    <xdr:sp>
      <xdr:nvSpPr>
        <xdr:cNvPr id="24" name="Line 1049"/>
        <xdr:cNvSpPr>
          <a:spLocks/>
        </xdr:cNvSpPr>
      </xdr:nvSpPr>
      <xdr:spPr>
        <a:xfrm flipH="1">
          <a:off x="8724900" y="1381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47625</xdr:rowOff>
    </xdr:from>
    <xdr:to>
      <xdr:col>15</xdr:col>
      <xdr:colOff>85725</xdr:colOff>
      <xdr:row>9</xdr:row>
      <xdr:rowOff>47625</xdr:rowOff>
    </xdr:to>
    <xdr:sp>
      <xdr:nvSpPr>
        <xdr:cNvPr id="25" name="Line 1050"/>
        <xdr:cNvSpPr>
          <a:spLocks/>
        </xdr:cNvSpPr>
      </xdr:nvSpPr>
      <xdr:spPr>
        <a:xfrm>
          <a:off x="7677150" y="16573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15</xdr:col>
      <xdr:colOff>95250</xdr:colOff>
      <xdr:row>6</xdr:row>
      <xdr:rowOff>0</xdr:rowOff>
    </xdr:to>
    <xdr:sp>
      <xdr:nvSpPr>
        <xdr:cNvPr id="26" name="Line 1051"/>
        <xdr:cNvSpPr>
          <a:spLocks/>
        </xdr:cNvSpPr>
      </xdr:nvSpPr>
      <xdr:spPr>
        <a:xfrm>
          <a:off x="7639050" y="10763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6</xdr:row>
      <xdr:rowOff>104775</xdr:rowOff>
    </xdr:from>
    <xdr:to>
      <xdr:col>15</xdr:col>
      <xdr:colOff>447675</xdr:colOff>
      <xdr:row>7</xdr:row>
      <xdr:rowOff>85725</xdr:rowOff>
    </xdr:to>
    <xdr:sp>
      <xdr:nvSpPr>
        <xdr:cNvPr id="27" name="Text Box 1052"/>
        <xdr:cNvSpPr txBox="1">
          <a:spLocks noChangeArrowheads="1"/>
        </xdr:cNvSpPr>
      </xdr:nvSpPr>
      <xdr:spPr>
        <a:xfrm>
          <a:off x="10086975" y="11811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根入れ地盤</a:t>
          </a:r>
        </a:p>
      </xdr:txBody>
    </xdr:sp>
    <xdr:clientData/>
  </xdr:twoCellAnchor>
  <xdr:twoCellAnchor>
    <xdr:from>
      <xdr:col>14</xdr:col>
      <xdr:colOff>523875</xdr:colOff>
      <xdr:row>11</xdr:row>
      <xdr:rowOff>47625</xdr:rowOff>
    </xdr:from>
    <xdr:to>
      <xdr:col>15</xdr:col>
      <xdr:colOff>438150</xdr:colOff>
      <xdr:row>12</xdr:row>
      <xdr:rowOff>57150</xdr:rowOff>
    </xdr:to>
    <xdr:sp>
      <xdr:nvSpPr>
        <xdr:cNvPr id="28" name="Text Box 1053"/>
        <xdr:cNvSpPr txBox="1">
          <a:spLocks noChangeArrowheads="1"/>
        </xdr:cNvSpPr>
      </xdr:nvSpPr>
      <xdr:spPr>
        <a:xfrm>
          <a:off x="10125075" y="200025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支持地盤</a:t>
          </a:r>
        </a:p>
      </xdr:txBody>
    </xdr:sp>
    <xdr:clientData/>
  </xdr:twoCellAnchor>
  <xdr:twoCellAnchor>
    <xdr:from>
      <xdr:col>7</xdr:col>
      <xdr:colOff>447675</xdr:colOff>
      <xdr:row>9</xdr:row>
      <xdr:rowOff>19050</xdr:rowOff>
    </xdr:from>
    <xdr:to>
      <xdr:col>7</xdr:col>
      <xdr:colOff>447675</xdr:colOff>
      <xdr:row>10</xdr:row>
      <xdr:rowOff>19050</xdr:rowOff>
    </xdr:to>
    <xdr:sp>
      <xdr:nvSpPr>
        <xdr:cNvPr id="29" name="Line 1054"/>
        <xdr:cNvSpPr>
          <a:spLocks/>
        </xdr:cNvSpPr>
      </xdr:nvSpPr>
      <xdr:spPr>
        <a:xfrm>
          <a:off x="5248275" y="1628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3</xdr:row>
      <xdr:rowOff>38100</xdr:rowOff>
    </xdr:from>
    <xdr:to>
      <xdr:col>9</xdr:col>
      <xdr:colOff>590550</xdr:colOff>
      <xdr:row>4</xdr:row>
      <xdr:rowOff>9525</xdr:rowOff>
    </xdr:to>
    <xdr:sp textlink="'出力'!K22">
      <xdr:nvSpPr>
        <xdr:cNvPr id="30" name="Text Box 1055"/>
        <xdr:cNvSpPr txBox="1">
          <a:spLocks noChangeArrowheads="1"/>
        </xdr:cNvSpPr>
      </xdr:nvSpPr>
      <xdr:spPr>
        <a:xfrm>
          <a:off x="5924550" y="5810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5c34c635-aabf-4219-ba3e-d5d6f42d8b92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V=1000kN</a:t>
          </a:fld>
        </a:p>
      </xdr:txBody>
    </xdr:sp>
    <xdr:clientData/>
  </xdr:twoCellAnchor>
  <xdr:twoCellAnchor>
    <xdr:from>
      <xdr:col>12</xdr:col>
      <xdr:colOff>228600</xdr:colOff>
      <xdr:row>3</xdr:row>
      <xdr:rowOff>47625</xdr:rowOff>
    </xdr:from>
    <xdr:to>
      <xdr:col>13</xdr:col>
      <xdr:colOff>381000</xdr:colOff>
      <xdr:row>4</xdr:row>
      <xdr:rowOff>19050</xdr:rowOff>
    </xdr:to>
    <xdr:sp textlink="'出力'!K22">
      <xdr:nvSpPr>
        <xdr:cNvPr id="31" name="Text Box 1056"/>
        <xdr:cNvSpPr txBox="1">
          <a:spLocks noChangeArrowheads="1"/>
        </xdr:cNvSpPr>
      </xdr:nvSpPr>
      <xdr:spPr>
        <a:xfrm>
          <a:off x="8458200" y="5905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e93cd5cb-6550-42bd-87a8-af81c03800f2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V=1000kN</a:t>
          </a:fld>
        </a:p>
      </xdr:txBody>
    </xdr:sp>
    <xdr:clientData/>
  </xdr:twoCellAnchor>
  <xdr:twoCellAnchor>
    <xdr:from>
      <xdr:col>12</xdr:col>
      <xdr:colOff>552450</xdr:colOff>
      <xdr:row>6</xdr:row>
      <xdr:rowOff>66675</xdr:rowOff>
    </xdr:from>
    <xdr:to>
      <xdr:col>14</xdr:col>
      <xdr:colOff>19050</xdr:colOff>
      <xdr:row>7</xdr:row>
      <xdr:rowOff>38100</xdr:rowOff>
    </xdr:to>
    <xdr:sp textlink="'出力'!K25">
      <xdr:nvSpPr>
        <xdr:cNvPr id="32" name="Text Box 1057"/>
        <xdr:cNvSpPr txBox="1">
          <a:spLocks noChangeArrowheads="1"/>
        </xdr:cNvSpPr>
      </xdr:nvSpPr>
      <xdr:spPr>
        <a:xfrm>
          <a:off x="8782050" y="114300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2f98d9d2-1b8c-4802-aca7-19258ef1367f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eL=0.12m</a:t>
          </a:fld>
        </a:p>
      </xdr:txBody>
    </xdr:sp>
    <xdr:clientData/>
  </xdr:twoCellAnchor>
  <xdr:twoCellAnchor>
    <xdr:from>
      <xdr:col>8</xdr:col>
      <xdr:colOff>628650</xdr:colOff>
      <xdr:row>6</xdr:row>
      <xdr:rowOff>76200</xdr:rowOff>
    </xdr:from>
    <xdr:to>
      <xdr:col>10</xdr:col>
      <xdr:colOff>95250</xdr:colOff>
      <xdr:row>7</xdr:row>
      <xdr:rowOff>47625</xdr:rowOff>
    </xdr:to>
    <xdr:sp textlink="'出力'!K24">
      <xdr:nvSpPr>
        <xdr:cNvPr id="33" name="Text Box 1058"/>
        <xdr:cNvSpPr txBox="1">
          <a:spLocks noChangeArrowheads="1"/>
        </xdr:cNvSpPr>
      </xdr:nvSpPr>
      <xdr:spPr>
        <a:xfrm>
          <a:off x="6115050" y="1152525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a2f7dd01-3458-4f41-8092-21fda3b2a9cd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eB=0.25m</a:t>
          </a:fld>
        </a:p>
      </xdr:txBody>
    </xdr:sp>
    <xdr:clientData/>
  </xdr:twoCellAnchor>
  <xdr:twoCellAnchor>
    <xdr:from>
      <xdr:col>12</xdr:col>
      <xdr:colOff>390525</xdr:colOff>
      <xdr:row>12</xdr:row>
      <xdr:rowOff>47625</xdr:rowOff>
    </xdr:from>
    <xdr:to>
      <xdr:col>13</xdr:col>
      <xdr:colOff>542925</xdr:colOff>
      <xdr:row>13</xdr:row>
      <xdr:rowOff>19050</xdr:rowOff>
    </xdr:to>
    <xdr:sp textlink="'出力'!K20">
      <xdr:nvSpPr>
        <xdr:cNvPr id="34" name="Text Box 1059"/>
        <xdr:cNvSpPr txBox="1">
          <a:spLocks noChangeArrowheads="1"/>
        </xdr:cNvSpPr>
      </xdr:nvSpPr>
      <xdr:spPr>
        <a:xfrm>
          <a:off x="8620125" y="217170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e35c8aab-6e41-4a71-a1d2-53ff405ef917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L=5m</a:t>
          </a:fld>
        </a:p>
      </xdr:txBody>
    </xdr:sp>
    <xdr:clientData/>
  </xdr:twoCellAnchor>
  <xdr:twoCellAnchor>
    <xdr:from>
      <xdr:col>8</xdr:col>
      <xdr:colOff>457200</xdr:colOff>
      <xdr:row>12</xdr:row>
      <xdr:rowOff>104775</xdr:rowOff>
    </xdr:from>
    <xdr:to>
      <xdr:col>9</xdr:col>
      <xdr:colOff>609600</xdr:colOff>
      <xdr:row>13</xdr:row>
      <xdr:rowOff>76200</xdr:rowOff>
    </xdr:to>
    <xdr:sp textlink="'出力'!K19">
      <xdr:nvSpPr>
        <xdr:cNvPr id="35" name="Text Box 1060"/>
        <xdr:cNvSpPr txBox="1">
          <a:spLocks noChangeArrowheads="1"/>
        </xdr:cNvSpPr>
      </xdr:nvSpPr>
      <xdr:spPr>
        <a:xfrm>
          <a:off x="5943600" y="22288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47cf6cb6-3e56-45cd-a51f-d0209ec9ecc7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B=5m</a:t>
          </a:fld>
        </a:p>
      </xdr:txBody>
    </xdr:sp>
    <xdr:clientData/>
  </xdr:twoCellAnchor>
  <xdr:twoCellAnchor>
    <xdr:from>
      <xdr:col>8</xdr:col>
      <xdr:colOff>619125</xdr:colOff>
      <xdr:row>10</xdr:row>
      <xdr:rowOff>152400</xdr:rowOff>
    </xdr:from>
    <xdr:to>
      <xdr:col>10</xdr:col>
      <xdr:colOff>85725</xdr:colOff>
      <xdr:row>11</xdr:row>
      <xdr:rowOff>123825</xdr:rowOff>
    </xdr:to>
    <xdr:sp textlink="'出力'!K23">
      <xdr:nvSpPr>
        <xdr:cNvPr id="36" name="Text Box 1061"/>
        <xdr:cNvSpPr txBox="1">
          <a:spLocks noChangeArrowheads="1"/>
        </xdr:cNvSpPr>
      </xdr:nvSpPr>
      <xdr:spPr>
        <a:xfrm>
          <a:off x="6105525" y="19335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bcdbc91d-1401-459c-9a31-0af3a7930dd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H=500kN</a:t>
          </a:fld>
        </a:p>
      </xdr:txBody>
    </xdr:sp>
    <xdr:clientData/>
  </xdr:twoCellAnchor>
  <xdr:twoCellAnchor>
    <xdr:from>
      <xdr:col>6</xdr:col>
      <xdr:colOff>47625</xdr:colOff>
      <xdr:row>7</xdr:row>
      <xdr:rowOff>123825</xdr:rowOff>
    </xdr:from>
    <xdr:to>
      <xdr:col>7</xdr:col>
      <xdr:colOff>200025</xdr:colOff>
      <xdr:row>8</xdr:row>
      <xdr:rowOff>95250</xdr:rowOff>
    </xdr:to>
    <xdr:sp textlink="'出力'!K30">
      <xdr:nvSpPr>
        <xdr:cNvPr id="37" name="Text Box 1062"/>
        <xdr:cNvSpPr txBox="1">
          <a:spLocks noChangeArrowheads="1"/>
        </xdr:cNvSpPr>
      </xdr:nvSpPr>
      <xdr:spPr>
        <a:xfrm>
          <a:off x="4162425" y="13906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4875eeed-831e-4b54-89e3-d554c16305c7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Df=3.2m</a:t>
          </a:fld>
        </a:p>
      </xdr:txBody>
    </xdr:sp>
    <xdr:clientData/>
  </xdr:twoCellAnchor>
  <xdr:twoCellAnchor>
    <xdr:from>
      <xdr:col>6</xdr:col>
      <xdr:colOff>533400</xdr:colOff>
      <xdr:row>10</xdr:row>
      <xdr:rowOff>57150</xdr:rowOff>
    </xdr:from>
    <xdr:to>
      <xdr:col>8</xdr:col>
      <xdr:colOff>0</xdr:colOff>
      <xdr:row>11</xdr:row>
      <xdr:rowOff>38100</xdr:rowOff>
    </xdr:to>
    <xdr:sp textlink="'出力'!K29">
      <xdr:nvSpPr>
        <xdr:cNvPr id="38" name="Text Box 1063"/>
        <xdr:cNvSpPr txBox="1">
          <a:spLocks noChangeArrowheads="1"/>
        </xdr:cNvSpPr>
      </xdr:nvSpPr>
      <xdr:spPr>
        <a:xfrm>
          <a:off x="4648200" y="183832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0e418032-7073-464a-83cc-6d48cf3aa2c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Df'=1.2m</a:t>
          </a:fld>
        </a:p>
      </xdr:txBody>
    </xdr:sp>
    <xdr:clientData/>
  </xdr:twoCellAnchor>
  <xdr:twoCellAnchor>
    <xdr:from>
      <xdr:col>14</xdr:col>
      <xdr:colOff>476250</xdr:colOff>
      <xdr:row>7</xdr:row>
      <xdr:rowOff>57150</xdr:rowOff>
    </xdr:from>
    <xdr:to>
      <xdr:col>16</xdr:col>
      <xdr:colOff>200025</xdr:colOff>
      <xdr:row>8</xdr:row>
      <xdr:rowOff>66675</xdr:rowOff>
    </xdr:to>
    <xdr:sp textlink="'出力'!K31">
      <xdr:nvSpPr>
        <xdr:cNvPr id="39" name="Text Box 1064"/>
        <xdr:cNvSpPr txBox="1">
          <a:spLocks noChangeArrowheads="1"/>
        </xdr:cNvSpPr>
      </xdr:nvSpPr>
      <xdr:spPr>
        <a:xfrm>
          <a:off x="10077450" y="13239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e96b58d2-2d0e-4dba-9c54-0d1d2eebb1ee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γ2=18kN/m3</a:t>
          </a:fld>
        </a:p>
      </xdr:txBody>
    </xdr:sp>
    <xdr:clientData/>
  </xdr:twoCellAnchor>
  <xdr:twoCellAnchor>
    <xdr:from>
      <xdr:col>14</xdr:col>
      <xdr:colOff>495300</xdr:colOff>
      <xdr:row>12</xdr:row>
      <xdr:rowOff>19050</xdr:rowOff>
    </xdr:from>
    <xdr:to>
      <xdr:col>16</xdr:col>
      <xdr:colOff>219075</xdr:colOff>
      <xdr:row>13</xdr:row>
      <xdr:rowOff>9525</xdr:rowOff>
    </xdr:to>
    <xdr:sp textlink="'出力'!K26">
      <xdr:nvSpPr>
        <xdr:cNvPr id="40" name="Text Box 1065"/>
        <xdr:cNvSpPr txBox="1">
          <a:spLocks noChangeArrowheads="1"/>
        </xdr:cNvSpPr>
      </xdr:nvSpPr>
      <xdr:spPr>
        <a:xfrm>
          <a:off x="10096500" y="2143125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64a6d634-a097-4360-9bf2-5f194359140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γ1=19kN/m3</a:t>
          </a:fld>
        </a:p>
      </xdr:txBody>
    </xdr:sp>
    <xdr:clientData/>
  </xdr:twoCellAnchor>
  <xdr:twoCellAnchor>
    <xdr:from>
      <xdr:col>14</xdr:col>
      <xdr:colOff>504825</xdr:colOff>
      <xdr:row>13</xdr:row>
      <xdr:rowOff>9525</xdr:rowOff>
    </xdr:from>
    <xdr:to>
      <xdr:col>16</xdr:col>
      <xdr:colOff>228600</xdr:colOff>
      <xdr:row>13</xdr:row>
      <xdr:rowOff>171450</xdr:rowOff>
    </xdr:to>
    <xdr:sp textlink="'出力'!K27">
      <xdr:nvSpPr>
        <xdr:cNvPr id="41" name="Text Box 1066"/>
        <xdr:cNvSpPr txBox="1">
          <a:spLocks noChangeArrowheads="1"/>
        </xdr:cNvSpPr>
      </xdr:nvSpPr>
      <xdr:spPr>
        <a:xfrm>
          <a:off x="10106025" y="2305050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336ba285-adbf-4e80-8a62-458a35c1d01f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φ=30</a:t>
          </a:fld>
          <a:fld id="{b677d3ff-db21-4bed-9974-aaea1ecf166b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゜</a:t>
          </a:fld>
        </a:p>
      </xdr:txBody>
    </xdr:sp>
    <xdr:clientData/>
  </xdr:twoCellAnchor>
  <xdr:twoCellAnchor>
    <xdr:from>
      <xdr:col>14</xdr:col>
      <xdr:colOff>485775</xdr:colOff>
      <xdr:row>13</xdr:row>
      <xdr:rowOff>171450</xdr:rowOff>
    </xdr:from>
    <xdr:to>
      <xdr:col>16</xdr:col>
      <xdr:colOff>209550</xdr:colOff>
      <xdr:row>14</xdr:row>
      <xdr:rowOff>152400</xdr:rowOff>
    </xdr:to>
    <xdr:sp textlink="'出力'!K28">
      <xdr:nvSpPr>
        <xdr:cNvPr id="42" name="Text Box 1067"/>
        <xdr:cNvSpPr txBox="1">
          <a:spLocks noChangeArrowheads="1"/>
        </xdr:cNvSpPr>
      </xdr:nvSpPr>
      <xdr:spPr>
        <a:xfrm>
          <a:off x="10086975" y="24669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c1b73f43-a042-44a8-aef7-d933ee7d6d2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c=10kN/m2</a:t>
          </a:fld>
        </a:p>
      </xdr:txBody>
    </xdr:sp>
    <xdr:clientData/>
  </xdr:twoCellAnchor>
  <xdr:twoCellAnchor>
    <xdr:from>
      <xdr:col>3</xdr:col>
      <xdr:colOff>638175</xdr:colOff>
      <xdr:row>17</xdr:row>
      <xdr:rowOff>123825</xdr:rowOff>
    </xdr:from>
    <xdr:to>
      <xdr:col>10</xdr:col>
      <xdr:colOff>495300</xdr:colOff>
      <xdr:row>31</xdr:row>
      <xdr:rowOff>133350</xdr:rowOff>
    </xdr:to>
    <xdr:graphicFrame>
      <xdr:nvGraphicFramePr>
        <xdr:cNvPr id="43" name="グラフ 1068"/>
        <xdr:cNvGraphicFramePr/>
      </xdr:nvGraphicFramePr>
      <xdr:xfrm>
        <a:off x="2695575" y="3105150"/>
        <a:ext cx="46577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16</xdr:row>
      <xdr:rowOff>47625</xdr:rowOff>
    </xdr:from>
    <xdr:to>
      <xdr:col>16</xdr:col>
      <xdr:colOff>180975</xdr:colOff>
      <xdr:row>31</xdr:row>
      <xdr:rowOff>104775</xdr:rowOff>
    </xdr:to>
    <xdr:graphicFrame>
      <xdr:nvGraphicFramePr>
        <xdr:cNvPr id="44" name="グラフ 1070"/>
        <xdr:cNvGraphicFramePr/>
      </xdr:nvGraphicFramePr>
      <xdr:xfrm>
        <a:off x="7258050" y="2857500"/>
        <a:ext cx="3895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17</xdr:row>
      <xdr:rowOff>0</xdr:rowOff>
    </xdr:from>
    <xdr:to>
      <xdr:col>8</xdr:col>
      <xdr:colOff>495300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9562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26</xdr:row>
      <xdr:rowOff>57150</xdr:rowOff>
    </xdr:from>
    <xdr:to>
      <xdr:col>6</xdr:col>
      <xdr:colOff>581025</xdr:colOff>
      <xdr:row>27</xdr:row>
      <xdr:rowOff>85725</xdr:rowOff>
    </xdr:to>
    <xdr:sp textlink="#REF!">
      <xdr:nvSpPr>
        <xdr:cNvPr id="2" name="Text Box 4"/>
        <xdr:cNvSpPr txBox="1">
          <a:spLocks noChangeArrowheads="1"/>
        </xdr:cNvSpPr>
      </xdr:nvSpPr>
      <xdr:spPr>
        <a:xfrm>
          <a:off x="4029075" y="48672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9115c6-6bd3-47d1-b27d-9146b7f24ccd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2</xdr:col>
      <xdr:colOff>276225</xdr:colOff>
      <xdr:row>21</xdr:row>
      <xdr:rowOff>19050</xdr:rowOff>
    </xdr:from>
    <xdr:to>
      <xdr:col>3</xdr:col>
      <xdr:colOff>485775</xdr:colOff>
      <xdr:row>22</xdr:row>
      <xdr:rowOff>47625</xdr:rowOff>
    </xdr:to>
    <xdr:sp textlink="$Q$9">
      <xdr:nvSpPr>
        <xdr:cNvPr id="3" name="Text Box 5"/>
        <xdr:cNvSpPr txBox="1">
          <a:spLocks noChangeArrowheads="1"/>
        </xdr:cNvSpPr>
      </xdr:nvSpPr>
      <xdr:spPr>
        <a:xfrm>
          <a:off x="1647825" y="387667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70ad399-c950-46cc-8de9-144505ea35dc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266700</xdr:colOff>
      <xdr:row>18</xdr:row>
      <xdr:rowOff>76200</xdr:rowOff>
    </xdr:from>
    <xdr:to>
      <xdr:col>2</xdr:col>
      <xdr:colOff>523875</xdr:colOff>
      <xdr:row>19</xdr:row>
      <xdr:rowOff>104775</xdr:rowOff>
    </xdr:to>
    <xdr:sp textlink="#REF!">
      <xdr:nvSpPr>
        <xdr:cNvPr id="4" name="Text Box 6"/>
        <xdr:cNvSpPr txBox="1">
          <a:spLocks noChangeArrowheads="1"/>
        </xdr:cNvSpPr>
      </xdr:nvSpPr>
      <xdr:spPr>
        <a:xfrm>
          <a:off x="952500" y="3362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c99272-3004-439a-8000-f5751102dd28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2</xdr:col>
      <xdr:colOff>428625</xdr:colOff>
      <xdr:row>25</xdr:row>
      <xdr:rowOff>9525</xdr:rowOff>
    </xdr:from>
    <xdr:to>
      <xdr:col>3</xdr:col>
      <xdr:colOff>638175</xdr:colOff>
      <xdr:row>26</xdr:row>
      <xdr:rowOff>38100</xdr:rowOff>
    </xdr:to>
    <xdr:sp textlink="#REF!">
      <xdr:nvSpPr>
        <xdr:cNvPr id="5" name="Text Box 7"/>
        <xdr:cNvSpPr txBox="1">
          <a:spLocks noChangeArrowheads="1"/>
        </xdr:cNvSpPr>
      </xdr:nvSpPr>
      <xdr:spPr>
        <a:xfrm>
          <a:off x="1800225" y="462915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90d83d4-2edf-4937-a283-f4195030b1c2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6</xdr:col>
      <xdr:colOff>28575</xdr:colOff>
      <xdr:row>21</xdr:row>
      <xdr:rowOff>47625</xdr:rowOff>
    </xdr:from>
    <xdr:to>
      <xdr:col>7</xdr:col>
      <xdr:colOff>142875</xdr:colOff>
      <xdr:row>22</xdr:row>
      <xdr:rowOff>76200</xdr:rowOff>
    </xdr:to>
    <xdr:sp textlink="$Q$10">
      <xdr:nvSpPr>
        <xdr:cNvPr id="6" name="Text Box 8"/>
        <xdr:cNvSpPr txBox="1">
          <a:spLocks noChangeArrowheads="1"/>
        </xdr:cNvSpPr>
      </xdr:nvSpPr>
      <xdr:spPr>
        <a:xfrm>
          <a:off x="4143375" y="39052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db633c-26b2-41a7-9ebf-769f7d5637ef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219075</xdr:colOff>
      <xdr:row>21</xdr:row>
      <xdr:rowOff>85725</xdr:rowOff>
    </xdr:from>
    <xdr:to>
      <xdr:col>8</xdr:col>
      <xdr:colOff>600075</xdr:colOff>
      <xdr:row>22</xdr:row>
      <xdr:rowOff>114300</xdr:rowOff>
    </xdr:to>
    <xdr:sp textlink="$Q$16">
      <xdr:nvSpPr>
        <xdr:cNvPr id="7" name="Text Box 9"/>
        <xdr:cNvSpPr txBox="1">
          <a:spLocks noChangeArrowheads="1"/>
        </xdr:cNvSpPr>
      </xdr:nvSpPr>
      <xdr:spPr>
        <a:xfrm>
          <a:off x="5019675" y="3943350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22cbe59-e72e-4ce1-94eb-2afc22abf965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4</xdr:col>
      <xdr:colOff>542925</xdr:colOff>
      <xdr:row>29</xdr:row>
      <xdr:rowOff>0</xdr:rowOff>
    </xdr:to>
    <xdr:sp textlink="$Q$12">
      <xdr:nvSpPr>
        <xdr:cNvPr id="8" name="Text Box 10"/>
        <xdr:cNvSpPr txBox="1">
          <a:spLocks noChangeArrowheads="1"/>
        </xdr:cNvSpPr>
      </xdr:nvSpPr>
      <xdr:spPr>
        <a:xfrm>
          <a:off x="2095500" y="53816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1c544da-5e07-418e-ab98-0ba31004858f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4</xdr:col>
      <xdr:colOff>619125</xdr:colOff>
      <xdr:row>29</xdr:row>
      <xdr:rowOff>0</xdr:rowOff>
    </xdr:to>
    <xdr:sp textlink="$Q$11">
      <xdr:nvSpPr>
        <xdr:cNvPr id="9" name="Text Box 11"/>
        <xdr:cNvSpPr txBox="1">
          <a:spLocks noChangeArrowheads="1"/>
        </xdr:cNvSpPr>
      </xdr:nvSpPr>
      <xdr:spPr>
        <a:xfrm>
          <a:off x="2124075" y="53816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0637e4-a4ea-4d15-97be-ad28ee302b37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57150</xdr:colOff>
      <xdr:row>29</xdr:row>
      <xdr:rowOff>0</xdr:rowOff>
    </xdr:from>
    <xdr:to>
      <xdr:col>4</xdr:col>
      <xdr:colOff>533400</xdr:colOff>
      <xdr:row>29</xdr:row>
      <xdr:rowOff>0</xdr:rowOff>
    </xdr:to>
    <xdr:sp textlink="$Q$13">
      <xdr:nvSpPr>
        <xdr:cNvPr id="10" name="Text Box 12"/>
        <xdr:cNvSpPr txBox="1">
          <a:spLocks noChangeArrowheads="1"/>
        </xdr:cNvSpPr>
      </xdr:nvSpPr>
      <xdr:spPr>
        <a:xfrm>
          <a:off x="2114550" y="5381625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6622674-b689-4064-8ba1-94417021ddeb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47625</xdr:colOff>
      <xdr:row>18</xdr:row>
      <xdr:rowOff>66675</xdr:rowOff>
    </xdr:from>
    <xdr:to>
      <xdr:col>6</xdr:col>
      <xdr:colOff>304800</xdr:colOff>
      <xdr:row>19</xdr:row>
      <xdr:rowOff>95250</xdr:rowOff>
    </xdr:to>
    <xdr:sp textlink="#REF!">
      <xdr:nvSpPr>
        <xdr:cNvPr id="11" name="Text Box 13"/>
        <xdr:cNvSpPr txBox="1">
          <a:spLocks noChangeArrowheads="1"/>
        </xdr:cNvSpPr>
      </xdr:nvSpPr>
      <xdr:spPr>
        <a:xfrm>
          <a:off x="3476625" y="33528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25f27e2-0d1f-4bd2-be11-9f74ba40ce7c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0</xdr:col>
      <xdr:colOff>114300</xdr:colOff>
      <xdr:row>21</xdr:row>
      <xdr:rowOff>152400</xdr:rowOff>
    </xdr:from>
    <xdr:to>
      <xdr:col>1</xdr:col>
      <xdr:colOff>219075</xdr:colOff>
      <xdr:row>22</xdr:row>
      <xdr:rowOff>142875</xdr:rowOff>
    </xdr:to>
    <xdr:sp textlink="$AB$14">
      <xdr:nvSpPr>
        <xdr:cNvPr id="12" name="Text Box 14"/>
        <xdr:cNvSpPr txBox="1">
          <a:spLocks noChangeArrowheads="1"/>
        </xdr:cNvSpPr>
      </xdr:nvSpPr>
      <xdr:spPr>
        <a:xfrm>
          <a:off x="114300" y="40100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a83ab73f-767f-4c07-aba1-94b51d7b7814}" type="TxLink">
            <a:rPr lang="en-US" cap="none" sz="1100" b="0" i="0" u="none" baseline="0">
              <a:solidFill>
                <a:srgbClr val="000000"/>
              </a:solidFill>
            </a:rPr>
            <a:t>Df=3.2(m)</a:t>
          </a:fld>
        </a:p>
      </xdr:txBody>
    </xdr:sp>
    <xdr:clientData/>
  </xdr:twoCellAnchor>
  <xdr:twoCellAnchor>
    <xdr:from>
      <xdr:col>0</xdr:col>
      <xdr:colOff>200025</xdr:colOff>
      <xdr:row>24</xdr:row>
      <xdr:rowOff>142875</xdr:rowOff>
    </xdr:from>
    <xdr:to>
      <xdr:col>1</xdr:col>
      <xdr:colOff>381000</xdr:colOff>
      <xdr:row>26</xdr:row>
      <xdr:rowOff>0</xdr:rowOff>
    </xdr:to>
    <xdr:sp textlink="$AB$13">
      <xdr:nvSpPr>
        <xdr:cNvPr id="13" name="Text Box 15"/>
        <xdr:cNvSpPr txBox="1">
          <a:spLocks noChangeArrowheads="1"/>
        </xdr:cNvSpPr>
      </xdr:nvSpPr>
      <xdr:spPr>
        <a:xfrm>
          <a:off x="200025" y="45720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936aa76d-1b76-4e0e-9ad9-e76414787fab}" type="TxLink">
            <a:rPr lang="en-US" cap="none" sz="1100" b="0" i="0" u="none" baseline="0">
              <a:solidFill>
                <a:srgbClr val="000000"/>
              </a:solidFill>
            </a:rPr>
            <a:t>Df'=1.2(m)</a:t>
          </a:fld>
        </a:p>
      </xdr:txBody>
    </xdr:sp>
    <xdr:clientData/>
  </xdr:twoCellAnchor>
  <xdr:twoCellAnchor>
    <xdr:from>
      <xdr:col>2</xdr:col>
      <xdr:colOff>247650</xdr:colOff>
      <xdr:row>26</xdr:row>
      <xdr:rowOff>95250</xdr:rowOff>
    </xdr:from>
    <xdr:to>
      <xdr:col>3</xdr:col>
      <xdr:colOff>228600</xdr:colOff>
      <xdr:row>27</xdr:row>
      <xdr:rowOff>114300</xdr:rowOff>
    </xdr:to>
    <xdr:sp textlink="$AB$3">
      <xdr:nvSpPr>
        <xdr:cNvPr id="14" name="Text Box 16"/>
        <xdr:cNvSpPr txBox="1">
          <a:spLocks noChangeArrowheads="1"/>
        </xdr:cNvSpPr>
      </xdr:nvSpPr>
      <xdr:spPr>
        <a:xfrm>
          <a:off x="1619250" y="490537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e4ba8483-088b-4ddf-b0c0-ec66ae06d6cb}" type="TxLink">
            <a:rPr lang="en-US" cap="none" sz="1100" b="0" i="0" u="none" baseline="0">
              <a:solidFill>
                <a:srgbClr val="000000"/>
              </a:solidFill>
            </a:rPr>
            <a:t>B=5(m)</a:t>
          </a:fld>
        </a:p>
      </xdr:txBody>
    </xdr:sp>
    <xdr:clientData/>
  </xdr:twoCellAnchor>
  <xdr:twoCellAnchor>
    <xdr:from>
      <xdr:col>6</xdr:col>
      <xdr:colOff>161925</xdr:colOff>
      <xdr:row>26</xdr:row>
      <xdr:rowOff>66675</xdr:rowOff>
    </xdr:from>
    <xdr:to>
      <xdr:col>7</xdr:col>
      <xdr:colOff>142875</xdr:colOff>
      <xdr:row>27</xdr:row>
      <xdr:rowOff>85725</xdr:rowOff>
    </xdr:to>
    <xdr:sp textlink="$AB$4">
      <xdr:nvSpPr>
        <xdr:cNvPr id="15" name="Text Box 17"/>
        <xdr:cNvSpPr txBox="1">
          <a:spLocks noChangeArrowheads="1"/>
        </xdr:cNvSpPr>
      </xdr:nvSpPr>
      <xdr:spPr>
        <a:xfrm>
          <a:off x="4276725" y="4876800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b58563e2-c9f9-4062-9e8a-10f2021c968b}" type="TxLink">
            <a:rPr lang="en-US" cap="none" sz="1100" b="0" i="0" u="none" baseline="0">
              <a:solidFill>
                <a:srgbClr val="000000"/>
              </a:solidFill>
            </a:rPr>
            <a:t>L=5(m)</a:t>
          </a:fld>
        </a:p>
      </xdr:txBody>
    </xdr:sp>
    <xdr:clientData/>
  </xdr:twoCellAnchor>
  <xdr:twoCellAnchor>
    <xdr:from>
      <xdr:col>2</xdr:col>
      <xdr:colOff>342900</xdr:colOff>
      <xdr:row>21</xdr:row>
      <xdr:rowOff>95250</xdr:rowOff>
    </xdr:from>
    <xdr:to>
      <xdr:col>3</xdr:col>
      <xdr:colOff>523875</xdr:colOff>
      <xdr:row>22</xdr:row>
      <xdr:rowOff>114300</xdr:rowOff>
    </xdr:to>
    <xdr:sp textlink="$AB$8">
      <xdr:nvSpPr>
        <xdr:cNvPr id="16" name="Text Box 18"/>
        <xdr:cNvSpPr txBox="1">
          <a:spLocks noChangeArrowheads="1"/>
        </xdr:cNvSpPr>
      </xdr:nvSpPr>
      <xdr:spPr>
        <a:xfrm>
          <a:off x="1714500" y="39528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6ebbd08a-fad2-415c-95c5-3e1d956017ea}" type="TxLink">
            <a:rPr lang="en-US" cap="none" sz="1100" b="0" i="0" u="none" baseline="0">
              <a:solidFill>
                <a:srgbClr val="000000"/>
              </a:solidFill>
            </a:rPr>
            <a:t>eB=0.25(m)</a:t>
          </a:fld>
        </a:p>
      </xdr:txBody>
    </xdr:sp>
    <xdr:clientData/>
  </xdr:twoCellAnchor>
  <xdr:twoCellAnchor>
    <xdr:from>
      <xdr:col>2</xdr:col>
      <xdr:colOff>485775</xdr:colOff>
      <xdr:row>25</xdr:row>
      <xdr:rowOff>47625</xdr:rowOff>
    </xdr:from>
    <xdr:to>
      <xdr:col>4</xdr:col>
      <xdr:colOff>228600</xdr:colOff>
      <xdr:row>26</xdr:row>
      <xdr:rowOff>66675</xdr:rowOff>
    </xdr:to>
    <xdr:sp textlink="$AB$7">
      <xdr:nvSpPr>
        <xdr:cNvPr id="17" name="Text Box 19"/>
        <xdr:cNvSpPr txBox="1">
          <a:spLocks noChangeArrowheads="1"/>
        </xdr:cNvSpPr>
      </xdr:nvSpPr>
      <xdr:spPr>
        <a:xfrm>
          <a:off x="1857375" y="466725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e038a5f8-dbba-42cc-bf47-5e28538ffeb5}" type="TxLink">
            <a:rPr lang="en-US" cap="none" sz="1100" b="0" i="0" u="none" baseline="0">
              <a:solidFill>
                <a:srgbClr val="000000"/>
              </a:solidFill>
            </a:rPr>
            <a:t>H=500(kN)</a:t>
          </a:fld>
        </a:p>
      </xdr:txBody>
    </xdr:sp>
    <xdr:clientData/>
  </xdr:twoCellAnchor>
  <xdr:twoCellAnchor>
    <xdr:from>
      <xdr:col>2</xdr:col>
      <xdr:colOff>114300</xdr:colOff>
      <xdr:row>18</xdr:row>
      <xdr:rowOff>47625</xdr:rowOff>
    </xdr:from>
    <xdr:to>
      <xdr:col>3</xdr:col>
      <xdr:colOff>581025</xdr:colOff>
      <xdr:row>19</xdr:row>
      <xdr:rowOff>95250</xdr:rowOff>
    </xdr:to>
    <xdr:sp textlink="$AB$6">
      <xdr:nvSpPr>
        <xdr:cNvPr id="18" name="Text Box 20"/>
        <xdr:cNvSpPr txBox="1">
          <a:spLocks noChangeArrowheads="1"/>
        </xdr:cNvSpPr>
      </xdr:nvSpPr>
      <xdr:spPr>
        <a:xfrm>
          <a:off x="1485900" y="33337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da2e573e-c6ab-4a53-83b1-08d44878596f}" type="TxLink">
            <a:rPr lang="en-US" cap="none" sz="1100" b="0" i="0" u="none" baseline="0">
              <a:solidFill>
                <a:srgbClr val="000000"/>
              </a:solidFill>
            </a:rPr>
            <a:t>V=1000(kN)</a:t>
          </a:fld>
        </a:p>
      </xdr:txBody>
    </xdr:sp>
    <xdr:clientData/>
  </xdr:twoCellAnchor>
  <xdr:twoCellAnchor>
    <xdr:from>
      <xdr:col>6</xdr:col>
      <xdr:colOff>257175</xdr:colOff>
      <xdr:row>21</xdr:row>
      <xdr:rowOff>57150</xdr:rowOff>
    </xdr:from>
    <xdr:to>
      <xdr:col>7</xdr:col>
      <xdr:colOff>457200</xdr:colOff>
      <xdr:row>22</xdr:row>
      <xdr:rowOff>85725</xdr:rowOff>
    </xdr:to>
    <xdr:sp textlink="$AB$9">
      <xdr:nvSpPr>
        <xdr:cNvPr id="19" name="Text Box 21"/>
        <xdr:cNvSpPr txBox="1">
          <a:spLocks noChangeArrowheads="1"/>
        </xdr:cNvSpPr>
      </xdr:nvSpPr>
      <xdr:spPr>
        <a:xfrm>
          <a:off x="4371975" y="3914775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376875c6-0c9c-40a8-94b5-a8fed09c426a}" type="TxLink">
            <a:rPr lang="en-US" cap="none" sz="1100" b="0" i="0" u="none" baseline="0">
              <a:solidFill>
                <a:srgbClr val="000000"/>
              </a:solidFill>
            </a:rPr>
            <a:t>eL=0.12(m)</a:t>
          </a:fld>
        </a:p>
      </xdr:txBody>
    </xdr:sp>
    <xdr:clientData/>
  </xdr:twoCellAnchor>
  <xdr:twoCellAnchor>
    <xdr:from>
      <xdr:col>5</xdr:col>
      <xdr:colOff>571500</xdr:colOff>
      <xdr:row>18</xdr:row>
      <xdr:rowOff>47625</xdr:rowOff>
    </xdr:from>
    <xdr:to>
      <xdr:col>7</xdr:col>
      <xdr:colOff>333375</xdr:colOff>
      <xdr:row>19</xdr:row>
      <xdr:rowOff>95250</xdr:rowOff>
    </xdr:to>
    <xdr:sp textlink="$AB$6">
      <xdr:nvSpPr>
        <xdr:cNvPr id="20" name="Text Box 23"/>
        <xdr:cNvSpPr txBox="1">
          <a:spLocks noChangeArrowheads="1"/>
        </xdr:cNvSpPr>
      </xdr:nvSpPr>
      <xdr:spPr>
        <a:xfrm>
          <a:off x="4000500" y="3333750"/>
          <a:ext cx="1133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be41cca6-3bf0-49a5-86f8-c6188159bb9c}" type="TxLink">
            <a:rPr lang="en-US" cap="none" sz="1100" b="0" i="0" u="none" baseline="0">
              <a:solidFill>
                <a:srgbClr val="000000"/>
              </a:solidFill>
            </a:rPr>
            <a:t>V=1000(kN)</a:t>
          </a:fld>
        </a:p>
      </xdr:txBody>
    </xdr:sp>
    <xdr:clientData/>
  </xdr:twoCellAnchor>
  <xdr:twoCellAnchor editAs="oneCell">
    <xdr:from>
      <xdr:col>1</xdr:col>
      <xdr:colOff>76200</xdr:colOff>
      <xdr:row>32</xdr:row>
      <xdr:rowOff>95250</xdr:rowOff>
    </xdr:from>
    <xdr:to>
      <xdr:col>4</xdr:col>
      <xdr:colOff>552450</xdr:colOff>
      <xdr:row>34</xdr:row>
      <xdr:rowOff>104775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99122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28575</xdr:rowOff>
    </xdr:from>
    <xdr:to>
      <xdr:col>2</xdr:col>
      <xdr:colOff>590550</xdr:colOff>
      <xdr:row>39</xdr:row>
      <xdr:rowOff>38100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70675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38</xdr:row>
      <xdr:rowOff>142875</xdr:rowOff>
    </xdr:from>
    <xdr:to>
      <xdr:col>7</xdr:col>
      <xdr:colOff>409575</xdr:colOff>
      <xdr:row>48</xdr:row>
      <xdr:rowOff>142875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7181850"/>
          <a:ext cx="3105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51</xdr:row>
      <xdr:rowOff>152400</xdr:rowOff>
    </xdr:from>
    <xdr:to>
      <xdr:col>8</xdr:col>
      <xdr:colOff>514350</xdr:colOff>
      <xdr:row>68</xdr:row>
      <xdr:rowOff>152400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9629775"/>
          <a:ext cx="58864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73</xdr:row>
      <xdr:rowOff>47625</xdr:rowOff>
    </xdr:from>
    <xdr:to>
      <xdr:col>2</xdr:col>
      <xdr:colOff>161925</xdr:colOff>
      <xdr:row>74</xdr:row>
      <xdr:rowOff>85725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1363980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81</xdr:row>
      <xdr:rowOff>104775</xdr:rowOff>
    </xdr:from>
    <xdr:to>
      <xdr:col>2</xdr:col>
      <xdr:colOff>276225</xdr:colOff>
      <xdr:row>82</xdr:row>
      <xdr:rowOff>114300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1524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81</xdr:row>
      <xdr:rowOff>95250</xdr:rowOff>
    </xdr:from>
    <xdr:to>
      <xdr:col>3</xdr:col>
      <xdr:colOff>619125</xdr:colOff>
      <xdr:row>82</xdr:row>
      <xdr:rowOff>104775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15240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85</xdr:row>
      <xdr:rowOff>161925</xdr:rowOff>
    </xdr:from>
    <xdr:to>
      <xdr:col>7</xdr:col>
      <xdr:colOff>295275</xdr:colOff>
      <xdr:row>91</xdr:row>
      <xdr:rowOff>95250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16030575"/>
          <a:ext cx="435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93</xdr:row>
      <xdr:rowOff>85725</xdr:rowOff>
    </xdr:from>
    <xdr:to>
      <xdr:col>2</xdr:col>
      <xdr:colOff>457200</xdr:colOff>
      <xdr:row>95</xdr:row>
      <xdr:rowOff>114300</xdr:rowOff>
    </xdr:to>
    <xdr:pic>
      <xdr:nvPicPr>
        <xdr:cNvPr id="29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174593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134</xdr:row>
      <xdr:rowOff>95250</xdr:rowOff>
    </xdr:from>
    <xdr:to>
      <xdr:col>2</xdr:col>
      <xdr:colOff>495300</xdr:colOff>
      <xdr:row>136</xdr:row>
      <xdr:rowOff>66675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1075" y="2497455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140</xdr:row>
      <xdr:rowOff>85725</xdr:rowOff>
    </xdr:from>
    <xdr:to>
      <xdr:col>2</xdr:col>
      <xdr:colOff>504825</xdr:colOff>
      <xdr:row>142</xdr:row>
      <xdr:rowOff>57150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85875" y="260508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195</xdr:row>
      <xdr:rowOff>76200</xdr:rowOff>
    </xdr:from>
    <xdr:to>
      <xdr:col>4</xdr:col>
      <xdr:colOff>533400</xdr:colOff>
      <xdr:row>197</xdr:row>
      <xdr:rowOff>66675</xdr:rowOff>
    </xdr:to>
    <xdr:pic>
      <xdr:nvPicPr>
        <xdr:cNvPr id="3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584257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202</xdr:row>
      <xdr:rowOff>0</xdr:rowOff>
    </xdr:from>
    <xdr:to>
      <xdr:col>6</xdr:col>
      <xdr:colOff>257175</xdr:colOff>
      <xdr:row>214</xdr:row>
      <xdr:rowOff>38100</xdr:rowOff>
    </xdr:to>
    <xdr:graphicFrame>
      <xdr:nvGraphicFramePr>
        <xdr:cNvPr id="33" name="グラフ 78"/>
        <xdr:cNvGraphicFramePr/>
      </xdr:nvGraphicFramePr>
      <xdr:xfrm>
        <a:off x="666750" y="37042725"/>
        <a:ext cx="370522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28575</xdr:colOff>
      <xdr:row>114</xdr:row>
      <xdr:rowOff>76200</xdr:rowOff>
    </xdr:from>
    <xdr:to>
      <xdr:col>6</xdr:col>
      <xdr:colOff>257175</xdr:colOff>
      <xdr:row>116</xdr:row>
      <xdr:rowOff>152400</xdr:rowOff>
    </xdr:to>
    <xdr:pic>
      <xdr:nvPicPr>
        <xdr:cNvPr id="34" name="Picture 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0175" y="21431250"/>
          <a:ext cx="2971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118</xdr:row>
      <xdr:rowOff>38100</xdr:rowOff>
    </xdr:from>
    <xdr:to>
      <xdr:col>3</xdr:col>
      <xdr:colOff>476250</xdr:colOff>
      <xdr:row>120</xdr:row>
      <xdr:rowOff>47625</xdr:rowOff>
    </xdr:to>
    <xdr:pic>
      <xdr:nvPicPr>
        <xdr:cNvPr id="35" name="Picture 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0" y="220789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127</xdr:row>
      <xdr:rowOff>57150</xdr:rowOff>
    </xdr:from>
    <xdr:to>
      <xdr:col>4</xdr:col>
      <xdr:colOff>571500</xdr:colOff>
      <xdr:row>129</xdr:row>
      <xdr:rowOff>95250</xdr:rowOff>
    </xdr:to>
    <xdr:pic>
      <xdr:nvPicPr>
        <xdr:cNvPr id="36" name="Picture 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81125" y="23736300"/>
          <a:ext cx="1933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264</xdr:row>
      <xdr:rowOff>123825</xdr:rowOff>
    </xdr:from>
    <xdr:to>
      <xdr:col>8</xdr:col>
      <xdr:colOff>304800</xdr:colOff>
      <xdr:row>284</xdr:row>
      <xdr:rowOff>114300</xdr:rowOff>
    </xdr:to>
    <xdr:graphicFrame>
      <xdr:nvGraphicFramePr>
        <xdr:cNvPr id="37" name="グラフ 156"/>
        <xdr:cNvGraphicFramePr/>
      </xdr:nvGraphicFramePr>
      <xdr:xfrm>
        <a:off x="95250" y="47796450"/>
        <a:ext cx="5695950" cy="3419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1</xdr:col>
      <xdr:colOff>676275</xdr:colOff>
      <xdr:row>148</xdr:row>
      <xdr:rowOff>95250</xdr:rowOff>
    </xdr:from>
    <xdr:to>
      <xdr:col>3</xdr:col>
      <xdr:colOff>609600</xdr:colOff>
      <xdr:row>155</xdr:row>
      <xdr:rowOff>123825</xdr:rowOff>
    </xdr:to>
    <xdr:pic>
      <xdr:nvPicPr>
        <xdr:cNvPr id="38" name="Picture 1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2075" y="27536775"/>
          <a:ext cx="1304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121</xdr:row>
      <xdr:rowOff>38100</xdr:rowOff>
    </xdr:from>
    <xdr:to>
      <xdr:col>7</xdr:col>
      <xdr:colOff>333375</xdr:colOff>
      <xdr:row>125</xdr:row>
      <xdr:rowOff>142875</xdr:rowOff>
    </xdr:to>
    <xdr:pic>
      <xdr:nvPicPr>
        <xdr:cNvPr id="39" name="Picture 1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0" y="22593300"/>
          <a:ext cx="3800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98</xdr:row>
      <xdr:rowOff>57150</xdr:rowOff>
    </xdr:from>
    <xdr:to>
      <xdr:col>7</xdr:col>
      <xdr:colOff>466725</xdr:colOff>
      <xdr:row>111</xdr:row>
      <xdr:rowOff>161925</xdr:rowOff>
    </xdr:to>
    <xdr:pic>
      <xdr:nvPicPr>
        <xdr:cNvPr id="40" name="Picture 1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6275" y="18402300"/>
          <a:ext cx="45910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showRowColHeaders="0" tabSelected="1" zoomScalePageLayoutView="0" workbookViewId="0" topLeftCell="A10">
      <selection activeCell="H46" sqref="H46"/>
    </sheetView>
  </sheetViews>
  <sheetFormatPr defaultColWidth="9.00390625" defaultRowHeight="13.5"/>
  <cols>
    <col min="1" max="16384" width="9.00390625" style="43" customWidth="1"/>
  </cols>
  <sheetData>
    <row r="1" spans="1:17" ht="15.75">
      <c r="A1" s="41" t="s">
        <v>148</v>
      </c>
      <c r="B1" s="42"/>
      <c r="C1" s="42" t="s">
        <v>195</v>
      </c>
      <c r="D1" s="42"/>
      <c r="E1" s="42"/>
      <c r="F1" s="42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3.5">
      <c r="A2" s="44"/>
      <c r="B2" s="42"/>
      <c r="C2" s="42"/>
      <c r="D2" s="42"/>
      <c r="E2" s="42"/>
      <c r="F2" s="42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3.5">
      <c r="A3" s="44" t="s">
        <v>146</v>
      </c>
      <c r="B3" s="42"/>
      <c r="C3" s="42"/>
      <c r="D3" s="42"/>
      <c r="E3" s="42"/>
      <c r="F3" s="42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3.5">
      <c r="A4" s="42"/>
      <c r="B4" s="45" t="s">
        <v>0</v>
      </c>
      <c r="C4" s="46" t="s">
        <v>1</v>
      </c>
      <c r="D4" s="47" t="s">
        <v>18</v>
      </c>
      <c r="E4" s="51">
        <v>5</v>
      </c>
      <c r="F4" s="42" t="s">
        <v>43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3.5">
      <c r="A5" s="42"/>
      <c r="B5" s="42"/>
      <c r="C5" s="46" t="s">
        <v>44</v>
      </c>
      <c r="D5" s="47" t="s">
        <v>20</v>
      </c>
      <c r="E5" s="51">
        <v>5</v>
      </c>
      <c r="F5" s="42" t="s">
        <v>19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>
      <c r="A6" s="42"/>
      <c r="B6" s="42"/>
      <c r="C6" s="46" t="s">
        <v>45</v>
      </c>
      <c r="D6" s="47"/>
      <c r="E6" s="57"/>
      <c r="F6" s="42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">
      <c r="A7" s="42"/>
      <c r="B7" s="45" t="s">
        <v>46</v>
      </c>
      <c r="C7" s="46" t="s">
        <v>6</v>
      </c>
      <c r="D7" s="47" t="s">
        <v>21</v>
      </c>
      <c r="E7" s="51">
        <v>1000</v>
      </c>
      <c r="F7" s="42" t="s">
        <v>22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3.5">
      <c r="A8" s="42"/>
      <c r="B8" s="42"/>
      <c r="C8" s="46" t="s">
        <v>23</v>
      </c>
      <c r="D8" s="47" t="s">
        <v>24</v>
      </c>
      <c r="E8" s="51">
        <v>500</v>
      </c>
      <c r="F8" s="42" t="s">
        <v>25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3.5">
      <c r="A9" s="42"/>
      <c r="B9" s="46" t="s">
        <v>47</v>
      </c>
      <c r="C9" s="46" t="s">
        <v>8</v>
      </c>
      <c r="D9" s="47" t="s">
        <v>26</v>
      </c>
      <c r="E9" s="51">
        <v>0.25</v>
      </c>
      <c r="F9" s="42" t="s">
        <v>27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3.5">
      <c r="A10" s="42"/>
      <c r="B10" s="42"/>
      <c r="C10" s="46" t="s">
        <v>9</v>
      </c>
      <c r="D10" s="47" t="s">
        <v>28</v>
      </c>
      <c r="E10" s="51">
        <v>0.12</v>
      </c>
      <c r="F10" s="42" t="s">
        <v>29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3.5">
      <c r="A11" s="42"/>
      <c r="B11" s="45" t="s">
        <v>10</v>
      </c>
      <c r="C11" s="46" t="s">
        <v>11</v>
      </c>
      <c r="D11" s="48" t="s">
        <v>48</v>
      </c>
      <c r="E11" s="51">
        <v>19</v>
      </c>
      <c r="F11" s="42" t="s">
        <v>30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>
      <c r="A12" s="42"/>
      <c r="B12" s="42"/>
      <c r="C12" s="46" t="s">
        <v>12</v>
      </c>
      <c r="D12" s="48" t="s">
        <v>49</v>
      </c>
      <c r="E12" s="51">
        <v>30</v>
      </c>
      <c r="F12" s="42" t="s">
        <v>50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>
      <c r="A13" s="42"/>
      <c r="B13" s="42"/>
      <c r="C13" s="46" t="s">
        <v>31</v>
      </c>
      <c r="D13" s="47" t="s">
        <v>32</v>
      </c>
      <c r="E13" s="51">
        <v>10</v>
      </c>
      <c r="F13" s="42" t="s">
        <v>33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3.5">
      <c r="A14" s="42"/>
      <c r="B14" s="42"/>
      <c r="C14" s="46" t="s">
        <v>51</v>
      </c>
      <c r="D14" s="47" t="s">
        <v>34</v>
      </c>
      <c r="E14" s="51">
        <v>1.2</v>
      </c>
      <c r="F14" s="42" t="s">
        <v>35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42"/>
      <c r="B15" s="46" t="s">
        <v>52</v>
      </c>
      <c r="C15" s="46" t="s">
        <v>13</v>
      </c>
      <c r="D15" s="47" t="s">
        <v>36</v>
      </c>
      <c r="E15" s="51">
        <v>3.2</v>
      </c>
      <c r="F15" s="42" t="s">
        <v>35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3.5">
      <c r="A16" s="42"/>
      <c r="B16" s="42"/>
      <c r="C16" s="46" t="s">
        <v>53</v>
      </c>
      <c r="D16" s="48" t="s">
        <v>54</v>
      </c>
      <c r="E16" s="51">
        <v>18</v>
      </c>
      <c r="F16" s="42" t="s">
        <v>30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3.5">
      <c r="A17" s="42"/>
      <c r="C17" s="46"/>
      <c r="D17" s="50" t="s">
        <v>151</v>
      </c>
      <c r="E17" s="51">
        <v>0.5</v>
      </c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ht="12.75">
      <c r="A18" s="43" t="s">
        <v>147</v>
      </c>
    </row>
    <row r="19" spans="2:4" ht="12.75">
      <c r="B19" s="49" t="s">
        <v>145</v>
      </c>
      <c r="C19" s="49" t="str">
        <f>"Nc= "&amp;'出力'!J329</f>
        <v>Nc= 10.11</v>
      </c>
      <c r="D19" s="40"/>
    </row>
    <row r="20" spans="2:4" ht="12.75">
      <c r="B20" s="40"/>
      <c r="C20" s="49" t="str">
        <f>"Nq= "&amp;'出力'!J328</f>
        <v>Nq= 4.98</v>
      </c>
      <c r="D20" s="40"/>
    </row>
    <row r="21" spans="2:4" ht="12.75">
      <c r="B21" s="40"/>
      <c r="C21" s="49" t="str">
        <f>"Nγ= "&amp;'出力'!J330</f>
        <v>Nγ= 1.07</v>
      </c>
      <c r="D21" s="40"/>
    </row>
    <row r="22" spans="2:4" ht="12.75">
      <c r="B22" s="40"/>
      <c r="C22" s="49" t="str">
        <f>"極限支持力 Qu= "&amp;'出力'!J331&amp;'出力'!K331</f>
        <v>極限支持力 Qu= 6654(kN)</v>
      </c>
      <c r="D22" s="40"/>
    </row>
    <row r="23" spans="2:4" ht="12.75">
      <c r="B23" s="40"/>
      <c r="C23" s="49" t="str">
        <f>"安全率  "&amp;'出力'!J202&amp;'出力'!K202</f>
        <v>安全率  Fs=6.65</v>
      </c>
      <c r="D23" s="40"/>
    </row>
    <row r="35" ht="12.75">
      <c r="F35" s="43" t="s">
        <v>188</v>
      </c>
    </row>
    <row r="36" ht="12.75">
      <c r="F36" s="43" t="s">
        <v>189</v>
      </c>
    </row>
    <row r="37" ht="12.75">
      <c r="F37" s="43" t="s">
        <v>190</v>
      </c>
    </row>
    <row r="38" ht="12.75">
      <c r="F38" s="43" t="s">
        <v>191</v>
      </c>
    </row>
    <row r="39" ht="12.75">
      <c r="F39" s="43" t="s">
        <v>192</v>
      </c>
    </row>
    <row r="40" ht="12.75">
      <c r="F40" s="43" t="s">
        <v>193</v>
      </c>
    </row>
    <row r="41" ht="12.75">
      <c r="F41" s="43" t="s">
        <v>194</v>
      </c>
    </row>
    <row r="43" spans="1:6" ht="12.75">
      <c r="A43" s="72"/>
      <c r="B43" s="72"/>
      <c r="C43" s="72"/>
      <c r="D43" s="72"/>
      <c r="E43" s="72"/>
      <c r="F43" s="72"/>
    </row>
    <row r="44" spans="1:7" ht="12.75">
      <c r="A44" s="74"/>
      <c r="B44" s="75"/>
      <c r="C44" s="75"/>
      <c r="D44" s="75"/>
      <c r="E44" s="75"/>
      <c r="F44" s="75"/>
      <c r="G44" s="73"/>
    </row>
    <row r="45" spans="1:7" ht="12.75">
      <c r="A45" s="74"/>
      <c r="B45" s="76"/>
      <c r="C45" s="74"/>
      <c r="D45" s="77"/>
      <c r="E45" s="77"/>
      <c r="F45" s="77"/>
      <c r="G45" s="73"/>
    </row>
    <row r="46" spans="1:7" ht="30" customHeight="1">
      <c r="A46" s="74"/>
      <c r="B46" s="78"/>
      <c r="C46" s="78"/>
      <c r="D46" s="78"/>
      <c r="E46" s="78"/>
      <c r="F46" s="78"/>
      <c r="G46" s="73"/>
    </row>
    <row r="47" spans="1:7" ht="12.75">
      <c r="A47" s="74"/>
      <c r="B47" s="79"/>
      <c r="C47" s="79"/>
      <c r="D47" s="79"/>
      <c r="E47" s="79"/>
      <c r="F47" s="79"/>
      <c r="G47" s="73"/>
    </row>
    <row r="48" spans="1:7" ht="12.75">
      <c r="A48" s="74"/>
      <c r="B48" s="79"/>
      <c r="C48" s="79"/>
      <c r="D48" s="79"/>
      <c r="E48" s="79"/>
      <c r="F48" s="79"/>
      <c r="G48" s="73"/>
    </row>
    <row r="49" spans="1:7" ht="15.75">
      <c r="A49" s="74"/>
      <c r="B49" s="80"/>
      <c r="C49" s="81"/>
      <c r="D49" s="79"/>
      <c r="E49" s="79"/>
      <c r="F49" s="79"/>
      <c r="G49" s="73"/>
    </row>
    <row r="50" spans="1:7" ht="15.75">
      <c r="A50" s="74"/>
      <c r="B50" s="82"/>
      <c r="C50" s="81"/>
      <c r="D50" s="79"/>
      <c r="E50" s="79"/>
      <c r="F50" s="79"/>
      <c r="G50" s="73"/>
    </row>
    <row r="51" spans="1:6" ht="12.75">
      <c r="A51" s="72"/>
      <c r="B51" s="72"/>
      <c r="C51" s="72"/>
      <c r="D51" s="72"/>
      <c r="E51" s="72"/>
      <c r="F51" s="72"/>
    </row>
    <row r="53" ht="12.75">
      <c r="A53" s="43" t="s">
        <v>196</v>
      </c>
    </row>
    <row r="54" ht="12.75">
      <c r="A54" s="43" t="s">
        <v>197</v>
      </c>
    </row>
  </sheetData>
  <sheetProtection sheet="1" objects="1" scenarios="1"/>
  <mergeCells count="2">
    <mergeCell ref="B44:F44"/>
    <mergeCell ref="B46:F46"/>
  </mergeCells>
  <printOptions/>
  <pageMargins left="0.75" right="0.75" top="1" bottom="1" header="0.512" footer="0.512"/>
  <pageSetup horizontalDpi="600" verticalDpi="600" orientation="landscape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3"/>
  <sheetViews>
    <sheetView zoomScalePageLayoutView="0" workbookViewId="0" topLeftCell="A94">
      <selection activeCell="I109" sqref="I109"/>
    </sheetView>
  </sheetViews>
  <sheetFormatPr defaultColWidth="9.00390625" defaultRowHeight="13.5"/>
  <cols>
    <col min="1" max="13" width="9.00390625" style="8" customWidth="1"/>
    <col min="14" max="14" width="13.125" style="8" bestFit="1" customWidth="1"/>
    <col min="15" max="18" width="9.00390625" style="8" customWidth="1"/>
    <col min="19" max="19" width="12.125" style="8" bestFit="1" customWidth="1"/>
    <col min="20" max="16384" width="9.00390625" style="8" customWidth="1"/>
  </cols>
  <sheetData>
    <row r="1" spans="1:9" ht="14.25">
      <c r="A1" s="56"/>
      <c r="B1" s="13"/>
      <c r="C1" s="13"/>
      <c r="D1" s="13"/>
      <c r="E1" s="13"/>
      <c r="F1" s="13"/>
      <c r="G1" s="13"/>
      <c r="H1" s="13"/>
      <c r="I1" s="13"/>
    </row>
    <row r="2" spans="1:9" ht="13.5">
      <c r="A2" s="39"/>
      <c r="B2" s="13"/>
      <c r="C2" s="13"/>
      <c r="D2" s="13"/>
      <c r="E2" s="13"/>
      <c r="F2" s="13"/>
      <c r="G2" s="13"/>
      <c r="H2" s="13"/>
      <c r="I2" s="13"/>
    </row>
    <row r="3" spans="1:29" ht="13.5">
      <c r="A3" s="38" t="s">
        <v>163</v>
      </c>
      <c r="B3" s="13"/>
      <c r="C3" s="13"/>
      <c r="D3" s="17"/>
      <c r="E3" s="17"/>
      <c r="F3" s="17"/>
      <c r="G3" s="17"/>
      <c r="H3" s="13"/>
      <c r="I3" s="13"/>
      <c r="AB3" s="13" t="str">
        <f aca="true" t="shared" si="0" ref="AB3:AB15">D4&amp;E4&amp;F4</f>
        <v>B=5(m)</v>
      </c>
      <c r="AC3" s="13"/>
    </row>
    <row r="4" spans="1:29" ht="13.5">
      <c r="A4" s="13"/>
      <c r="B4" s="1" t="s">
        <v>0</v>
      </c>
      <c r="C4" s="2" t="s">
        <v>1</v>
      </c>
      <c r="D4" s="53" t="s">
        <v>152</v>
      </c>
      <c r="E4" s="33">
        <f>'入力'!E4</f>
        <v>5</v>
      </c>
      <c r="F4" s="17" t="s">
        <v>138</v>
      </c>
      <c r="G4" s="17"/>
      <c r="P4" s="13"/>
      <c r="AB4" s="13" t="str">
        <f t="shared" si="0"/>
        <v>L=5(m)</v>
      </c>
      <c r="AC4" s="13"/>
    </row>
    <row r="5" spans="1:29" ht="13.5">
      <c r="A5" s="13"/>
      <c r="B5" s="13"/>
      <c r="C5" s="2" t="s">
        <v>44</v>
      </c>
      <c r="D5" s="53" t="s">
        <v>153</v>
      </c>
      <c r="E5" s="33">
        <f>'入力'!E5</f>
        <v>5</v>
      </c>
      <c r="F5" s="17" t="s">
        <v>138</v>
      </c>
      <c r="G5" s="17"/>
      <c r="P5" s="13"/>
      <c r="AB5" s="13" t="str">
        <f t="shared" si="0"/>
        <v>帯　状</v>
      </c>
      <c r="AC5" s="13"/>
    </row>
    <row r="6" spans="1:29" ht="13.5">
      <c r="A6" s="13"/>
      <c r="B6" s="13"/>
      <c r="C6" s="2" t="s">
        <v>45</v>
      </c>
      <c r="D6" s="69" t="str">
        <f>AC24</f>
        <v>帯　状</v>
      </c>
      <c r="E6" s="17"/>
      <c r="F6" s="17"/>
      <c r="G6" s="17"/>
      <c r="P6" s="13"/>
      <c r="AB6" s="13" t="str">
        <f t="shared" si="0"/>
        <v>V=1000(kN)</v>
      </c>
      <c r="AC6" s="13"/>
    </row>
    <row r="7" spans="1:29" ht="13.5">
      <c r="A7" s="13"/>
      <c r="B7" s="1" t="s">
        <v>46</v>
      </c>
      <c r="C7" s="2" t="s">
        <v>6</v>
      </c>
      <c r="D7" s="53" t="s">
        <v>186</v>
      </c>
      <c r="E7" s="33">
        <f>'入力'!E7</f>
        <v>1000</v>
      </c>
      <c r="F7" s="17" t="s">
        <v>139</v>
      </c>
      <c r="G7" s="17"/>
      <c r="P7" s="13"/>
      <c r="AB7" s="13" t="str">
        <f t="shared" si="0"/>
        <v>H=500(kN)</v>
      </c>
      <c r="AC7" s="13"/>
    </row>
    <row r="8" spans="1:29" ht="13.5">
      <c r="A8" s="13"/>
      <c r="B8" s="13"/>
      <c r="C8" s="2" t="s">
        <v>23</v>
      </c>
      <c r="D8" s="53" t="s">
        <v>154</v>
      </c>
      <c r="E8" s="33">
        <f>'入力'!E8</f>
        <v>500</v>
      </c>
      <c r="F8" s="17" t="s">
        <v>139</v>
      </c>
      <c r="G8" s="17"/>
      <c r="P8" s="13"/>
      <c r="AB8" s="13" t="str">
        <f t="shared" si="0"/>
        <v>eB=0.25(m)</v>
      </c>
      <c r="AC8" s="13"/>
    </row>
    <row r="9" spans="1:29" ht="15.75">
      <c r="A9" s="13"/>
      <c r="B9" s="2" t="s">
        <v>47</v>
      </c>
      <c r="C9" s="2" t="s">
        <v>8</v>
      </c>
      <c r="D9" s="53" t="s">
        <v>155</v>
      </c>
      <c r="E9" s="33">
        <f>'入力'!E9</f>
        <v>0.25</v>
      </c>
      <c r="F9" s="17" t="s">
        <v>138</v>
      </c>
      <c r="G9" s="17"/>
      <c r="AB9" s="13" t="str">
        <f t="shared" si="0"/>
        <v>eL=0.12(m)</v>
      </c>
      <c r="AC9" s="13"/>
    </row>
    <row r="10" spans="1:29" ht="15.75">
      <c r="A10" s="13"/>
      <c r="B10" s="13"/>
      <c r="C10" s="2" t="s">
        <v>9</v>
      </c>
      <c r="D10" s="53" t="s">
        <v>156</v>
      </c>
      <c r="E10" s="33">
        <f>'入力'!E10</f>
        <v>0.12</v>
      </c>
      <c r="F10" s="17" t="s">
        <v>138</v>
      </c>
      <c r="G10" s="17"/>
      <c r="AB10" s="13" t="str">
        <f t="shared" si="0"/>
        <v>γ1=19(kN/m3)</v>
      </c>
      <c r="AC10" s="13"/>
    </row>
    <row r="11" spans="1:29" ht="15.75">
      <c r="A11" s="13"/>
      <c r="B11" s="1" t="s">
        <v>10</v>
      </c>
      <c r="C11" s="2" t="s">
        <v>11</v>
      </c>
      <c r="D11" s="54" t="s">
        <v>157</v>
      </c>
      <c r="E11" s="33">
        <f>'入力'!E11</f>
        <v>19</v>
      </c>
      <c r="F11" s="17" t="s">
        <v>140</v>
      </c>
      <c r="G11" s="17"/>
      <c r="AB11" s="13" t="str">
        <f t="shared" si="0"/>
        <v>φ=30(度)</v>
      </c>
      <c r="AC11" s="13"/>
    </row>
    <row r="12" spans="1:29" ht="13.5">
      <c r="A12" s="13"/>
      <c r="B12" s="13"/>
      <c r="C12" s="2" t="s">
        <v>12</v>
      </c>
      <c r="D12" s="54" t="s">
        <v>158</v>
      </c>
      <c r="E12" s="33">
        <f>'入力'!E12</f>
        <v>30</v>
      </c>
      <c r="F12" s="17" t="s">
        <v>141</v>
      </c>
      <c r="G12" s="17"/>
      <c r="AB12" s="13" t="str">
        <f t="shared" si="0"/>
        <v>c=10(kN/m2)</v>
      </c>
      <c r="AC12" s="13"/>
    </row>
    <row r="13" spans="1:29" ht="13.5">
      <c r="A13" s="13"/>
      <c r="B13" s="13"/>
      <c r="C13" s="2" t="s">
        <v>31</v>
      </c>
      <c r="D13" s="53" t="s">
        <v>159</v>
      </c>
      <c r="E13" s="33">
        <f>'入力'!E13</f>
        <v>10</v>
      </c>
      <c r="F13" s="17" t="s">
        <v>142</v>
      </c>
      <c r="G13" s="17"/>
      <c r="AB13" s="13" t="str">
        <f t="shared" si="0"/>
        <v>Df'=1.2(m)</v>
      </c>
      <c r="AC13" s="13"/>
    </row>
    <row r="14" spans="1:29" ht="15.75">
      <c r="A14" s="13"/>
      <c r="B14" s="13"/>
      <c r="C14" s="2" t="s">
        <v>51</v>
      </c>
      <c r="D14" s="53" t="s">
        <v>160</v>
      </c>
      <c r="E14" s="33">
        <f>'入力'!E14</f>
        <v>1.2</v>
      </c>
      <c r="F14" s="17" t="s">
        <v>143</v>
      </c>
      <c r="G14" s="17"/>
      <c r="M14" s="4"/>
      <c r="AB14" s="13" t="str">
        <f t="shared" si="0"/>
        <v>Df=3.2(m)</v>
      </c>
      <c r="AC14" s="13"/>
    </row>
    <row r="15" spans="1:29" ht="15.75">
      <c r="A15" s="13"/>
      <c r="B15" s="2" t="s">
        <v>52</v>
      </c>
      <c r="C15" s="2" t="s">
        <v>13</v>
      </c>
      <c r="D15" s="53" t="s">
        <v>161</v>
      </c>
      <c r="E15" s="33">
        <f>'入力'!E15</f>
        <v>3.2</v>
      </c>
      <c r="F15" s="17" t="s">
        <v>143</v>
      </c>
      <c r="G15" s="17"/>
      <c r="AB15" s="13" t="str">
        <f t="shared" si="0"/>
        <v>γ2=18(kN/m3)</v>
      </c>
      <c r="AC15" s="13"/>
    </row>
    <row r="16" spans="1:7" ht="15.75">
      <c r="A16" s="13"/>
      <c r="B16" s="13"/>
      <c r="C16" s="2" t="s">
        <v>53</v>
      </c>
      <c r="D16" s="54" t="s">
        <v>162</v>
      </c>
      <c r="E16" s="33">
        <f>'入力'!E16</f>
        <v>18</v>
      </c>
      <c r="F16" s="17" t="s">
        <v>144</v>
      </c>
      <c r="G16" s="17"/>
    </row>
    <row r="17" spans="1:9" ht="13.5">
      <c r="A17" s="13"/>
      <c r="B17" s="13"/>
      <c r="C17" s="15"/>
      <c r="D17" s="13"/>
      <c r="E17" s="14"/>
      <c r="F17" s="13"/>
      <c r="G17" s="13"/>
      <c r="H17" s="13"/>
      <c r="I17" s="13"/>
    </row>
    <row r="18" spans="1:9" ht="15">
      <c r="A18" s="13"/>
      <c r="B18" s="13"/>
      <c r="C18" s="13"/>
      <c r="D18" s="13"/>
      <c r="E18" s="13"/>
      <c r="F18" s="13"/>
      <c r="G18" s="13"/>
      <c r="H18" s="13"/>
      <c r="I18" s="13"/>
    </row>
    <row r="19" spans="1:12" ht="15">
      <c r="A19" s="13"/>
      <c r="B19" s="13"/>
      <c r="C19" s="15"/>
      <c r="D19" s="13"/>
      <c r="E19" s="13"/>
      <c r="F19" s="13"/>
      <c r="G19" s="13"/>
      <c r="H19" s="13"/>
      <c r="I19" s="13"/>
      <c r="K19" t="str">
        <f>'入力'!D4&amp;'入力'!E4&amp;"m"</f>
        <v>B=5m</v>
      </c>
      <c r="L19"/>
    </row>
    <row r="20" spans="1:31" ht="15">
      <c r="A20" s="13"/>
      <c r="B20" s="13"/>
      <c r="C20" s="15"/>
      <c r="D20" s="13"/>
      <c r="E20" s="13"/>
      <c r="F20" s="13"/>
      <c r="G20" s="13"/>
      <c r="H20" s="13"/>
      <c r="I20" s="13"/>
      <c r="K20" t="str">
        <f>'入力'!D5&amp;'入力'!E5&amp;"m"</f>
        <v>L=5m</v>
      </c>
      <c r="L20"/>
      <c r="AB20" s="58"/>
      <c r="AC20" s="59"/>
      <c r="AD20" s="60" t="s">
        <v>2</v>
      </c>
      <c r="AE20" s="61" t="s">
        <v>3</v>
      </c>
    </row>
    <row r="21" spans="1:31" ht="15">
      <c r="A21" s="13"/>
      <c r="B21" s="13"/>
      <c r="C21" s="15"/>
      <c r="D21" s="13"/>
      <c r="E21" s="13"/>
      <c r="F21" s="13"/>
      <c r="G21" s="13"/>
      <c r="H21" s="13"/>
      <c r="I21" s="13"/>
      <c r="K21"/>
      <c r="L21"/>
      <c r="AB21" s="62">
        <v>1</v>
      </c>
      <c r="AC21" s="63" t="s">
        <v>4</v>
      </c>
      <c r="AD21" s="64">
        <v>1</v>
      </c>
      <c r="AE21" s="65">
        <v>1</v>
      </c>
    </row>
    <row r="22" spans="1:31" ht="15">
      <c r="A22" s="13"/>
      <c r="B22" s="13"/>
      <c r="C22" s="13"/>
      <c r="D22" s="13"/>
      <c r="E22" s="13"/>
      <c r="F22" s="13"/>
      <c r="G22" s="13"/>
      <c r="H22" s="13"/>
      <c r="I22" s="13"/>
      <c r="K22" t="str">
        <f>'入力'!D7&amp;'入力'!E7&amp;"kN"</f>
        <v>V=1000kN</v>
      </c>
      <c r="L22"/>
      <c r="AB22" s="62">
        <v>2</v>
      </c>
      <c r="AC22" s="63" t="s">
        <v>5</v>
      </c>
      <c r="AD22" s="64">
        <v>1.3</v>
      </c>
      <c r="AE22" s="65">
        <v>0.6</v>
      </c>
    </row>
    <row r="23" spans="1:31" ht="15">
      <c r="A23" s="13"/>
      <c r="B23" s="13"/>
      <c r="C23" s="13"/>
      <c r="D23" s="13"/>
      <c r="E23" s="13"/>
      <c r="F23" s="13"/>
      <c r="G23" s="13"/>
      <c r="H23" s="13"/>
      <c r="I23" s="13"/>
      <c r="K23" t="str">
        <f>'入力'!D8&amp;'入力'!E8&amp;"kN"</f>
        <v>H=500kN</v>
      </c>
      <c r="L23"/>
      <c r="AB23" s="62">
        <v>3</v>
      </c>
      <c r="AC23" s="63" t="s">
        <v>7</v>
      </c>
      <c r="AD23" s="64">
        <f>ROUND(1+0.3*S190/S191,2)</f>
        <v>1.28</v>
      </c>
      <c r="AE23" s="65">
        <f>ROUND(1-0.4*S190/S191,2)</f>
        <v>0.62</v>
      </c>
    </row>
    <row r="24" spans="1:31" ht="15">
      <c r="A24" s="13"/>
      <c r="B24" s="13"/>
      <c r="C24" s="13"/>
      <c r="D24" s="13"/>
      <c r="E24" s="13"/>
      <c r="F24" s="13"/>
      <c r="G24" s="13"/>
      <c r="H24" s="13"/>
      <c r="I24" s="13"/>
      <c r="K24" t="str">
        <f>'入力'!D9&amp;'入力'!E9&amp;"m"</f>
        <v>eB=0.25m</v>
      </c>
      <c r="L24"/>
      <c r="AB24" s="66">
        <v>1</v>
      </c>
      <c r="AC24" s="67" t="str">
        <f>IF($AB$24=1,AC21,IF($AB$24=2,AC22,AC23))</f>
        <v>帯　状</v>
      </c>
      <c r="AD24" s="67">
        <f>IF($AB$24=1,AD21,IF($AB$24=2,AD22,AD23))</f>
        <v>1</v>
      </c>
      <c r="AE24" s="68">
        <f>IF($AB$24=1,AE21,IF($AB$24=2,AE22,AE23))</f>
        <v>1</v>
      </c>
    </row>
    <row r="25" spans="1:12" ht="15">
      <c r="A25" s="13"/>
      <c r="B25" s="13"/>
      <c r="C25" s="13"/>
      <c r="D25" s="13"/>
      <c r="E25" s="13"/>
      <c r="F25" s="13"/>
      <c r="G25" s="13"/>
      <c r="H25" s="13"/>
      <c r="I25" s="13"/>
      <c r="K25" t="str">
        <f>'入力'!D10&amp;'入力'!E10&amp;"m"</f>
        <v>eL=0.12m</v>
      </c>
      <c r="L25"/>
    </row>
    <row r="26" spans="1:12" ht="15">
      <c r="A26" s="13"/>
      <c r="B26" s="13"/>
      <c r="C26" s="13"/>
      <c r="D26" s="13"/>
      <c r="E26" s="13"/>
      <c r="F26" s="13"/>
      <c r="G26" s="13"/>
      <c r="H26" s="13"/>
      <c r="I26" s="13"/>
      <c r="K26" t="str">
        <f>'入力'!D11&amp;'入力'!E11&amp;"kN/m3"</f>
        <v>γ1=19kN/m3</v>
      </c>
      <c r="L26"/>
    </row>
    <row r="27" spans="1:12" ht="15">
      <c r="A27" s="13"/>
      <c r="B27" s="13"/>
      <c r="C27" s="13"/>
      <c r="D27" s="13"/>
      <c r="E27" s="13"/>
      <c r="F27" s="13"/>
      <c r="G27" s="13"/>
      <c r="H27" s="13"/>
      <c r="I27" s="13"/>
      <c r="K27" t="str">
        <f>'入力'!D12&amp;'入力'!E12&amp;"゜"</f>
        <v>φ=30゜</v>
      </c>
      <c r="L27"/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K28" t="str">
        <f>'入力'!D13&amp;'入力'!E13&amp;"kN/m2"</f>
        <v>c=10kN/m2</v>
      </c>
      <c r="L28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K29" t="str">
        <f>'入力'!D14&amp;'入力'!E14&amp;"m"</f>
        <v>Df'=1.2m</v>
      </c>
      <c r="L29"/>
    </row>
    <row r="30" spans="1:12" ht="13.5">
      <c r="A30" s="13"/>
      <c r="B30" s="13"/>
      <c r="C30" s="13"/>
      <c r="D30" s="13"/>
      <c r="E30" s="13"/>
      <c r="F30" s="13"/>
      <c r="G30" s="13"/>
      <c r="H30" s="13"/>
      <c r="I30" s="13"/>
      <c r="K30" t="str">
        <f>'入力'!D15&amp;'入力'!E15&amp;"m"</f>
        <v>Df=3.2m</v>
      </c>
      <c r="L30"/>
    </row>
    <row r="31" spans="1:12" ht="13.5">
      <c r="A31" s="38" t="s">
        <v>164</v>
      </c>
      <c r="B31" s="13"/>
      <c r="C31" s="13"/>
      <c r="D31" s="13"/>
      <c r="E31" s="13"/>
      <c r="F31" s="13"/>
      <c r="G31" s="13"/>
      <c r="H31" s="13"/>
      <c r="I31" s="13"/>
      <c r="K31" t="str">
        <f>'入力'!D16&amp;'入力'!E16&amp;"kN/m3"</f>
        <v>γ2=18kN/m3</v>
      </c>
      <c r="L31"/>
    </row>
    <row r="32" spans="1:9" ht="13.5">
      <c r="A32" s="13"/>
      <c r="B32" s="1" t="s">
        <v>55</v>
      </c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34" ht="15">
      <c r="A34" s="13"/>
      <c r="B34" s="13"/>
      <c r="C34" s="13"/>
      <c r="D34" s="13"/>
      <c r="E34" s="13"/>
      <c r="G34" s="13"/>
      <c r="I34" s="20" t="str">
        <f>"式(1)"</f>
        <v>式(1)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3.5">
      <c r="A36" s="13"/>
      <c r="B36" s="1" t="s">
        <v>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25" ht="15.75">
      <c r="A37" s="13"/>
      <c r="B37" s="70" t="s">
        <v>165</v>
      </c>
      <c r="C37" s="71"/>
      <c r="D37" s="71"/>
      <c r="E37" s="71"/>
      <c r="F37" s="71"/>
      <c r="G37" s="71"/>
      <c r="H37" s="71"/>
      <c r="I37" s="7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>
      <c r="A38" s="13"/>
      <c r="B38" s="55" t="s">
        <v>166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G39" s="13"/>
      <c r="I39" s="20" t="str">
        <f>"式(2)"</f>
        <v>式(2)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3.5">
      <c r="A50" s="13"/>
      <c r="B50" s="13"/>
      <c r="C50" s="13"/>
      <c r="D50" s="13"/>
      <c r="E50" s="1" t="s">
        <v>38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3.5">
      <c r="A51" s="13"/>
      <c r="B51" s="13"/>
      <c r="C51" s="13"/>
      <c r="D51" s="13"/>
      <c r="E51" s="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T57" s="13"/>
      <c r="U57" s="13"/>
      <c r="V57" s="13"/>
      <c r="W57" s="13"/>
      <c r="X57" s="13"/>
      <c r="Y57" s="13"/>
    </row>
    <row r="58" spans="1:2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T58" s="13"/>
      <c r="U58" s="13"/>
      <c r="V58" s="13"/>
      <c r="W58" s="13"/>
      <c r="X58" s="13"/>
      <c r="Y58" s="13"/>
    </row>
    <row r="59" spans="1:3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T59" s="13"/>
      <c r="U59" s="13"/>
      <c r="V59" s="13"/>
      <c r="W59" s="13"/>
      <c r="X59" s="13"/>
      <c r="Y59" s="13"/>
      <c r="AI59" s="13"/>
      <c r="AJ59" s="13"/>
    </row>
    <row r="60" spans="1:3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T60" s="13"/>
      <c r="U60" s="13"/>
      <c r="V60" s="13"/>
      <c r="W60" s="13"/>
      <c r="X60" s="13"/>
      <c r="Y60" s="13"/>
      <c r="AI60" s="13"/>
      <c r="AJ60" s="13"/>
    </row>
    <row r="61" spans="1:3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T61" s="13"/>
      <c r="U61" s="13"/>
      <c r="V61" s="13"/>
      <c r="W61" s="13"/>
      <c r="X61" s="13"/>
      <c r="Y61" s="13"/>
      <c r="AI61" s="13"/>
      <c r="AJ61" s="13"/>
    </row>
    <row r="62" spans="1:3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3.5">
      <c r="A70" s="13"/>
      <c r="B70" s="13"/>
      <c r="C70" s="13"/>
      <c r="D70" s="13"/>
      <c r="E70" s="1" t="s">
        <v>56</v>
      </c>
      <c r="F70" s="13"/>
      <c r="G70" s="13"/>
      <c r="H70" s="13"/>
      <c r="I70" s="13"/>
      <c r="J70" s="13"/>
      <c r="K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13.5">
      <c r="A72" s="13"/>
      <c r="B72" s="55" t="s">
        <v>167</v>
      </c>
      <c r="C72" s="13"/>
      <c r="D72" s="13"/>
      <c r="E72" s="13"/>
      <c r="F72" s="13"/>
      <c r="G72" s="13"/>
      <c r="H72" s="13"/>
      <c r="I72" s="13"/>
      <c r="J72" s="13"/>
      <c r="K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3.5">
      <c r="A73" s="13"/>
      <c r="B73" s="55" t="s">
        <v>168</v>
      </c>
      <c r="C73" s="13"/>
      <c r="D73" s="13"/>
      <c r="E73" s="13"/>
      <c r="F73" s="13"/>
      <c r="G73" s="13"/>
      <c r="H73" s="13"/>
      <c r="I73" s="13"/>
      <c r="J73" s="13"/>
      <c r="K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5">
      <c r="A74" s="13"/>
      <c r="B74" s="13"/>
      <c r="C74" s="13"/>
      <c r="D74" s="13"/>
      <c r="E74" s="13"/>
      <c r="G74" s="13"/>
      <c r="I74" s="20" t="str">
        <f>"式(3)"</f>
        <v>式(3)</v>
      </c>
      <c r="J74" s="13"/>
      <c r="K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5">
      <c r="A75" s="13"/>
      <c r="B75" s="13"/>
      <c r="C75" s="13"/>
      <c r="D75" s="13"/>
      <c r="E75" s="13"/>
      <c r="G75" s="13"/>
      <c r="H75" s="13"/>
      <c r="I75" s="13"/>
      <c r="J75" s="13"/>
      <c r="K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5.75">
      <c r="A76" s="13"/>
      <c r="B76" s="55" t="s">
        <v>169</v>
      </c>
      <c r="C76" s="13"/>
      <c r="D76" s="13"/>
      <c r="E76" s="13"/>
      <c r="G76" s="13"/>
      <c r="H76" s="13"/>
      <c r="I76" s="13"/>
      <c r="J76" s="13"/>
      <c r="K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5.75">
      <c r="A77" s="13"/>
      <c r="B77" s="1" t="s">
        <v>170</v>
      </c>
      <c r="C77" s="13"/>
      <c r="D77" s="13"/>
      <c r="E77" s="13"/>
      <c r="G77" s="13"/>
      <c r="H77" s="13"/>
      <c r="I77" s="13"/>
      <c r="J77" s="13"/>
      <c r="K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5.75">
      <c r="A78" s="13"/>
      <c r="B78" s="1" t="s">
        <v>171</v>
      </c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4" ht="15.75">
      <c r="A79" s="13"/>
      <c r="B79" s="55" t="s">
        <v>172</v>
      </c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3.5">
      <c r="A80" s="13"/>
      <c r="B80" s="55" t="s">
        <v>173</v>
      </c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5.75">
      <c r="A81" s="13"/>
      <c r="B81" s="55" t="s">
        <v>174</v>
      </c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5">
      <c r="A82" s="13"/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5">
      <c r="A83" s="13"/>
      <c r="B83" s="13"/>
      <c r="C83" s="13"/>
      <c r="D83" s="13"/>
      <c r="E83" s="13"/>
      <c r="G83" s="13"/>
      <c r="I83" s="20" t="str">
        <f>"式(4)"</f>
        <v>式(4)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3.5">
      <c r="A84" s="13"/>
      <c r="B84" s="55" t="s">
        <v>175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3.5">
      <c r="A85" s="13"/>
      <c r="B85" s="1" t="s">
        <v>57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5">
      <c r="A86" s="13"/>
      <c r="B86" s="13"/>
      <c r="C86" s="13"/>
      <c r="D86" s="1" t="s">
        <v>58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5">
      <c r="A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5">
      <c r="A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5">
      <c r="A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11" ht="15">
      <c r="A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>
      <c r="A93" s="13"/>
      <c r="B93" s="1" t="s">
        <v>17</v>
      </c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/>
      <c r="C95" s="13"/>
      <c r="D95" s="13"/>
      <c r="E95" s="13"/>
      <c r="G95" s="13"/>
      <c r="I95" s="20" t="str">
        <f>"式(5)"</f>
        <v>式(5)</v>
      </c>
      <c r="J95" s="13"/>
      <c r="K95" s="13"/>
    </row>
    <row r="96" spans="1:11" ht="15">
      <c r="A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.75">
      <c r="A97" s="13"/>
      <c r="B97" s="55" t="s">
        <v>176</v>
      </c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.75">
      <c r="A98" s="13"/>
      <c r="B98" s="55" t="s">
        <v>177</v>
      </c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3.5">
      <c r="A114" s="13"/>
      <c r="B114" s="13"/>
      <c r="D114" s="1" t="s">
        <v>59</v>
      </c>
      <c r="E114" s="13"/>
      <c r="F114" s="13"/>
      <c r="G114" s="13"/>
      <c r="H114" s="13"/>
      <c r="I114" s="13"/>
      <c r="J114" s="13"/>
      <c r="K114" s="13"/>
    </row>
    <row r="115" spans="1:11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0" ht="13.5">
      <c r="A116" s="13"/>
      <c r="B116" s="13"/>
      <c r="C116" s="13"/>
      <c r="D116" s="13"/>
      <c r="E116" s="13"/>
      <c r="G116" s="13"/>
      <c r="I116" s="20" t="str">
        <f>"式(6)"</f>
        <v>式(6)</v>
      </c>
      <c r="J116" s="13"/>
    </row>
    <row r="117" spans="1:10" ht="13.5">
      <c r="A117" s="13"/>
      <c r="B117" s="13"/>
      <c r="C117" s="13"/>
      <c r="D117" s="13"/>
      <c r="E117" s="13"/>
      <c r="G117" s="13"/>
      <c r="H117" s="13"/>
      <c r="I117" s="13"/>
      <c r="J117" s="13"/>
    </row>
    <row r="118" spans="1:10" ht="13.5">
      <c r="A118" s="13"/>
      <c r="B118" s="13"/>
      <c r="C118" s="13"/>
      <c r="D118" s="13"/>
      <c r="E118" s="13"/>
      <c r="G118" s="13"/>
      <c r="H118" s="13"/>
      <c r="I118" s="13"/>
      <c r="J118" s="13"/>
    </row>
    <row r="119" spans="1:10" ht="13.5">
      <c r="A119" s="13"/>
      <c r="B119" s="13"/>
      <c r="C119" s="13"/>
      <c r="D119" s="13"/>
      <c r="E119" s="13"/>
      <c r="G119" s="13"/>
      <c r="H119" s="13"/>
      <c r="I119" s="13"/>
      <c r="J119" s="13"/>
    </row>
    <row r="120" spans="1:10" ht="13.5">
      <c r="A120" s="13"/>
      <c r="B120" s="13"/>
      <c r="C120" s="13"/>
      <c r="D120" s="13"/>
      <c r="E120" s="13"/>
      <c r="G120" s="13"/>
      <c r="H120" s="13"/>
      <c r="I120" s="20" t="str">
        <f>"式(6)"</f>
        <v>式(6)</v>
      </c>
      <c r="J120" s="13"/>
    </row>
    <row r="121" spans="1:10" ht="13.5">
      <c r="A121" s="13"/>
      <c r="B121" s="13"/>
      <c r="C121" s="13"/>
      <c r="D121" s="13"/>
      <c r="E121" s="13"/>
      <c r="G121" s="13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G122" s="13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G123" s="13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G124" s="13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G125" s="13"/>
      <c r="H125" s="13"/>
      <c r="J125" s="13"/>
    </row>
    <row r="126" spans="1:10" ht="15">
      <c r="A126" s="13"/>
      <c r="B126" s="13"/>
      <c r="C126" s="13"/>
      <c r="D126" s="13"/>
      <c r="E126" s="13"/>
      <c r="G126" s="13"/>
      <c r="H126" s="13"/>
      <c r="I126" s="20" t="str">
        <f>"式(6)"</f>
        <v>式(6)</v>
      </c>
      <c r="J126" s="13"/>
    </row>
    <row r="127" spans="1:10" ht="13.5">
      <c r="A127" s="13"/>
      <c r="B127" s="13"/>
      <c r="C127" s="13"/>
      <c r="D127" s="13"/>
      <c r="E127" s="13"/>
      <c r="G127" s="13"/>
      <c r="H127" s="13"/>
      <c r="I127" s="13"/>
      <c r="J127" s="13"/>
    </row>
    <row r="128" spans="1:10" ht="13.5">
      <c r="A128" s="13"/>
      <c r="B128" s="13"/>
      <c r="C128" s="13"/>
      <c r="D128" s="13"/>
      <c r="E128" s="13"/>
      <c r="G128" s="13"/>
      <c r="H128" s="13"/>
      <c r="I128" s="13"/>
      <c r="J128" s="13"/>
    </row>
    <row r="129" spans="1:10" ht="13.5">
      <c r="A129" s="13"/>
      <c r="B129" s="13"/>
      <c r="C129" s="13"/>
      <c r="D129" s="13"/>
      <c r="E129" s="13"/>
      <c r="G129" s="13"/>
      <c r="H129" s="13"/>
      <c r="I129" s="20" t="str">
        <f>"式(6)"</f>
        <v>式(6)</v>
      </c>
      <c r="J129" s="13"/>
    </row>
    <row r="130" spans="1:10" ht="13.5">
      <c r="A130" s="13"/>
      <c r="B130" s="13"/>
      <c r="C130" s="13"/>
      <c r="D130" s="13"/>
      <c r="E130" s="13"/>
      <c r="G130" s="13"/>
      <c r="H130" s="13"/>
      <c r="I130" s="13"/>
      <c r="J130" s="13"/>
    </row>
    <row r="131" spans="1:10" ht="13.5">
      <c r="A131" s="13"/>
      <c r="B131" s="13"/>
      <c r="C131" s="13"/>
      <c r="D131" s="13"/>
      <c r="E131" s="13"/>
      <c r="G131" s="13"/>
      <c r="H131" s="13"/>
      <c r="I131" s="13"/>
      <c r="J131" s="13"/>
    </row>
    <row r="132" spans="1:10" ht="13.5">
      <c r="A132" s="13"/>
      <c r="B132" s="1" t="s">
        <v>60</v>
      </c>
      <c r="C132" s="13"/>
      <c r="D132" s="13"/>
      <c r="E132" s="13"/>
      <c r="G132" s="13"/>
      <c r="H132" s="13"/>
      <c r="I132" s="13"/>
      <c r="J132" s="13"/>
    </row>
    <row r="133" spans="1:10" ht="13.5">
      <c r="A133" s="13"/>
      <c r="B133" s="13"/>
      <c r="C133" s="13"/>
      <c r="D133" s="13"/>
      <c r="E133" s="13"/>
      <c r="G133" s="13"/>
      <c r="H133" s="13"/>
      <c r="I133" s="13"/>
      <c r="J133" s="13"/>
    </row>
    <row r="134" spans="1:10" ht="13.5">
      <c r="A134" s="13"/>
      <c r="B134" s="1" t="s">
        <v>61</v>
      </c>
      <c r="C134" s="13"/>
      <c r="D134" s="13"/>
      <c r="E134" s="13"/>
      <c r="G134" s="13"/>
      <c r="H134" s="13"/>
      <c r="I134" s="20"/>
      <c r="J134" s="13"/>
    </row>
    <row r="135" spans="1:10" ht="15">
      <c r="A135" s="13"/>
      <c r="B135" s="13"/>
      <c r="C135" s="13"/>
      <c r="D135" s="13"/>
      <c r="E135" s="13"/>
      <c r="G135" s="13"/>
      <c r="H135" s="13"/>
      <c r="I135" s="13"/>
      <c r="J135" s="13"/>
    </row>
    <row r="136" spans="1:10" ht="15">
      <c r="A136" s="13"/>
      <c r="B136" s="13"/>
      <c r="C136" s="13"/>
      <c r="D136" s="13"/>
      <c r="E136" s="13"/>
      <c r="G136" s="13"/>
      <c r="I136" s="20" t="str">
        <f>"式(7)"</f>
        <v>式(7)</v>
      </c>
      <c r="J136" s="13"/>
    </row>
    <row r="137" spans="1:10" ht="15">
      <c r="A137" s="13"/>
      <c r="B137" s="13"/>
      <c r="C137" s="13"/>
      <c r="D137" s="13"/>
      <c r="E137" s="13"/>
      <c r="F137" s="13"/>
      <c r="G137" s="13"/>
      <c r="I137" s="13"/>
      <c r="J137" s="13"/>
    </row>
    <row r="138" spans="1:10" ht="13.5">
      <c r="A138" s="13"/>
      <c r="B138" s="1" t="s">
        <v>62</v>
      </c>
      <c r="C138" s="13"/>
      <c r="D138" s="13"/>
      <c r="E138" s="13"/>
      <c r="F138" s="13"/>
      <c r="G138" s="13"/>
      <c r="I138" s="13"/>
      <c r="J138" s="13"/>
    </row>
    <row r="139" spans="1:10" ht="13.5">
      <c r="A139" s="13"/>
      <c r="C139" s="13"/>
      <c r="D139" s="13"/>
      <c r="E139" s="13"/>
      <c r="F139" s="13"/>
      <c r="G139" s="13"/>
      <c r="I139" s="13"/>
      <c r="J139" s="13"/>
    </row>
    <row r="140" spans="1:10" ht="13.5">
      <c r="A140" s="13"/>
      <c r="B140" s="1" t="s">
        <v>63</v>
      </c>
      <c r="C140" s="13"/>
      <c r="D140" s="13"/>
      <c r="E140" s="13"/>
      <c r="G140" s="13"/>
      <c r="I140" s="13"/>
      <c r="J140" s="13"/>
    </row>
    <row r="141" spans="1:10" ht="15">
      <c r="A141" s="13"/>
      <c r="B141" s="13"/>
      <c r="C141" s="13"/>
      <c r="D141" s="13"/>
      <c r="E141" s="13"/>
      <c r="G141" s="13"/>
      <c r="I141" s="13"/>
      <c r="J141" s="13"/>
    </row>
    <row r="142" spans="1:10" ht="15">
      <c r="A142" s="13"/>
      <c r="B142" s="13"/>
      <c r="C142" s="13"/>
      <c r="D142" s="13"/>
      <c r="E142" s="13"/>
      <c r="G142" s="13"/>
      <c r="I142" s="20" t="str">
        <f>"式(9)"</f>
        <v>式(9)</v>
      </c>
      <c r="J142" s="13"/>
    </row>
    <row r="143" spans="1:1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">
      <c r="A144" s="13"/>
      <c r="B144" s="55" t="s">
        <v>179</v>
      </c>
      <c r="C144" s="13"/>
      <c r="D144" s="13"/>
      <c r="E144" s="6" t="s">
        <v>180</v>
      </c>
      <c r="F144" s="52">
        <f>'入力'!E17</f>
        <v>0.5</v>
      </c>
      <c r="G144" s="13"/>
      <c r="H144" s="13"/>
      <c r="I144" s="13"/>
      <c r="J144" s="13"/>
    </row>
    <row r="145" spans="1:10" ht="13.5">
      <c r="A145" s="13"/>
      <c r="B145" s="55" t="s">
        <v>178</v>
      </c>
      <c r="C145" s="13"/>
      <c r="D145" s="13"/>
      <c r="E145" s="13"/>
      <c r="F145" s="13"/>
      <c r="G145" s="13"/>
      <c r="H145" s="13"/>
      <c r="I145" s="13"/>
      <c r="J145" s="13"/>
    </row>
    <row r="146" spans="1:10" ht="13.5">
      <c r="A146" s="13"/>
      <c r="B146" s="55" t="s">
        <v>64</v>
      </c>
      <c r="C146" s="13"/>
      <c r="D146" s="13"/>
      <c r="E146" s="13"/>
      <c r="F146" s="13"/>
      <c r="G146" s="13"/>
      <c r="H146" s="13"/>
      <c r="I146" s="13"/>
      <c r="J146" s="13"/>
    </row>
    <row r="147" spans="1:10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5.75">
      <c r="A148" s="13"/>
      <c r="B148" s="13" t="s">
        <v>181</v>
      </c>
      <c r="C148" s="13"/>
      <c r="D148" s="13"/>
      <c r="E148" s="13"/>
      <c r="F148" s="13"/>
      <c r="G148" s="13"/>
      <c r="H148" s="13"/>
      <c r="I148" s="13"/>
      <c r="J148" s="13"/>
    </row>
    <row r="149" spans="1:1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9" ht="15">
      <c r="A153" s="13"/>
      <c r="B153" s="13"/>
      <c r="C153" s="13"/>
      <c r="D153" s="13"/>
      <c r="E153" s="13"/>
      <c r="G153" s="13"/>
      <c r="I153" s="20" t="str">
        <f>"式(12)"</f>
        <v>式(12)</v>
      </c>
      <c r="J153" s="13"/>
      <c r="O153" s="13"/>
      <c r="P153" s="13"/>
      <c r="Q153" s="13"/>
      <c r="R153" s="13"/>
      <c r="S153" s="13"/>
    </row>
    <row r="154" spans="1:19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O154" s="13"/>
      <c r="P154" s="13"/>
      <c r="Q154" s="13"/>
      <c r="R154" s="13"/>
      <c r="S154" s="13"/>
    </row>
    <row r="155" spans="1:19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O155" s="13"/>
      <c r="P155" s="13"/>
      <c r="Q155" s="13"/>
      <c r="R155" s="13"/>
      <c r="S155" s="13"/>
    </row>
    <row r="156" spans="1:19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O156" s="13"/>
      <c r="P156" s="13"/>
      <c r="Q156" s="13"/>
      <c r="R156" s="13"/>
      <c r="S156" s="13"/>
    </row>
    <row r="157" spans="1:19" ht="13.5">
      <c r="A157" s="13"/>
      <c r="B157" s="1" t="s">
        <v>65</v>
      </c>
      <c r="C157" s="13"/>
      <c r="D157" s="13"/>
      <c r="E157" s="13"/>
      <c r="F157" s="13"/>
      <c r="G157" s="13"/>
      <c r="H157" s="13"/>
      <c r="I157" s="13"/>
      <c r="J157" s="13"/>
      <c r="O157" s="13"/>
      <c r="P157" s="13"/>
      <c r="Q157" s="13"/>
      <c r="R157" s="13"/>
      <c r="S157" s="13"/>
    </row>
    <row r="158" spans="1:19" ht="13.5">
      <c r="A158" s="13"/>
      <c r="C158" s="1" t="s">
        <v>66</v>
      </c>
      <c r="D158" s="13"/>
      <c r="E158" s="13"/>
      <c r="F158" s="13"/>
      <c r="G158" s="13"/>
      <c r="H158" s="13"/>
      <c r="I158" s="13"/>
      <c r="J158" s="13"/>
      <c r="L158" s="13"/>
      <c r="M158" s="13"/>
      <c r="N158" s="13"/>
      <c r="O158" s="13"/>
      <c r="P158" s="13"/>
      <c r="Q158" s="13"/>
      <c r="R158" s="13"/>
      <c r="S158" s="13"/>
    </row>
    <row r="159" spans="1:19" ht="15.75">
      <c r="A159" s="13"/>
      <c r="B159" s="55" t="s">
        <v>182</v>
      </c>
      <c r="C159" s="13"/>
      <c r="D159" s="13"/>
      <c r="E159" s="13"/>
      <c r="F159" s="13"/>
      <c r="G159" s="13"/>
      <c r="H159" s="13"/>
      <c r="I159" s="13"/>
      <c r="J159" s="13"/>
      <c r="L159" s="13"/>
      <c r="M159" s="13"/>
      <c r="N159" s="13"/>
      <c r="O159" s="13"/>
      <c r="P159" s="13"/>
      <c r="Q159" s="13"/>
      <c r="R159" s="13"/>
      <c r="S159" s="13"/>
    </row>
    <row r="160" spans="1:19" ht="15.75">
      <c r="A160" s="13"/>
      <c r="B160" s="55" t="s">
        <v>183</v>
      </c>
      <c r="C160" s="13"/>
      <c r="D160" s="13"/>
      <c r="E160" s="13"/>
      <c r="F160" s="13"/>
      <c r="G160" s="13"/>
      <c r="H160" s="13"/>
      <c r="I160" s="13"/>
      <c r="J160" s="13"/>
      <c r="L160" s="13"/>
      <c r="M160" s="13"/>
      <c r="N160" s="13"/>
      <c r="O160" s="13"/>
      <c r="P160" s="13"/>
      <c r="Q160" s="13"/>
      <c r="R160" s="13"/>
      <c r="S160" s="13"/>
    </row>
    <row r="161" spans="1:19" ht="13.5">
      <c r="A161" s="13"/>
      <c r="B161" s="55" t="s">
        <v>184</v>
      </c>
      <c r="C161" s="13"/>
      <c r="D161" s="13"/>
      <c r="E161" s="13"/>
      <c r="F161" s="13"/>
      <c r="G161" s="13"/>
      <c r="H161" s="13"/>
      <c r="I161" s="13"/>
      <c r="J161" s="13"/>
      <c r="L161" s="13"/>
      <c r="M161" s="13"/>
      <c r="N161" s="13"/>
      <c r="O161" s="13"/>
      <c r="P161" s="13"/>
      <c r="Q161" s="13"/>
      <c r="R161" s="13"/>
      <c r="S161" s="13"/>
    </row>
    <row r="162" spans="1:19" ht="15.75">
      <c r="A162" s="13"/>
      <c r="B162" s="55" t="s">
        <v>185</v>
      </c>
      <c r="C162" s="13"/>
      <c r="D162" s="13"/>
      <c r="E162" s="13"/>
      <c r="F162" s="13"/>
      <c r="G162" s="13"/>
      <c r="H162" s="13"/>
      <c r="I162" s="13"/>
      <c r="J162" s="13"/>
      <c r="L162" s="13"/>
      <c r="M162" s="13"/>
      <c r="N162" s="13"/>
      <c r="O162" s="13"/>
      <c r="P162" s="13"/>
      <c r="Q162" s="13"/>
      <c r="R162" s="13"/>
      <c r="S162" s="13"/>
    </row>
    <row r="163" spans="1:1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L163" s="13"/>
      <c r="M163" s="13"/>
      <c r="N163" s="13"/>
      <c r="O163" s="13"/>
      <c r="P163" s="13"/>
      <c r="Q163" s="13"/>
      <c r="R163" s="13"/>
      <c r="S163" s="13"/>
    </row>
    <row r="164" spans="1:19" ht="13.5">
      <c r="A164" s="38" t="s">
        <v>187</v>
      </c>
      <c r="B164" s="13"/>
      <c r="C164" s="13"/>
      <c r="D164" s="13"/>
      <c r="E164" s="13"/>
      <c r="F164" s="13"/>
      <c r="G164" s="13"/>
      <c r="H164" s="13"/>
      <c r="I164" s="13"/>
      <c r="J164" s="13"/>
      <c r="L164" s="13"/>
      <c r="M164" s="13"/>
      <c r="N164" s="13"/>
      <c r="O164" s="13"/>
      <c r="P164" s="13"/>
      <c r="Q164" s="13"/>
      <c r="R164" s="13"/>
      <c r="S164" s="13"/>
    </row>
    <row r="165" spans="1:1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L165" s="13"/>
      <c r="M165" s="13"/>
      <c r="N165" s="13"/>
      <c r="O165" s="13"/>
      <c r="P165" s="13"/>
      <c r="Q165" s="13"/>
      <c r="R165" s="13"/>
      <c r="S165" s="13"/>
    </row>
    <row r="166" spans="1:19" ht="13.5">
      <c r="A166" s="13"/>
      <c r="B166" s="1" t="s">
        <v>67</v>
      </c>
      <c r="C166" s="13"/>
      <c r="D166" s="13"/>
      <c r="E166" s="13"/>
      <c r="F166" s="13"/>
      <c r="G166" s="13"/>
      <c r="H166" s="13"/>
      <c r="I166" s="13"/>
      <c r="J166" s="13"/>
      <c r="L166" s="13"/>
      <c r="M166" s="13"/>
      <c r="N166" s="13"/>
      <c r="O166" s="13"/>
      <c r="P166" s="13"/>
      <c r="Q166" s="13"/>
      <c r="R166" s="13"/>
      <c r="S166" s="13"/>
    </row>
    <row r="167" spans="1:10" ht="13.5">
      <c r="A167" s="13"/>
      <c r="B167" s="13"/>
      <c r="C167" s="13" t="str">
        <f>Q190&amp;S190&amp;T190</f>
        <v>Be=B-2eB=5-2×0.25=4.5(m)</v>
      </c>
      <c r="D167" s="13"/>
      <c r="E167" s="13"/>
      <c r="F167" s="13"/>
      <c r="G167" s="13"/>
      <c r="H167" s="13"/>
      <c r="I167" s="13"/>
      <c r="J167" s="13"/>
    </row>
    <row r="168" spans="1:10" ht="13.5">
      <c r="A168" s="13"/>
      <c r="B168" s="13"/>
      <c r="C168" s="13" t="str">
        <f>Q191&amp;S191&amp;T191</f>
        <v>Le=L-2eL=5-2×0.12=4.76(m)</v>
      </c>
      <c r="D168" s="13"/>
      <c r="E168" s="13"/>
      <c r="F168" s="13"/>
      <c r="G168" s="13"/>
      <c r="H168" s="13"/>
      <c r="I168" s="13"/>
      <c r="J168" s="13"/>
    </row>
    <row r="169" spans="1:10" ht="13.5">
      <c r="A169" s="13"/>
      <c r="B169" s="1" t="s">
        <v>68</v>
      </c>
      <c r="C169" s="13"/>
      <c r="D169" s="13"/>
      <c r="E169" s="13"/>
      <c r="F169" s="13"/>
      <c r="G169" s="13"/>
      <c r="H169" s="13"/>
      <c r="I169" s="13"/>
      <c r="J169" s="13"/>
    </row>
    <row r="170" spans="1:10" ht="13.5">
      <c r="A170" s="13"/>
      <c r="B170" s="13"/>
      <c r="C170" s="13" t="str">
        <f>Q194&amp;S190&amp;"×"&amp;S191&amp;"="&amp;S194&amp;T194</f>
        <v>Ae=Be×Le=4.5×4.76=4.5×4.76=21.42(m2)</v>
      </c>
      <c r="D170" s="13"/>
      <c r="E170" s="13"/>
      <c r="F170" s="13"/>
      <c r="G170" s="13"/>
      <c r="H170" s="13"/>
      <c r="I170" s="13"/>
      <c r="J170" s="13"/>
    </row>
    <row r="171" spans="1:10" ht="13.5">
      <c r="A171" s="13"/>
      <c r="B171" s="1" t="s">
        <v>14</v>
      </c>
      <c r="C171" s="13"/>
      <c r="D171" s="13"/>
      <c r="E171" s="13"/>
      <c r="F171" s="13"/>
      <c r="G171" s="13"/>
      <c r="H171" s="13"/>
      <c r="I171" s="13"/>
      <c r="J171" s="13"/>
    </row>
    <row r="172" spans="1:10" ht="13.5">
      <c r="A172" s="13"/>
      <c r="B172" s="13"/>
      <c r="C172" s="13" t="str">
        <f>Q197&amp;R197</f>
        <v>Be/Le=4.5/4.76=0.95</v>
      </c>
      <c r="D172" s="13"/>
      <c r="E172" s="13"/>
      <c r="F172" s="13"/>
      <c r="G172" s="13"/>
      <c r="H172" s="13"/>
      <c r="I172" s="13"/>
      <c r="J172" s="13"/>
    </row>
    <row r="173" spans="1:10" ht="13.5">
      <c r="A173" s="13"/>
      <c r="B173" s="13"/>
      <c r="C173" s="13" t="str">
        <f>"基礎形状は"&amp;AC24</f>
        <v>基礎形状は帯　状</v>
      </c>
      <c r="D173" s="13"/>
      <c r="E173" s="13"/>
      <c r="F173" s="13"/>
      <c r="G173" s="13"/>
      <c r="H173" s="13"/>
      <c r="I173" s="13"/>
      <c r="J173" s="13"/>
    </row>
    <row r="174" spans="1:10" ht="13.5">
      <c r="A174" s="13"/>
      <c r="B174" s="13"/>
      <c r="C174" s="13" t="str">
        <f>Q198&amp;R198</f>
        <v>α=1</v>
      </c>
      <c r="D174" s="13"/>
      <c r="E174" s="13" t="str">
        <f>Q199&amp;R199</f>
        <v>β=1</v>
      </c>
      <c r="F174" s="13"/>
      <c r="G174" s="13"/>
      <c r="H174" s="13"/>
      <c r="I174" s="13"/>
      <c r="J174" s="13"/>
    </row>
    <row r="175" spans="1:10" ht="13.5">
      <c r="A175" s="13"/>
      <c r="B175" s="1" t="s">
        <v>39</v>
      </c>
      <c r="C175" s="13"/>
      <c r="D175" s="13"/>
      <c r="E175" s="13"/>
      <c r="F175" s="13"/>
      <c r="G175" s="13"/>
      <c r="H175" s="13"/>
      <c r="I175" s="13"/>
      <c r="J175" s="13"/>
    </row>
    <row r="176" spans="1:10" ht="13.5">
      <c r="A176" s="13"/>
      <c r="B176" s="13"/>
      <c r="C176" s="1" t="s">
        <v>15</v>
      </c>
      <c r="D176" s="13"/>
      <c r="E176" s="13"/>
      <c r="F176" s="13" t="str">
        <f>AB13</f>
        <v>Df'=1.2(m)</v>
      </c>
      <c r="G176" s="13"/>
      <c r="H176" s="13"/>
      <c r="I176" s="13"/>
      <c r="J176" s="13"/>
    </row>
    <row r="177" spans="1:19" ht="13.5">
      <c r="A177" s="13"/>
      <c r="B177" s="13"/>
      <c r="C177" s="1" t="s">
        <v>16</v>
      </c>
      <c r="D177" s="13"/>
      <c r="E177" s="13" t="str">
        <f>"κ=1+0.3*Df'/Be=1+0.3×"&amp;E14&amp;"/"&amp;S190&amp;"="&amp;ROUND(R202,2)</f>
        <v>κ=1+0.3*Df'/Be=1+0.3×1.2/4.5=1.08</v>
      </c>
      <c r="F177" s="13"/>
      <c r="G177" s="13"/>
      <c r="H177" s="13"/>
      <c r="I177" s="13"/>
      <c r="J177" s="13"/>
      <c r="L177" s="13"/>
      <c r="M177" s="13"/>
      <c r="N177" s="13"/>
      <c r="O177" s="13"/>
      <c r="P177" s="13"/>
      <c r="Q177" s="13"/>
      <c r="R177" s="13"/>
      <c r="S177" s="13"/>
    </row>
    <row r="178" spans="1:10" ht="13.5">
      <c r="A178" s="13"/>
      <c r="B178" s="1" t="s">
        <v>70</v>
      </c>
      <c r="C178" s="13"/>
      <c r="D178" s="13"/>
      <c r="E178" s="13"/>
      <c r="F178" s="13"/>
      <c r="G178" s="13"/>
      <c r="H178" s="13"/>
      <c r="I178" s="13"/>
      <c r="J178" s="13"/>
    </row>
    <row r="179" spans="1:10" ht="13.5">
      <c r="A179" s="13"/>
      <c r="B179" s="13"/>
      <c r="C179" s="8" t="str">
        <f>"q=Df×γ2="&amp;E15&amp;"×"&amp;E16&amp;"="&amp;ROUND(R207,2)&amp;S207</f>
        <v>q=Df×γ2=3.2×18=57.6(kN/m2)</v>
      </c>
      <c r="D179" s="13"/>
      <c r="E179" s="13"/>
      <c r="F179" s="13"/>
      <c r="G179" s="13"/>
      <c r="H179" s="13"/>
      <c r="I179" s="13"/>
      <c r="J179" s="13"/>
    </row>
    <row r="180" spans="1:10" ht="13.5">
      <c r="A180" s="13"/>
      <c r="B180" s="1" t="s">
        <v>71</v>
      </c>
      <c r="C180" s="13"/>
      <c r="D180" s="13"/>
      <c r="E180" s="13"/>
      <c r="F180" s="13"/>
      <c r="G180" s="13"/>
      <c r="H180" s="13"/>
      <c r="I180" s="13"/>
      <c r="J180" s="13"/>
    </row>
    <row r="181" spans="1:10" ht="13.5">
      <c r="A181" s="13"/>
      <c r="B181" s="13"/>
      <c r="C181" s="1" t="s">
        <v>40</v>
      </c>
      <c r="D181" s="13" t="str">
        <f>AB6</f>
        <v>V=1000(kN)</v>
      </c>
      <c r="E181" s="13"/>
      <c r="F181" s="13"/>
      <c r="G181" s="13"/>
      <c r="H181" s="13"/>
      <c r="I181" s="13"/>
      <c r="J181" s="13"/>
    </row>
    <row r="182" spans="1:10" ht="13.5">
      <c r="A182" s="13"/>
      <c r="B182" s="13"/>
      <c r="C182" s="1" t="s">
        <v>23</v>
      </c>
      <c r="D182" s="13" t="str">
        <f>AB7</f>
        <v>H=500(kN)</v>
      </c>
      <c r="E182" s="13"/>
      <c r="F182" s="13"/>
      <c r="G182" s="13"/>
      <c r="H182" s="13"/>
      <c r="I182" s="13"/>
      <c r="J182" s="13"/>
    </row>
    <row r="183" spans="1:10" ht="13.5">
      <c r="A183" s="13"/>
      <c r="B183" s="13"/>
      <c r="C183" s="1" t="s">
        <v>74</v>
      </c>
      <c r="D183" s="13" t="str">
        <f>"tanθ=H/V="&amp;E8&amp;"/"&amp;E7&amp;"="&amp;ROUND(R210,3)</f>
        <v>tanθ=H/V=500/1000=0.5</v>
      </c>
      <c r="E183" s="13"/>
      <c r="F183" s="13"/>
      <c r="G183" s="13"/>
      <c r="H183" s="13"/>
      <c r="J183" s="13"/>
    </row>
    <row r="184" spans="1:18" ht="13.5">
      <c r="A184" s="13"/>
      <c r="B184" s="13"/>
      <c r="C184" s="13"/>
      <c r="D184" s="13" t="str">
        <f>"θ=ATAN("&amp;ROUND(R210,3)&amp;")="&amp;ROUND(R211,3)&amp;S211</f>
        <v>θ=ATAN(0.5)=0.464(rad)</v>
      </c>
      <c r="E184" s="13"/>
      <c r="F184" s="13"/>
      <c r="G184" s="13"/>
      <c r="H184" s="13"/>
      <c r="I184" s="13"/>
      <c r="J184" s="13"/>
      <c r="O184" s="13"/>
      <c r="P184" s="13"/>
      <c r="Q184" s="13"/>
      <c r="R184" s="13"/>
    </row>
    <row r="185" spans="1:18" ht="13.5">
      <c r="A185" s="13"/>
      <c r="B185" s="1" t="s">
        <v>76</v>
      </c>
      <c r="C185" s="13"/>
      <c r="E185" s="13"/>
      <c r="F185" s="13"/>
      <c r="G185" s="13"/>
      <c r="H185" s="13"/>
      <c r="I185" s="13"/>
      <c r="J185" s="13"/>
      <c r="O185" s="13"/>
      <c r="P185" s="13"/>
      <c r="Q185" s="13"/>
      <c r="R185" s="13"/>
    </row>
    <row r="186" spans="1:18" ht="13.5">
      <c r="A186" s="13"/>
      <c r="B186" s="13"/>
      <c r="C186" s="13" t="str">
        <f>I332&amp;J332&amp;K332</f>
        <v>ω=103(度)</v>
      </c>
      <c r="E186" s="13" t="str">
        <f>I333&amp;J333&amp;K333</f>
        <v>α=47(度)</v>
      </c>
      <c r="F186" s="13"/>
      <c r="G186" s="13"/>
      <c r="H186" s="13"/>
      <c r="I186" s="13"/>
      <c r="J186" s="13"/>
      <c r="O186" s="13"/>
      <c r="P186" s="13"/>
      <c r="Q186" s="13"/>
      <c r="R186" s="13"/>
    </row>
    <row r="187" spans="1:18" ht="13.5">
      <c r="A187" s="13"/>
      <c r="B187" s="1" t="s">
        <v>77</v>
      </c>
      <c r="C187" s="13"/>
      <c r="D187" s="13"/>
      <c r="E187" s="13"/>
      <c r="F187" s="13"/>
      <c r="G187" s="13"/>
      <c r="H187" s="13"/>
      <c r="I187" s="13"/>
      <c r="J187" s="13"/>
      <c r="O187" s="13"/>
      <c r="P187" s="13"/>
      <c r="Q187" s="22"/>
      <c r="R187" s="13"/>
    </row>
    <row r="188" spans="1:18" ht="13.5">
      <c r="A188" s="13"/>
      <c r="B188" s="13"/>
      <c r="C188" s="13" t="str">
        <f>I328&amp;J328</f>
        <v>Nq=4.98</v>
      </c>
      <c r="D188" s="13"/>
      <c r="E188" s="13"/>
      <c r="F188" s="13"/>
      <c r="G188" s="13"/>
      <c r="H188" s="13"/>
      <c r="I188" s="13"/>
      <c r="J188" s="13"/>
      <c r="O188" s="13"/>
      <c r="P188" s="13"/>
      <c r="Q188" s="22"/>
      <c r="R188" s="13"/>
    </row>
    <row r="189" spans="1:20" ht="13.5">
      <c r="A189" s="13"/>
      <c r="B189" s="13"/>
      <c r="C189" s="13" t="str">
        <f>I329&amp;J329</f>
        <v>Nc=10.11</v>
      </c>
      <c r="D189" s="13"/>
      <c r="E189" s="13"/>
      <c r="F189" s="13"/>
      <c r="G189" s="13"/>
      <c r="H189" s="13"/>
      <c r="I189" s="13"/>
      <c r="J189" s="13"/>
      <c r="P189" s="23"/>
      <c r="Q189" s="24"/>
      <c r="R189" s="24"/>
      <c r="S189" s="24"/>
      <c r="T189" s="25"/>
    </row>
    <row r="190" spans="1:20" ht="13.5">
      <c r="A190" s="13"/>
      <c r="B190" s="13"/>
      <c r="C190" s="13" t="str">
        <f>I330&amp;J330</f>
        <v>Nr=1.07</v>
      </c>
      <c r="D190" s="13"/>
      <c r="E190" s="13"/>
      <c r="F190" s="13"/>
      <c r="G190" s="13"/>
      <c r="H190" s="13"/>
      <c r="I190" s="13"/>
      <c r="J190" s="13"/>
      <c r="L190" s="8">
        <f>IF(K191&lt;1,1,IF(K191&gt;10,10,K191))</f>
        <v>1</v>
      </c>
      <c r="O190" s="13"/>
      <c r="P190" s="16"/>
      <c r="Q190" s="17" t="str">
        <f>"Be=B-2eB="&amp;E4&amp;"-2×"&amp;E9&amp;"="</f>
        <v>Be=B-2eB=5-2×0.25=</v>
      </c>
      <c r="R190" s="17"/>
      <c r="S190" s="17">
        <f>ROUND(E4-2*E9,2)</f>
        <v>4.5</v>
      </c>
      <c r="T190" s="18" t="s">
        <v>19</v>
      </c>
    </row>
    <row r="191" spans="1:20" ht="13.5">
      <c r="A191" s="13"/>
      <c r="B191" s="13" t="s">
        <v>80</v>
      </c>
      <c r="G191" s="13"/>
      <c r="H191" s="13"/>
      <c r="I191" s="13"/>
      <c r="J191" s="8" t="s">
        <v>91</v>
      </c>
      <c r="K191" s="8">
        <f>R212/10</f>
        <v>1</v>
      </c>
      <c r="L191" s="8">
        <f>IF(K192&lt;1,1,IF(K192&gt;10,10,K192))</f>
        <v>5.76</v>
      </c>
      <c r="O191" s="13"/>
      <c r="P191" s="16"/>
      <c r="Q191" s="17" t="str">
        <f>"Le=L-2eL="&amp;E5&amp;"-2×"&amp;E10&amp;"="</f>
        <v>Le=L-2eL=5-2×0.12=</v>
      </c>
      <c r="R191" s="17"/>
      <c r="S191" s="17">
        <f>ROUND(E5-2*E10,2)</f>
        <v>4.76</v>
      </c>
      <c r="T191" s="18" t="s">
        <v>19</v>
      </c>
    </row>
    <row r="192" spans="1:20" ht="13.5">
      <c r="A192" s="13"/>
      <c r="C192" s="8" t="str">
        <f>"c*="&amp;L190</f>
        <v>c*=1</v>
      </c>
      <c r="D192" s="8" t="str">
        <f>J195&amp;L190&amp;"^(-1/3)="&amp;K195</f>
        <v>Sc=1^(-1/3)=1</v>
      </c>
      <c r="G192" s="13"/>
      <c r="H192" s="13"/>
      <c r="I192" s="13"/>
      <c r="J192" s="8" t="s">
        <v>92</v>
      </c>
      <c r="K192" s="8">
        <f>R207/10</f>
        <v>5.76</v>
      </c>
      <c r="L192" s="8">
        <f>IF(K193&lt;1,1,K193)</f>
        <v>4.5</v>
      </c>
      <c r="O192" s="13"/>
      <c r="P192" s="16"/>
      <c r="Q192" s="17"/>
      <c r="R192" s="17"/>
      <c r="S192" s="17"/>
      <c r="T192" s="18"/>
    </row>
    <row r="193" spans="1:20" ht="13.5">
      <c r="A193" s="13"/>
      <c r="C193" s="8" t="str">
        <f>"q*="&amp;L191</f>
        <v>q*=5.76</v>
      </c>
      <c r="D193" s="8" t="str">
        <f>J196&amp;L191&amp;"^(-1/3)="&amp;K196</f>
        <v>Sq=5.76^(-1/3)=0.56</v>
      </c>
      <c r="G193" s="13"/>
      <c r="H193" s="13"/>
      <c r="I193" s="13"/>
      <c r="J193" s="8" t="s">
        <v>93</v>
      </c>
      <c r="K193" s="8">
        <f>S190/1</f>
        <v>4.5</v>
      </c>
      <c r="O193" s="13"/>
      <c r="P193" s="16"/>
      <c r="Q193" s="17"/>
      <c r="R193" s="17"/>
      <c r="S193" s="17"/>
      <c r="T193" s="18"/>
    </row>
    <row r="194" spans="1:20" ht="13.5">
      <c r="A194" s="13"/>
      <c r="C194" s="8" t="str">
        <f>"B*="&amp;L192</f>
        <v>B*=4.5</v>
      </c>
      <c r="D194" s="8" t="str">
        <f>J197&amp;L192&amp;"^(-1/3)="&amp;K197</f>
        <v>Sγ=4.5^(-1/3)=0.61</v>
      </c>
      <c r="G194" s="13"/>
      <c r="H194" s="13"/>
      <c r="I194" s="13"/>
      <c r="O194" s="13"/>
      <c r="P194" s="16"/>
      <c r="Q194" s="17" t="str">
        <f>"Ae=Be×Le="&amp;S190&amp;"×"&amp;S191&amp;"="</f>
        <v>Ae=Be×Le=4.5×4.76=</v>
      </c>
      <c r="R194" s="17"/>
      <c r="S194" s="17">
        <f>ROUND(S190*S191,2)</f>
        <v>21.42</v>
      </c>
      <c r="T194" s="18" t="s">
        <v>69</v>
      </c>
    </row>
    <row r="195" spans="1:21" ht="15.75">
      <c r="A195" s="13"/>
      <c r="B195" s="4" t="s">
        <v>85</v>
      </c>
      <c r="C195" s="28"/>
      <c r="D195" s="17"/>
      <c r="E195" s="17"/>
      <c r="F195" s="17"/>
      <c r="G195" s="17"/>
      <c r="H195" s="17"/>
      <c r="I195" s="17"/>
      <c r="J195" s="6" t="s">
        <v>95</v>
      </c>
      <c r="K195" s="7">
        <f>ROUND((L190)^(-1/3),2)</f>
        <v>1</v>
      </c>
      <c r="O195" s="13"/>
      <c r="P195" s="16"/>
      <c r="Q195" s="17"/>
      <c r="R195" s="17"/>
      <c r="S195" s="26"/>
      <c r="T195" s="18"/>
      <c r="U195" s="27"/>
    </row>
    <row r="196" spans="1:21" ht="16.5">
      <c r="A196" s="13"/>
      <c r="B196" s="33"/>
      <c r="C196" s="33"/>
      <c r="D196" s="33"/>
      <c r="E196" s="33"/>
      <c r="F196" s="33"/>
      <c r="G196" s="33"/>
      <c r="H196" s="33"/>
      <c r="I196" s="33"/>
      <c r="J196" s="6" t="s">
        <v>107</v>
      </c>
      <c r="K196" s="7">
        <f>ROUND((L191)^(-1/3),2)</f>
        <v>0.56</v>
      </c>
      <c r="O196" s="13"/>
      <c r="P196" s="16"/>
      <c r="Q196" s="28"/>
      <c r="R196" s="26"/>
      <c r="S196" s="17"/>
      <c r="T196" s="18"/>
      <c r="U196" s="27"/>
    </row>
    <row r="197" spans="1:21" ht="15">
      <c r="A197" s="13"/>
      <c r="B197" s="34"/>
      <c r="C197" s="28"/>
      <c r="D197" s="17"/>
      <c r="E197" s="17"/>
      <c r="F197" s="17"/>
      <c r="G197" s="17"/>
      <c r="H197" s="17"/>
      <c r="I197" s="17"/>
      <c r="J197" s="6" t="s">
        <v>108</v>
      </c>
      <c r="K197" s="7">
        <f>ROUND(L192^(-1/3),2)</f>
        <v>0.61</v>
      </c>
      <c r="O197" s="13"/>
      <c r="P197" s="16"/>
      <c r="Q197" s="17" t="str">
        <f>"Be/Le="&amp;S190&amp;"/"&amp;S191&amp;"="</f>
        <v>Be/Le=4.5/4.76=</v>
      </c>
      <c r="R197" s="17">
        <f>ROUND(S190/S191,2)</f>
        <v>0.95</v>
      </c>
      <c r="S197" s="28"/>
      <c r="T197" s="18"/>
      <c r="U197" s="27"/>
    </row>
    <row r="198" spans="1:21" ht="15">
      <c r="A198" s="13"/>
      <c r="B198" s="34"/>
      <c r="C198" s="17"/>
      <c r="D198" s="17"/>
      <c r="E198" s="17"/>
      <c r="F198" s="17"/>
      <c r="G198" s="17"/>
      <c r="H198" s="17"/>
      <c r="I198" s="17"/>
      <c r="L198" s="8" t="s">
        <v>110</v>
      </c>
      <c r="O198" s="13"/>
      <c r="P198" s="16"/>
      <c r="Q198" s="10" t="s">
        <v>72</v>
      </c>
      <c r="R198" s="17">
        <f>AD24</f>
        <v>1</v>
      </c>
      <c r="S198" s="17"/>
      <c r="T198" s="18"/>
      <c r="U198" s="27"/>
    </row>
    <row r="199" spans="1:21" ht="13.5">
      <c r="A199" s="13"/>
      <c r="B199" s="8" t="str">
        <f>"="&amp;$S$194&amp;"×{"&amp;$R$198&amp;"×"&amp;$R$202&amp;"×"&amp;$R$212&amp;"×"&amp;ROUND($J$329,2)&amp;"×"&amp;$K$195&amp;"+"&amp;$R$202&amp;"×"&amp;$R$207&amp;"×"&amp;ROUND($J$328,2)&amp;"×"&amp;$K$196</f>
        <v>=21.42×{1×1.08×10×10.11×1+1.08×57.6×4.98×0.56</v>
      </c>
      <c r="C199" s="28"/>
      <c r="D199" s="17"/>
      <c r="E199" s="17"/>
      <c r="F199" s="17"/>
      <c r="G199" s="17"/>
      <c r="H199" s="17"/>
      <c r="I199" s="17"/>
      <c r="J199" s="8" t="s">
        <v>109</v>
      </c>
      <c r="K199" s="8">
        <f>ROUND($S$194*($R$198*$R$202*$R$212*$J$329*$K$195+$R$202*$R$207*$J$328*$K$196+1/2*$E$11*$R$199*$S$190*$J$330*$K$197),0)</f>
        <v>6653</v>
      </c>
      <c r="O199" s="13"/>
      <c r="P199" s="16"/>
      <c r="Q199" s="10" t="s">
        <v>73</v>
      </c>
      <c r="R199" s="17">
        <f>AE24</f>
        <v>1</v>
      </c>
      <c r="S199" s="17"/>
      <c r="T199" s="18"/>
      <c r="U199" s="27"/>
    </row>
    <row r="200" spans="1:21" ht="13.5">
      <c r="A200" s="13"/>
      <c r="B200" s="8" t="str">
        <f>"  +1/2×"&amp;E11&amp;"×"&amp;R199&amp;"×"&amp;S190&amp;"×"&amp;J330&amp;"×"&amp;K197&amp;"}"</f>
        <v>  +1/2×19×1×4.5×1.07×0.61}</v>
      </c>
      <c r="C200" s="28"/>
      <c r="D200" s="17"/>
      <c r="E200" s="17"/>
      <c r="F200" s="17"/>
      <c r="G200" s="17"/>
      <c r="H200" s="17"/>
      <c r="I200" s="17"/>
      <c r="O200" s="29"/>
      <c r="P200" s="16"/>
      <c r="Q200" s="17"/>
      <c r="R200" s="17"/>
      <c r="S200" s="17"/>
      <c r="T200" s="18"/>
      <c r="U200" s="27"/>
    </row>
    <row r="201" spans="1:21" ht="13.5">
      <c r="A201" s="13"/>
      <c r="B201" s="8" t="str">
        <f>"="&amp;K199&amp;L198</f>
        <v>=6653(kN)</v>
      </c>
      <c r="C201" s="28"/>
      <c r="D201" s="17"/>
      <c r="E201" s="17"/>
      <c r="F201" s="17"/>
      <c r="G201" s="17"/>
      <c r="H201" s="17"/>
      <c r="I201" s="17"/>
      <c r="O201" s="27"/>
      <c r="P201" s="16"/>
      <c r="Q201" s="17"/>
      <c r="R201" s="17"/>
      <c r="S201" s="17"/>
      <c r="T201" s="18"/>
      <c r="U201" s="27"/>
    </row>
    <row r="202" spans="1:21" ht="13.5">
      <c r="A202" s="13"/>
      <c r="B202" s="4" t="s">
        <v>90</v>
      </c>
      <c r="C202" s="28"/>
      <c r="D202" s="8" t="str">
        <f>"Fs=Qu/V="&amp;K202</f>
        <v>Fs=Qu/V=6.65</v>
      </c>
      <c r="E202" s="17"/>
      <c r="F202" s="17"/>
      <c r="G202" s="17"/>
      <c r="H202" s="17"/>
      <c r="I202" s="17"/>
      <c r="J202" s="8" t="s">
        <v>111</v>
      </c>
      <c r="K202" s="8">
        <f>ROUND(K199/E7,2)</f>
        <v>6.65</v>
      </c>
      <c r="O202" s="29"/>
      <c r="P202" s="16"/>
      <c r="Q202" s="10" t="s">
        <v>75</v>
      </c>
      <c r="R202" s="17">
        <f>ROUND(1+0.3*E14/S190,2)</f>
        <v>1.08</v>
      </c>
      <c r="S202" s="17"/>
      <c r="T202" s="18"/>
      <c r="U202" s="27"/>
    </row>
    <row r="203" spans="1:21" ht="13.5">
      <c r="A203" s="13"/>
      <c r="C203" s="28"/>
      <c r="D203" s="17"/>
      <c r="E203" s="17"/>
      <c r="F203" s="17"/>
      <c r="G203" s="17"/>
      <c r="H203" s="17"/>
      <c r="I203" s="17"/>
      <c r="J203" s="13"/>
      <c r="K203" s="13"/>
      <c r="O203" s="29"/>
      <c r="P203" s="16"/>
      <c r="Q203" s="17"/>
      <c r="R203" s="17"/>
      <c r="S203" s="17"/>
      <c r="T203" s="18"/>
      <c r="U203" s="27"/>
    </row>
    <row r="204" spans="3:21" ht="13.5">
      <c r="C204" s="28"/>
      <c r="D204" s="17"/>
      <c r="E204" s="17"/>
      <c r="F204" s="17"/>
      <c r="G204" s="17"/>
      <c r="H204" s="17"/>
      <c r="I204" s="17"/>
      <c r="J204" s="13"/>
      <c r="K204" s="13"/>
      <c r="O204" s="29"/>
      <c r="P204" s="16"/>
      <c r="Q204" s="17"/>
      <c r="R204" s="17"/>
      <c r="S204" s="17"/>
      <c r="T204" s="30"/>
      <c r="U204" s="27"/>
    </row>
    <row r="205" spans="2:21" ht="13.5">
      <c r="B205" s="34"/>
      <c r="C205" s="28"/>
      <c r="D205" s="17"/>
      <c r="E205" s="17"/>
      <c r="F205" s="17"/>
      <c r="G205" s="17"/>
      <c r="H205" s="17"/>
      <c r="I205" s="17"/>
      <c r="J205" s="13"/>
      <c r="K205" s="13"/>
      <c r="O205" s="27"/>
      <c r="P205" s="16"/>
      <c r="Q205" s="17"/>
      <c r="R205" s="17"/>
      <c r="S205" s="17"/>
      <c r="T205" s="30"/>
      <c r="U205" s="27"/>
    </row>
    <row r="206" spans="3:25" ht="13.5">
      <c r="C206" s="28"/>
      <c r="D206" s="17"/>
      <c r="E206" s="17"/>
      <c r="F206" s="17"/>
      <c r="G206" s="17"/>
      <c r="H206" s="17"/>
      <c r="I206" s="17"/>
      <c r="J206" s="13"/>
      <c r="K206" s="13"/>
      <c r="O206" s="29"/>
      <c r="P206" s="16"/>
      <c r="Q206" s="17"/>
      <c r="R206" s="17"/>
      <c r="S206" s="17"/>
      <c r="T206" s="30"/>
      <c r="U206" s="29"/>
      <c r="V206" s="13"/>
      <c r="W206" s="13"/>
      <c r="Y206" s="13"/>
    </row>
    <row r="207" spans="3:21" ht="13.5">
      <c r="C207" s="28"/>
      <c r="D207" s="17"/>
      <c r="E207" s="17"/>
      <c r="F207" s="17"/>
      <c r="G207" s="13"/>
      <c r="H207" s="13"/>
      <c r="I207" s="13"/>
      <c r="J207" s="13"/>
      <c r="K207" s="13"/>
      <c r="O207" s="27"/>
      <c r="P207" s="16"/>
      <c r="Q207" s="28" t="s">
        <v>78</v>
      </c>
      <c r="R207" s="28">
        <f>E15*E16</f>
        <v>57.6</v>
      </c>
      <c r="S207" s="28" t="s">
        <v>79</v>
      </c>
      <c r="T207" s="31"/>
      <c r="U207" s="27"/>
    </row>
    <row r="208" spans="3:21" ht="13.5">
      <c r="C208" s="28"/>
      <c r="D208" s="17"/>
      <c r="E208" s="28"/>
      <c r="F208" s="17"/>
      <c r="G208" s="13"/>
      <c r="H208" s="13"/>
      <c r="I208" s="13"/>
      <c r="J208" s="13"/>
      <c r="K208" s="13"/>
      <c r="O208" s="27"/>
      <c r="P208" s="16"/>
      <c r="Q208" s="28"/>
      <c r="R208" s="28"/>
      <c r="S208" s="28"/>
      <c r="T208" s="31"/>
      <c r="U208" s="27"/>
    </row>
    <row r="209" spans="2:21" ht="13.5">
      <c r="B209" s="28"/>
      <c r="C209" s="28"/>
      <c r="D209" s="28"/>
      <c r="E209" s="17"/>
      <c r="F209" s="17"/>
      <c r="G209" s="13"/>
      <c r="H209" s="13"/>
      <c r="I209" s="13"/>
      <c r="J209" s="13"/>
      <c r="K209" s="13"/>
      <c r="O209" s="27"/>
      <c r="P209" s="16"/>
      <c r="Q209" s="28"/>
      <c r="R209" s="28"/>
      <c r="S209" s="28"/>
      <c r="T209" s="31"/>
      <c r="U209" s="27"/>
    </row>
    <row r="210" spans="2:20" ht="13.5">
      <c r="B210" s="28"/>
      <c r="C210" s="28"/>
      <c r="D210" s="17"/>
      <c r="E210" s="17"/>
      <c r="F210" s="17"/>
      <c r="G210" s="13"/>
      <c r="H210" s="13"/>
      <c r="I210" s="13"/>
      <c r="J210" s="13"/>
      <c r="P210" s="16"/>
      <c r="Q210" s="28" t="s">
        <v>81</v>
      </c>
      <c r="R210" s="28">
        <f>E8/E7</f>
        <v>0.5</v>
      </c>
      <c r="S210" s="28"/>
      <c r="T210" s="32"/>
    </row>
    <row r="211" spans="2:20" ht="13.5">
      <c r="B211" s="28"/>
      <c r="C211" s="28"/>
      <c r="D211" s="28"/>
      <c r="E211" s="17"/>
      <c r="F211" s="17"/>
      <c r="G211" s="13"/>
      <c r="H211" s="13"/>
      <c r="I211" s="13"/>
      <c r="J211" s="13"/>
      <c r="P211" s="16"/>
      <c r="Q211" s="11" t="s">
        <v>82</v>
      </c>
      <c r="R211" s="28">
        <f>ATAN(R210)</f>
        <v>0.4636476090008061</v>
      </c>
      <c r="S211" s="28" t="s">
        <v>83</v>
      </c>
      <c r="T211" s="32"/>
    </row>
    <row r="212" spans="2:20" ht="13.5">
      <c r="B212" s="28"/>
      <c r="C212" s="28"/>
      <c r="D212" s="28"/>
      <c r="E212" s="28"/>
      <c r="F212" s="28"/>
      <c r="J212" s="13"/>
      <c r="P212" s="16"/>
      <c r="Q212" s="28" t="s">
        <v>84</v>
      </c>
      <c r="R212" s="28">
        <f>E13</f>
        <v>10</v>
      </c>
      <c r="S212" s="28" t="str">
        <f>F13</f>
        <v>(kN/m2)</v>
      </c>
      <c r="T212" s="32"/>
    </row>
    <row r="213" spans="2:20" ht="13.5">
      <c r="B213" s="28"/>
      <c r="C213" s="28"/>
      <c r="D213" s="17"/>
      <c r="E213" s="17"/>
      <c r="F213" s="17"/>
      <c r="G213" s="13"/>
      <c r="H213" s="13"/>
      <c r="I213" s="13"/>
      <c r="J213" s="13"/>
      <c r="P213" s="16"/>
      <c r="Q213" s="10" t="s">
        <v>86</v>
      </c>
      <c r="R213" s="28" t="str">
        <f>AB11</f>
        <v>φ=30(度)</v>
      </c>
      <c r="S213" s="28">
        <f>IF(E12=0,0.0001*PI()/180,E12*PI()/180)</f>
        <v>0.5235987755982988</v>
      </c>
      <c r="T213" s="32" t="s">
        <v>87</v>
      </c>
    </row>
    <row r="214" spans="2:20" ht="13.5">
      <c r="B214" s="28"/>
      <c r="C214" s="28"/>
      <c r="D214" s="28"/>
      <c r="E214" s="28"/>
      <c r="F214" s="17"/>
      <c r="G214" s="13"/>
      <c r="H214" s="13"/>
      <c r="I214" s="13"/>
      <c r="J214" s="13"/>
      <c r="P214" s="16"/>
      <c r="Q214" s="17"/>
      <c r="R214" s="28"/>
      <c r="S214" s="28"/>
      <c r="T214" s="32"/>
    </row>
    <row r="215" spans="2:20" ht="13.5">
      <c r="B215" s="28"/>
      <c r="C215" s="28"/>
      <c r="D215" s="4" t="s">
        <v>42</v>
      </c>
      <c r="E215" s="17"/>
      <c r="F215" s="17"/>
      <c r="G215" s="13"/>
      <c r="H215" s="13"/>
      <c r="I215" s="13"/>
      <c r="J215" s="13"/>
      <c r="P215" s="16"/>
      <c r="Q215" s="28"/>
      <c r="R215" s="28"/>
      <c r="S215" s="28"/>
      <c r="T215" s="32"/>
    </row>
    <row r="216" spans="2:20" ht="13.5">
      <c r="B216" s="28"/>
      <c r="C216" s="28"/>
      <c r="D216" s="17"/>
      <c r="E216" s="17"/>
      <c r="F216" s="17"/>
      <c r="G216" s="13"/>
      <c r="H216" s="13"/>
      <c r="I216" s="13"/>
      <c r="J216" s="13"/>
      <c r="P216" s="16"/>
      <c r="Q216" s="17"/>
      <c r="R216" s="28"/>
      <c r="S216" s="28"/>
      <c r="T216" s="32"/>
    </row>
    <row r="217" spans="2:20" ht="13.5">
      <c r="B217" s="17"/>
      <c r="C217" s="17"/>
      <c r="D217" s="17"/>
      <c r="E217" s="17"/>
      <c r="F217" s="17"/>
      <c r="G217" s="13"/>
      <c r="H217" s="13"/>
      <c r="I217" s="13"/>
      <c r="J217" s="13"/>
      <c r="P217" s="16"/>
      <c r="Q217" s="10" t="s">
        <v>88</v>
      </c>
      <c r="R217" s="28">
        <f>PI()/2+S213</f>
        <v>2.0943951023931953</v>
      </c>
      <c r="S217" s="28" t="s">
        <v>87</v>
      </c>
      <c r="T217" s="32"/>
    </row>
    <row r="218" spans="2:20" ht="13.5">
      <c r="B218" s="17"/>
      <c r="C218" s="17"/>
      <c r="D218" s="17"/>
      <c r="E218" s="17"/>
      <c r="F218" s="17"/>
      <c r="G218" s="13"/>
      <c r="H218" s="13"/>
      <c r="I218" s="13"/>
      <c r="J218" s="13"/>
      <c r="P218" s="16"/>
      <c r="Q218" s="17"/>
      <c r="R218" s="28"/>
      <c r="S218" s="28"/>
      <c r="T218" s="32"/>
    </row>
    <row r="219" spans="2:20" ht="13.5">
      <c r="B219" s="17"/>
      <c r="C219" s="17"/>
      <c r="D219" s="17"/>
      <c r="E219" s="17"/>
      <c r="F219" s="17"/>
      <c r="G219" s="13"/>
      <c r="H219" s="13"/>
      <c r="I219" s="13"/>
      <c r="J219" s="13"/>
      <c r="P219" s="16"/>
      <c r="Q219" s="11" t="s">
        <v>89</v>
      </c>
      <c r="R219" s="28">
        <f>PI()/4+S213/2+1/2*(R211+ASIN(SIN(R211)/SIN(S213)))</f>
        <v>1.8325957145940461</v>
      </c>
      <c r="S219" s="28" t="s">
        <v>87</v>
      </c>
      <c r="T219" s="32"/>
    </row>
    <row r="220" spans="2:20" ht="13.5">
      <c r="B220" s="17"/>
      <c r="C220" s="17"/>
      <c r="D220" s="17"/>
      <c r="E220" s="17"/>
      <c r="F220" s="28"/>
      <c r="J220" s="13"/>
      <c r="K220" s="13"/>
      <c r="P220" s="19"/>
      <c r="Q220" s="35"/>
      <c r="R220" s="35"/>
      <c r="S220" s="35"/>
      <c r="T220" s="36"/>
    </row>
    <row r="221" spans="2:10" ht="13.5">
      <c r="B221" s="17"/>
      <c r="C221" s="17"/>
      <c r="D221" s="17"/>
      <c r="E221" s="17"/>
      <c r="F221" s="28"/>
      <c r="J221" s="13"/>
    </row>
    <row r="222" spans="2:10" ht="13.5">
      <c r="B222" s="17"/>
      <c r="C222" s="17"/>
      <c r="D222" s="17"/>
      <c r="E222" s="17"/>
      <c r="F222" s="28"/>
      <c r="J222" s="13"/>
    </row>
    <row r="223" spans="2:10" ht="13.5">
      <c r="B223" s="17"/>
      <c r="C223" s="17"/>
      <c r="D223" s="17"/>
      <c r="E223" s="17"/>
      <c r="F223" s="28"/>
      <c r="J223" s="13"/>
    </row>
    <row r="224" spans="2:10" ht="13.5">
      <c r="B224" s="17"/>
      <c r="C224" s="17"/>
      <c r="D224" s="17"/>
      <c r="E224" s="17"/>
      <c r="F224" s="17"/>
      <c r="G224" s="13"/>
      <c r="H224" s="13"/>
      <c r="I224" s="13"/>
      <c r="J224" s="13"/>
    </row>
    <row r="225" spans="2:10" ht="13.5">
      <c r="B225" s="28"/>
      <c r="C225" s="28"/>
      <c r="D225" s="28"/>
      <c r="E225" s="28"/>
      <c r="F225" s="17"/>
      <c r="G225" s="13"/>
      <c r="H225" s="13"/>
      <c r="I225" s="13"/>
      <c r="J225" s="13"/>
    </row>
    <row r="226" ht="13.5">
      <c r="J226" s="13"/>
    </row>
    <row r="227" ht="13.5">
      <c r="J227" s="13"/>
    </row>
    <row r="228" ht="13.5">
      <c r="J228" s="13"/>
    </row>
    <row r="229" ht="13.5">
      <c r="J229" s="13"/>
    </row>
    <row r="230" ht="13.5">
      <c r="J230" s="13"/>
    </row>
    <row r="231" ht="13.5">
      <c r="J231" s="13"/>
    </row>
    <row r="243" spans="12:15" ht="13.5">
      <c r="L243" s="28"/>
      <c r="M243" s="28"/>
      <c r="N243" s="28"/>
      <c r="O243" s="28"/>
    </row>
    <row r="244" spans="12:15" ht="13.5">
      <c r="L244" s="33"/>
      <c r="M244" s="33"/>
      <c r="N244" s="33"/>
      <c r="O244" s="33"/>
    </row>
    <row r="245" spans="12:15" ht="13.5">
      <c r="L245" s="34"/>
      <c r="M245" s="28"/>
      <c r="N245" s="28"/>
      <c r="O245" s="17"/>
    </row>
    <row r="246" spans="12:15" ht="13.5">
      <c r="L246" s="34"/>
      <c r="M246" s="17"/>
      <c r="N246" s="28"/>
      <c r="O246" s="17"/>
    </row>
    <row r="247" spans="12:15" ht="13.5">
      <c r="L247" s="34"/>
      <c r="M247" s="28"/>
      <c r="N247" s="28"/>
      <c r="O247" s="17"/>
    </row>
    <row r="248" spans="12:15" ht="13.5">
      <c r="L248" s="34"/>
      <c r="M248" s="28"/>
      <c r="N248" s="28"/>
      <c r="O248" s="17"/>
    </row>
    <row r="249" spans="12:15" ht="13.5">
      <c r="L249" s="34"/>
      <c r="M249" s="28"/>
      <c r="N249" s="28"/>
      <c r="O249" s="28"/>
    </row>
    <row r="250" spans="12:15" ht="13.5">
      <c r="L250" s="34"/>
      <c r="M250" s="28"/>
      <c r="N250" s="28"/>
      <c r="O250" s="28"/>
    </row>
    <row r="251" spans="12:15" ht="13.5">
      <c r="L251" s="34"/>
      <c r="M251" s="28"/>
      <c r="N251" s="28"/>
      <c r="O251" s="28"/>
    </row>
    <row r="252" spans="12:15" ht="13.5">
      <c r="L252" s="34"/>
      <c r="M252" s="28"/>
      <c r="N252" s="28"/>
      <c r="O252" s="28"/>
    </row>
    <row r="253" spans="12:15" ht="13.5">
      <c r="L253" s="34"/>
      <c r="M253" s="28"/>
      <c r="N253" s="28"/>
      <c r="O253" s="28"/>
    </row>
    <row r="254" spans="12:15" ht="13.5">
      <c r="L254" s="34"/>
      <c r="M254" s="28"/>
      <c r="N254" s="28"/>
      <c r="O254" s="28"/>
    </row>
    <row r="255" spans="12:15" ht="13.5">
      <c r="L255" s="34"/>
      <c r="M255" s="28"/>
      <c r="N255" s="28"/>
      <c r="O255" s="28"/>
    </row>
    <row r="256" spans="12:15" ht="13.5">
      <c r="L256" s="34"/>
      <c r="M256" s="28"/>
      <c r="N256" s="28"/>
      <c r="O256" s="28"/>
    </row>
    <row r="257" spans="12:15" ht="13.5">
      <c r="L257" s="34"/>
      <c r="M257" s="28"/>
      <c r="N257" s="28"/>
      <c r="O257" s="28"/>
    </row>
    <row r="260" spans="16:17" ht="13.5">
      <c r="P260" s="9" t="s">
        <v>149</v>
      </c>
      <c r="Q260" s="8">
        <f>1/F144</f>
        <v>2</v>
      </c>
    </row>
    <row r="263" spans="10:12" ht="13.5">
      <c r="J263" s="4" t="s">
        <v>94</v>
      </c>
      <c r="K263" s="8">
        <f>E12</f>
        <v>30</v>
      </c>
      <c r="L263" s="28">
        <f>IF(K263=0,0.0001*PI()/180,K263*PI()/180)</f>
        <v>0.5235987755982988</v>
      </c>
    </row>
    <row r="264" spans="10:21" ht="13.5">
      <c r="J264" s="8" t="s">
        <v>150</v>
      </c>
      <c r="K264" s="12" t="s">
        <v>96</v>
      </c>
      <c r="L264" s="3" t="s">
        <v>97</v>
      </c>
      <c r="M264" s="3" t="s">
        <v>98</v>
      </c>
      <c r="N264" s="8" t="s">
        <v>99</v>
      </c>
      <c r="O264" s="8" t="s">
        <v>100</v>
      </c>
      <c r="P264" s="8" t="s">
        <v>101</v>
      </c>
      <c r="Q264" s="8" t="s">
        <v>102</v>
      </c>
      <c r="R264" s="21" t="s">
        <v>103</v>
      </c>
      <c r="S264" s="21" t="s">
        <v>104</v>
      </c>
      <c r="T264" s="4" t="s">
        <v>105</v>
      </c>
      <c r="U264" s="4" t="s">
        <v>106</v>
      </c>
    </row>
    <row r="265" spans="10:21" ht="13.5">
      <c r="J265" s="8">
        <f aca="true" t="shared" si="1" ref="J265:J296">($R$198*$R$202*$R$212*O265*$K$195+$R$202*$R$207*P265*$K$196+1/2*$S$190*$R$199*$E$11*Q265*$K$197)*$S$194</f>
        <v>15642.1264168285</v>
      </c>
      <c r="K265" s="13">
        <f>L265*180/PI()</f>
        <v>59.99999999999999</v>
      </c>
      <c r="L265" s="13">
        <f>PI()/4+$L$263/2</f>
        <v>1.0471975511965976</v>
      </c>
      <c r="M265" s="37">
        <f aca="true" t="shared" si="2" ref="M265:M296">3*PI()/4+$L$263/2-L265</f>
        <v>1.5707963267948968</v>
      </c>
      <c r="N265" s="8">
        <f>COS($L$263)/COS(L265-$L$263)*(COS(L265)+$E$8/$E$7*SIN(L265))</f>
        <v>0.9330127018922194</v>
      </c>
      <c r="O265" s="8">
        <f aca="true" t="shared" si="3" ref="O265:O296">COS($L$263)/N265*(SIN(L265)/COS(T265)+1/SIN($L$263)*(R265-1)+R265)</f>
        <v>16.15177785382433</v>
      </c>
      <c r="P265" s="8">
        <f aca="true" t="shared" si="4" ref="P265:P296">(1+SIN($L$263))/N265*R265</f>
        <v>9.86113167665876</v>
      </c>
      <c r="Q265" s="8">
        <f aca="true" t="shared" si="5" ref="Q265:Q296">COS(T265)/N265/COS($L$263)*(SIN(PI()/4-$L$263/2)*(1+SIN($L$263))*S265-SIN(L265)*COS(L265)*COS($L$263)/COS(T265)-(S265*(SIN(L265+M265)+3*TAN($L$263)*COS(L265+M265))-SIN(L265)-3*TAN($L$263)*COS(L265))/(9*TAN($L$263)^2+1))/$Q$260</f>
        <v>8.140798979981422</v>
      </c>
      <c r="R265" s="8">
        <f aca="true" t="shared" si="6" ref="R265:R296">EXP(2*M265*TAN($L$263))</f>
        <v>6.133707406236227</v>
      </c>
      <c r="S265" s="8">
        <f aca="true" t="shared" si="7" ref="S265:S296">EXP(3*M265*TAN($L$263))</f>
        <v>15.190937703747784</v>
      </c>
      <c r="T265" s="8">
        <f aca="true" t="shared" si="8" ref="T265:T296">L265-$L$263</f>
        <v>0.5235987755982988</v>
      </c>
      <c r="U265" s="8">
        <v>0</v>
      </c>
    </row>
    <row r="266" spans="10:21" ht="13.5">
      <c r="J266" s="8">
        <f t="shared" si="1"/>
        <v>15262.684168469454</v>
      </c>
      <c r="K266" s="13">
        <f aca="true" t="shared" si="9" ref="K266:K325">L266*180/PI()</f>
        <v>61</v>
      </c>
      <c r="L266" s="13">
        <f aca="true" t="shared" si="10" ref="L266:L297">IF(U265&gt;=1.1,L265,(PI()/2+$L$263-$L$265)/60+L265)</f>
        <v>1.064650843716541</v>
      </c>
      <c r="M266" s="37">
        <f t="shared" si="2"/>
        <v>1.5533430342749535</v>
      </c>
      <c r="N266" s="8">
        <f>COS($L$263)/COS(L266-$L$263)*(COS(L266)+$E$8/$E$7*SIN(L266))</f>
        <v>0.9316488029756895</v>
      </c>
      <c r="O266" s="8">
        <f t="shared" si="3"/>
        <v>15.853077934405173</v>
      </c>
      <c r="P266" s="8">
        <f t="shared" si="4"/>
        <v>9.678534568010527</v>
      </c>
      <c r="Q266" s="8">
        <f t="shared" si="5"/>
        <v>7.829136012807228</v>
      </c>
      <c r="R266" s="8">
        <f t="shared" si="6"/>
        <v>6.011330096563893</v>
      </c>
      <c r="S266" s="8">
        <f t="shared" si="7"/>
        <v>14.738587536224225</v>
      </c>
      <c r="T266" s="8">
        <f t="shared" si="8"/>
        <v>0.5410520681182421</v>
      </c>
      <c r="U266" s="8">
        <f aca="true" t="shared" si="11" ref="U266:U297">IF(U265&gt;=1.1,1.1,J266/J265)</f>
        <v>0.9757422847605409</v>
      </c>
    </row>
    <row r="267" spans="10:21" ht="13.5">
      <c r="J267" s="8">
        <f t="shared" si="1"/>
        <v>14892.750824911547</v>
      </c>
      <c r="K267" s="13">
        <f t="shared" si="9"/>
        <v>62</v>
      </c>
      <c r="L267" s="13">
        <f t="shared" si="10"/>
        <v>1.0821041362364843</v>
      </c>
      <c r="M267" s="37">
        <f t="shared" si="2"/>
        <v>1.5358897417550101</v>
      </c>
      <c r="N267" s="8">
        <f>COS($L$263)/COS(L267-$L$263)*(COS(L267)+$E$8/$E$7*SIN(L267))</f>
        <v>0.9302559915122096</v>
      </c>
      <c r="O267" s="8">
        <f t="shared" si="3"/>
        <v>15.561206496304976</v>
      </c>
      <c r="P267" s="8">
        <f t="shared" si="4"/>
        <v>9.499634183120474</v>
      </c>
      <c r="Q267" s="8">
        <f t="shared" si="5"/>
        <v>7.526729992034802</v>
      </c>
      <c r="R267" s="8">
        <f t="shared" si="6"/>
        <v>5.891394410681343</v>
      </c>
      <c r="S267" s="8">
        <f t="shared" si="7"/>
        <v>14.299707285966406</v>
      </c>
      <c r="T267" s="8">
        <f t="shared" si="8"/>
        <v>0.5585053606381855</v>
      </c>
      <c r="U267" s="8">
        <f t="shared" si="11"/>
        <v>0.9757622355625928</v>
      </c>
    </row>
    <row r="268" spans="10:21" ht="13.5">
      <c r="J268" s="8">
        <f t="shared" si="1"/>
        <v>14532.166261568933</v>
      </c>
      <c r="K268" s="13">
        <f t="shared" si="9"/>
        <v>63</v>
      </c>
      <c r="L268" s="13">
        <f t="shared" si="10"/>
        <v>1.0995574287564276</v>
      </c>
      <c r="M268" s="37">
        <f t="shared" si="2"/>
        <v>1.5184364492350668</v>
      </c>
      <c r="N268" s="8">
        <f>COS($L$263)/COS(L268-$L$263)*(COS(L268)+$E$8/$E$7*SIN(L268))</f>
        <v>0.9288324618353988</v>
      </c>
      <c r="O268" s="8">
        <f t="shared" si="3"/>
        <v>15.27608557099214</v>
      </c>
      <c r="P268" s="8">
        <f t="shared" si="4"/>
        <v>9.324369902293705</v>
      </c>
      <c r="Q268" s="8">
        <f t="shared" si="5"/>
        <v>7.233407525508801</v>
      </c>
      <c r="R268" s="8">
        <f t="shared" si="6"/>
        <v>5.77385163427424</v>
      </c>
      <c r="S268" s="8">
        <f t="shared" si="7"/>
        <v>13.873895850721764</v>
      </c>
      <c r="T268" s="8">
        <f t="shared" si="8"/>
        <v>0.5759586531581288</v>
      </c>
      <c r="U268" s="8">
        <f t="shared" si="11"/>
        <v>0.9757879140273096</v>
      </c>
    </row>
    <row r="269" spans="10:21" ht="13.5">
      <c r="J269" s="8">
        <f t="shared" si="1"/>
        <v>14180.77252510563</v>
      </c>
      <c r="K269" s="13">
        <f t="shared" si="9"/>
        <v>64</v>
      </c>
      <c r="L269" s="13">
        <f t="shared" si="10"/>
        <v>1.117010721276371</v>
      </c>
      <c r="M269" s="37">
        <f t="shared" si="2"/>
        <v>1.5009831567151235</v>
      </c>
      <c r="N269" s="8">
        <f>COS($L$263)/COS(L269-$L$263)*(COS(L269)+$E$8/$E$7*SIN(L269))</f>
        <v>0.9273762894347674</v>
      </c>
      <c r="O269" s="8">
        <f t="shared" si="3"/>
        <v>14.997642112407108</v>
      </c>
      <c r="P269" s="8">
        <f t="shared" si="4"/>
        <v>9.152682825877442</v>
      </c>
      <c r="Q269" s="8">
        <f t="shared" si="5"/>
        <v>6.948994771745116</v>
      </c>
      <c r="R269" s="8">
        <f t="shared" si="6"/>
        <v>5.658654024957028</v>
      </c>
      <c r="S269" s="8">
        <f t="shared" si="7"/>
        <v>13.460764072113387</v>
      </c>
      <c r="T269" s="8">
        <f t="shared" si="8"/>
        <v>0.5934119456780721</v>
      </c>
      <c r="U269" s="8">
        <f t="shared" si="11"/>
        <v>0.9758195901327814</v>
      </c>
    </row>
    <row r="270" spans="10:21" ht="13.5">
      <c r="J270" s="8">
        <f t="shared" si="1"/>
        <v>13838.414042419587</v>
      </c>
      <c r="K270" s="13">
        <f t="shared" si="9"/>
        <v>65</v>
      </c>
      <c r="L270" s="13">
        <f t="shared" si="10"/>
        <v>1.1344640137963142</v>
      </c>
      <c r="M270" s="37">
        <f t="shared" si="2"/>
        <v>1.4835298641951802</v>
      </c>
      <c r="N270" s="8">
        <f aca="true" t="shared" si="12" ref="N270:N301">MAX(0,COS($L$263)/COS(L270-$L$263)*(COS(L270)+$E$8/$E$7*SIN(L270)))</f>
        <v>0.925885419769265</v>
      </c>
      <c r="O270" s="8">
        <f t="shared" si="3"/>
        <v>14.725808246080966</v>
      </c>
      <c r="P270" s="8">
        <f t="shared" si="4"/>
        <v>8.984515806929021</v>
      </c>
      <c r="Q270" s="8">
        <f t="shared" si="5"/>
        <v>6.673317667252234</v>
      </c>
      <c r="R270" s="8">
        <f t="shared" si="6"/>
        <v>5.5457547928813815</v>
      </c>
      <c r="S270" s="8">
        <f t="shared" si="7"/>
        <v>13.059934379979671</v>
      </c>
      <c r="T270" s="8">
        <f t="shared" si="8"/>
        <v>0.6108652381980154</v>
      </c>
      <c r="U270" s="8">
        <f t="shared" si="11"/>
        <v>0.9758575576838333</v>
      </c>
    </row>
    <row r="271" spans="10:21" ht="13.5">
      <c r="J271" s="8">
        <f t="shared" si="1"/>
        <v>13504.937835002858</v>
      </c>
      <c r="K271" s="13">
        <f t="shared" si="9"/>
        <v>66</v>
      </c>
      <c r="L271" s="13">
        <f t="shared" si="10"/>
        <v>1.1519173063162575</v>
      </c>
      <c r="M271" s="37">
        <f t="shared" si="2"/>
        <v>1.4660765716752369</v>
      </c>
      <c r="N271" s="8">
        <f t="shared" si="12"/>
        <v>0.9243576558569153</v>
      </c>
      <c r="O271" s="8">
        <f t="shared" si="3"/>
        <v>14.46052155127862</v>
      </c>
      <c r="P271" s="8">
        <f t="shared" si="4"/>
        <v>8.819813489876408</v>
      </c>
      <c r="Q271" s="8">
        <f t="shared" si="5"/>
        <v>6.406202141794827</v>
      </c>
      <c r="R271" s="8">
        <f t="shared" si="6"/>
        <v>5.4351080817315705</v>
      </c>
      <c r="S271" s="8">
        <f t="shared" si="7"/>
        <v>12.671040447304732</v>
      </c>
      <c r="T271" s="8">
        <f t="shared" si="8"/>
        <v>0.6283185307179587</v>
      </c>
      <c r="U271" s="8">
        <f t="shared" si="11"/>
        <v>0.9759021368782212</v>
      </c>
    </row>
    <row r="272" spans="10:21" ht="13.5">
      <c r="J272" s="8">
        <f t="shared" si="1"/>
        <v>13180.193740739178</v>
      </c>
      <c r="K272" s="13">
        <f t="shared" si="9"/>
        <v>67.00000000000001</v>
      </c>
      <c r="L272" s="13">
        <f t="shared" si="10"/>
        <v>1.1693705988362009</v>
      </c>
      <c r="M272" s="37">
        <f t="shared" si="2"/>
        <v>1.4486232791552935</v>
      </c>
      <c r="N272" s="8">
        <f t="shared" si="12"/>
        <v>0.9227906444778217</v>
      </c>
      <c r="O272" s="8">
        <f t="shared" si="3"/>
        <v>14.201725380866606</v>
      </c>
      <c r="P272" s="8">
        <f t="shared" si="4"/>
        <v>8.658522356032075</v>
      </c>
      <c r="Q272" s="8">
        <f t="shared" si="5"/>
        <v>6.147474322193164</v>
      </c>
      <c r="R272" s="8">
        <f t="shared" si="6"/>
        <v>5.326668950098976</v>
      </c>
      <c r="S272" s="8">
        <f t="shared" si="7"/>
        <v>12.293726855424087</v>
      </c>
      <c r="T272" s="8">
        <f t="shared" si="8"/>
        <v>0.645771823237902</v>
      </c>
      <c r="U272" s="8">
        <f t="shared" si="11"/>
        <v>0.9759536772230087</v>
      </c>
    </row>
    <row r="273" spans="10:21" ht="13.5">
      <c r="J273" s="8">
        <f t="shared" si="1"/>
        <v>12864.034645478578</v>
      </c>
      <c r="K273" s="13">
        <f t="shared" si="9"/>
        <v>68</v>
      </c>
      <c r="L273" s="13">
        <f t="shared" si="10"/>
        <v>1.1868238913561442</v>
      </c>
      <c r="M273" s="37">
        <f t="shared" si="2"/>
        <v>1.4311699866353502</v>
      </c>
      <c r="N273" s="8">
        <f t="shared" si="12"/>
        <v>0.9211818608028997</v>
      </c>
      <c r="O273" s="8">
        <f t="shared" si="3"/>
        <v>13.949369224370814</v>
      </c>
      <c r="P273" s="8">
        <f t="shared" si="4"/>
        <v>8.500590776958225</v>
      </c>
      <c r="Q273" s="8">
        <f t="shared" si="5"/>
        <v>5.896960725250348</v>
      </c>
      <c r="R273" s="8">
        <f t="shared" si="6"/>
        <v>5.2203933532282285</v>
      </c>
      <c r="S273" s="8">
        <f t="shared" si="7"/>
        <v>11.92764876919983</v>
      </c>
      <c r="T273" s="8">
        <f t="shared" si="8"/>
        <v>0.6632251157578454</v>
      </c>
      <c r="U273" s="8">
        <f t="shared" si="11"/>
        <v>0.9760125608561147</v>
      </c>
    </row>
    <row r="274" spans="10:21" ht="13.5">
      <c r="J274" s="8">
        <f t="shared" si="1"/>
        <v>12556.31672706276</v>
      </c>
      <c r="K274" s="13">
        <f t="shared" si="9"/>
        <v>69.00000000000001</v>
      </c>
      <c r="L274" s="13">
        <f t="shared" si="10"/>
        <v>1.2042771838760875</v>
      </c>
      <c r="M274" s="37">
        <f t="shared" si="2"/>
        <v>1.413716694115407</v>
      </c>
      <c r="N274" s="8">
        <f t="shared" si="12"/>
        <v>0.9195285912312888</v>
      </c>
      <c r="O274" s="8">
        <f t="shared" si="3"/>
        <v>13.703409120601133</v>
      </c>
      <c r="P274" s="8">
        <f t="shared" si="4"/>
        <v>8.345969076845142</v>
      </c>
      <c r="Q274" s="8">
        <f t="shared" si="5"/>
        <v>5.654488440400939</v>
      </c>
      <c r="R274" s="8">
        <f t="shared" si="6"/>
        <v>5.116238125127542</v>
      </c>
      <c r="S274" s="8">
        <f t="shared" si="7"/>
        <v>11.572471621868191</v>
      </c>
      <c r="T274" s="8">
        <f t="shared" si="8"/>
        <v>0.6806784082777887</v>
      </c>
      <c r="U274" s="8">
        <f t="shared" si="11"/>
        <v>0.9760792063379607</v>
      </c>
    </row>
    <row r="275" spans="10:21" ht="13.5">
      <c r="J275" s="8">
        <f t="shared" si="1"/>
        <v>12256.899714875099</v>
      </c>
      <c r="K275" s="13">
        <f t="shared" si="9"/>
        <v>70</v>
      </c>
      <c r="L275" s="13">
        <f t="shared" si="10"/>
        <v>1.2217304763960308</v>
      </c>
      <c r="M275" s="37">
        <f t="shared" si="2"/>
        <v>1.3962634015954636</v>
      </c>
      <c r="N275" s="8">
        <f t="shared" si="12"/>
        <v>0.9178279141847512</v>
      </c>
      <c r="O275" s="8">
        <f t="shared" si="3"/>
        <v>13.463808127307457</v>
      </c>
      <c r="P275" s="8">
        <f t="shared" si="4"/>
        <v>8.194609605259807</v>
      </c>
      <c r="Q275" s="8">
        <f t="shared" si="5"/>
        <v>5.419885302679588</v>
      </c>
      <c r="R275" s="8">
        <f t="shared" si="6"/>
        <v>5.014160961035957</v>
      </c>
      <c r="S275" s="8">
        <f t="shared" si="7"/>
        <v>11.227870809271725</v>
      </c>
      <c r="T275" s="8">
        <f t="shared" si="8"/>
        <v>0.698131700797732</v>
      </c>
      <c r="U275" s="8">
        <f t="shared" si="11"/>
        <v>0.9761540729900254</v>
      </c>
    </row>
    <row r="276" spans="10:21" ht="13.5">
      <c r="J276" s="8">
        <f t="shared" si="1"/>
        <v>11965.6471684712</v>
      </c>
      <c r="K276" s="13">
        <f t="shared" si="9"/>
        <v>71.00000000000001</v>
      </c>
      <c r="L276" s="13">
        <f t="shared" si="10"/>
        <v>1.2391837689159741</v>
      </c>
      <c r="M276" s="37">
        <f t="shared" si="2"/>
        <v>1.3788101090755203</v>
      </c>
      <c r="N276" s="8">
        <f t="shared" si="12"/>
        <v>0.9160766785663172</v>
      </c>
      <c r="O276" s="8">
        <f t="shared" si="3"/>
        <v>13.230536856635812</v>
      </c>
      <c r="P276" s="8">
        <f t="shared" si="4"/>
        <v>8.046466821856777</v>
      </c>
      <c r="Q276" s="8">
        <f t="shared" si="5"/>
        <v>5.1929800566174125</v>
      </c>
      <c r="R276" s="8">
        <f t="shared" si="6"/>
        <v>4.914120400240418</v>
      </c>
      <c r="S276" s="8">
        <f t="shared" si="7"/>
        <v>10.893531393196453</v>
      </c>
      <c r="T276" s="8">
        <f t="shared" si="8"/>
        <v>0.7155849933176753</v>
      </c>
      <c r="U276" s="8">
        <f t="shared" si="11"/>
        <v>0.9762376658715392</v>
      </c>
    </row>
    <row r="277" spans="10:21" ht="13.5">
      <c r="J277" s="8">
        <f t="shared" si="1"/>
        <v>11682.42677942699</v>
      </c>
      <c r="K277" s="13">
        <f t="shared" si="9"/>
        <v>72.00000000000001</v>
      </c>
      <c r="L277" s="13">
        <f t="shared" si="10"/>
        <v>1.2566370614359175</v>
      </c>
      <c r="M277" s="37">
        <f t="shared" si="2"/>
        <v>1.361356816555577</v>
      </c>
      <c r="N277" s="8">
        <f t="shared" si="12"/>
        <v>0.9142714795417104</v>
      </c>
      <c r="O277" s="8">
        <f t="shared" si="3"/>
        <v>13.00357408672032</v>
      </c>
      <c r="P277" s="8">
        <f t="shared" si="4"/>
        <v>7.901497394925462</v>
      </c>
      <c r="Q277" s="8">
        <f t="shared" si="5"/>
        <v>4.973602511688179</v>
      </c>
      <c r="R277" s="8">
        <f t="shared" si="6"/>
        <v>4.816075809235649</v>
      </c>
      <c r="S277" s="8">
        <f t="shared" si="7"/>
        <v>10.569147813542912</v>
      </c>
      <c r="T277" s="8">
        <f t="shared" si="8"/>
        <v>0.7330382858376187</v>
      </c>
      <c r="U277" s="8">
        <f t="shared" si="11"/>
        <v>0.976330541502972</v>
      </c>
    </row>
    <row r="278" spans="10:21" ht="13.5">
      <c r="J278" s="8">
        <f t="shared" si="1"/>
        <v>11407.110701245205</v>
      </c>
      <c r="K278" s="13">
        <f t="shared" si="9"/>
        <v>73.00000000000001</v>
      </c>
      <c r="L278" s="13">
        <f t="shared" si="10"/>
        <v>1.2740903539558608</v>
      </c>
      <c r="M278" s="37">
        <f t="shared" si="2"/>
        <v>1.3439035240356336</v>
      </c>
      <c r="N278" s="8">
        <f t="shared" si="12"/>
        <v>0.9124086312440083</v>
      </c>
      <c r="O278" s="8">
        <f t="shared" si="3"/>
        <v>12.782907461639132</v>
      </c>
      <c r="P278" s="8">
        <f t="shared" si="4"/>
        <v>7.75966031598909</v>
      </c>
      <c r="Q278" s="8">
        <f t="shared" si="5"/>
        <v>4.761583689946963</v>
      </c>
      <c r="R278" s="8">
        <f t="shared" si="6"/>
        <v>4.719987365220036</v>
      </c>
      <c r="S278" s="8">
        <f t="shared" si="7"/>
        <v>10.25442360906817</v>
      </c>
      <c r="T278" s="8">
        <f t="shared" si="8"/>
        <v>0.750491578357562</v>
      </c>
      <c r="U278" s="8">
        <f t="shared" si="11"/>
        <v>0.9764333144662526</v>
      </c>
    </row>
    <row r="279" spans="10:21" ht="13.5">
      <c r="J279" s="8">
        <f t="shared" si="1"/>
        <v>11139.5759130153</v>
      </c>
      <c r="K279" s="13">
        <f t="shared" si="9"/>
        <v>74.00000000000001</v>
      </c>
      <c r="L279" s="13">
        <f t="shared" si="10"/>
        <v>1.291543646475804</v>
      </c>
      <c r="M279" s="37">
        <f t="shared" si="2"/>
        <v>1.3264502315156903</v>
      </c>
      <c r="N279" s="8">
        <f t="shared" si="12"/>
        <v>0.9104841359325645</v>
      </c>
      <c r="O279" s="8">
        <f t="shared" si="3"/>
        <v>12.56853429425489</v>
      </c>
      <c r="P279" s="8">
        <f t="shared" si="4"/>
        <v>7.620917033083939</v>
      </c>
      <c r="Q279" s="8">
        <f t="shared" si="5"/>
        <v>4.556755966531803</v>
      </c>
      <c r="R279" s="8">
        <f t="shared" si="6"/>
        <v>4.625816039920795</v>
      </c>
      <c r="S279" s="8">
        <f t="shared" si="7"/>
        <v>9.949071146443352</v>
      </c>
      <c r="T279" s="8">
        <f t="shared" si="8"/>
        <v>0.7679448708775053</v>
      </c>
      <c r="U279" s="8">
        <f t="shared" si="11"/>
        <v>0.9765466650375629</v>
      </c>
    </row>
    <row r="280" spans="10:33" ht="13.5">
      <c r="J280" s="8">
        <f t="shared" si="1"/>
        <v>10879.704623563777</v>
      </c>
      <c r="K280" s="13">
        <f t="shared" si="9"/>
        <v>75.00000000000001</v>
      </c>
      <c r="L280" s="13">
        <f t="shared" si="10"/>
        <v>1.3089969389957474</v>
      </c>
      <c r="M280" s="37">
        <f t="shared" si="2"/>
        <v>1.308996938995747</v>
      </c>
      <c r="N280" s="8">
        <f t="shared" si="12"/>
        <v>0.9084936490538902</v>
      </c>
      <c r="O280" s="8">
        <f t="shared" si="3"/>
        <v>12.360462489249741</v>
      </c>
      <c r="P280" s="8">
        <f t="shared" si="4"/>
        <v>7.485231605850628</v>
      </c>
      <c r="Q280" s="8">
        <f t="shared" si="5"/>
        <v>4.3589532037364425</v>
      </c>
      <c r="R280" s="8">
        <f t="shared" si="6"/>
        <v>4.5335235837418315</v>
      </c>
      <c r="S280" s="8">
        <f t="shared" si="7"/>
        <v>9.6528113573793</v>
      </c>
      <c r="T280" s="8">
        <f t="shared" si="8"/>
        <v>0.7853981633974486</v>
      </c>
      <c r="U280" s="8">
        <f t="shared" si="11"/>
        <v>0.9766713480404677</v>
      </c>
      <c r="AA280" s="5" t="s">
        <v>112</v>
      </c>
      <c r="AB280" s="8">
        <f>ATAN(R210)</f>
        <v>0.4636476090008061</v>
      </c>
      <c r="AC280" s="8">
        <f>AB280*180/PI()</f>
        <v>26.56505117707799</v>
      </c>
      <c r="AE280" s="9" t="s">
        <v>113</v>
      </c>
      <c r="AF280" s="8">
        <f>PI()/2+AF283-AB281</f>
        <v>0.2967059728390349</v>
      </c>
      <c r="AG280" s="8">
        <f>AF280*180/PI()</f>
        <v>16.999999999999936</v>
      </c>
    </row>
    <row r="281" spans="10:33" ht="13.5">
      <c r="J281" s="8">
        <f t="shared" si="1"/>
        <v>10627.38472410671</v>
      </c>
      <c r="K281" s="13">
        <f t="shared" si="9"/>
        <v>76.00000000000003</v>
      </c>
      <c r="L281" s="13">
        <f t="shared" si="10"/>
        <v>1.3264502315156907</v>
      </c>
      <c r="M281" s="37">
        <f t="shared" si="2"/>
        <v>1.2915436464758037</v>
      </c>
      <c r="N281" s="8">
        <f t="shared" si="12"/>
        <v>0.9064324395518213</v>
      </c>
      <c r="O281" s="8">
        <f t="shared" si="3"/>
        <v>12.158711607074125</v>
      </c>
      <c r="P281" s="8">
        <f t="shared" si="4"/>
        <v>7.352570886184433</v>
      </c>
      <c r="Q281" s="8">
        <f t="shared" si="5"/>
        <v>4.168010879411061</v>
      </c>
      <c r="R281" s="8">
        <f t="shared" si="6"/>
        <v>4.443072510227902</v>
      </c>
      <c r="S281" s="8">
        <f t="shared" si="7"/>
        <v>9.365373483579937</v>
      </c>
      <c r="T281" s="8">
        <f t="shared" si="8"/>
        <v>0.8028514559173919</v>
      </c>
      <c r="U281" s="8">
        <f t="shared" si="11"/>
        <v>0.9768082031463814</v>
      </c>
      <c r="AA281" s="5" t="s">
        <v>114</v>
      </c>
      <c r="AB281" s="8">
        <f>L326</f>
        <v>1.7976891295541604</v>
      </c>
      <c r="AC281" s="8">
        <f>AB281*180/PI()</f>
        <v>103.00000000000004</v>
      </c>
      <c r="AE281" s="8" t="s">
        <v>115</v>
      </c>
      <c r="AF281" s="8">
        <f>S190/SIN(PI()/2-S213)*SIN(AF280)</f>
        <v>1.5192079418259108</v>
      </c>
      <c r="AG281" s="8" t="s">
        <v>116</v>
      </c>
    </row>
    <row r="282" spans="10:32" ht="13.5">
      <c r="J282" s="8">
        <f t="shared" si="1"/>
        <v>10382.510298983487</v>
      </c>
      <c r="K282" s="13">
        <f t="shared" si="9"/>
        <v>77.00000000000001</v>
      </c>
      <c r="L282" s="13">
        <f t="shared" si="10"/>
        <v>1.343903524035634</v>
      </c>
      <c r="M282" s="37">
        <f t="shared" si="2"/>
        <v>1.2740903539558603</v>
      </c>
      <c r="N282" s="8">
        <f t="shared" si="12"/>
        <v>0.904295344652904</v>
      </c>
      <c r="O282" s="8">
        <f t="shared" si="3"/>
        <v>11.96331409371328</v>
      </c>
      <c r="P282" s="8">
        <f t="shared" si="4"/>
        <v>7.222904728946855</v>
      </c>
      <c r="Q282" s="8">
        <f t="shared" si="5"/>
        <v>3.9837662105113374</v>
      </c>
      <c r="R282" s="8">
        <f t="shared" si="6"/>
        <v>4.354426080838723</v>
      </c>
      <c r="S282" s="8">
        <f t="shared" si="7"/>
        <v>9.086494829290354</v>
      </c>
      <c r="T282" s="8">
        <f t="shared" si="8"/>
        <v>0.8203047484373353</v>
      </c>
      <c r="U282" s="8">
        <f t="shared" si="11"/>
        <v>0.9769581668980365</v>
      </c>
      <c r="AA282" s="5" t="s">
        <v>117</v>
      </c>
      <c r="AB282" s="8">
        <f>M326</f>
        <v>0.820304748437334</v>
      </c>
      <c r="AC282" s="8">
        <f>AB282*180/PI()</f>
        <v>46.99999999999995</v>
      </c>
      <c r="AE282" s="8" t="s">
        <v>118</v>
      </c>
      <c r="AF282" s="8">
        <f>AF281*EXP(AB282*TAN(AF283))</f>
        <v>2.439497987884638</v>
      </c>
    </row>
    <row r="283" spans="10:32" ht="13.5">
      <c r="J283" s="8">
        <f t="shared" si="1"/>
        <v>10144.982205985369</v>
      </c>
      <c r="K283" s="13">
        <f t="shared" si="9"/>
        <v>78.00000000000003</v>
      </c>
      <c r="L283" s="13">
        <f t="shared" si="10"/>
        <v>1.3613568165555774</v>
      </c>
      <c r="M283" s="37">
        <f t="shared" si="2"/>
        <v>1.256637061435917</v>
      </c>
      <c r="N283" s="8">
        <f t="shared" si="12"/>
        <v>0.9020767182055559</v>
      </c>
      <c r="O283" s="8">
        <f t="shared" si="3"/>
        <v>11.774316706337276</v>
      </c>
      <c r="P283" s="8">
        <f t="shared" si="4"/>
        <v>7.096206238172353</v>
      </c>
      <c r="Q283" s="8">
        <f t="shared" si="5"/>
        <v>3.8060582726973653</v>
      </c>
      <c r="R283" s="8">
        <f t="shared" si="6"/>
        <v>4.267548290026873</v>
      </c>
      <c r="S283" s="8">
        <f t="shared" si="7"/>
        <v>8.81592052121341</v>
      </c>
      <c r="T283" s="8">
        <f t="shared" si="8"/>
        <v>0.8377580409572786</v>
      </c>
      <c r="U283" s="8">
        <f t="shared" si="11"/>
        <v>0.9771222867921091</v>
      </c>
      <c r="AE283" s="9" t="s">
        <v>119</v>
      </c>
      <c r="AF283" s="8">
        <f>S213</f>
        <v>0.5235987755982988</v>
      </c>
    </row>
    <row r="284" spans="10:32" ht="13.5">
      <c r="J284" s="8">
        <f t="shared" si="1"/>
        <v>9914.708740193559</v>
      </c>
      <c r="K284" s="13">
        <f t="shared" si="9"/>
        <v>79.00000000000003</v>
      </c>
      <c r="L284" s="13">
        <f t="shared" si="10"/>
        <v>1.3788101090755207</v>
      </c>
      <c r="M284" s="37">
        <f t="shared" si="2"/>
        <v>1.2391837689159737</v>
      </c>
      <c r="N284" s="8">
        <f t="shared" si="12"/>
        <v>0.8997703714717703</v>
      </c>
      <c r="O284" s="8">
        <f t="shared" si="3"/>
        <v>11.591782171299817</v>
      </c>
      <c r="P284" s="8">
        <f t="shared" si="4"/>
        <v>6.9724520553596925</v>
      </c>
      <c r="Q284" s="8">
        <f t="shared" si="5"/>
        <v>3.6347281169883563</v>
      </c>
      <c r="R284" s="8">
        <f t="shared" si="6"/>
        <v>4.182403850613399</v>
      </c>
      <c r="S284" s="8">
        <f t="shared" si="7"/>
        <v>8.553403275575478</v>
      </c>
      <c r="T284" s="8">
        <f t="shared" si="8"/>
        <v>0.8552113334772219</v>
      </c>
      <c r="U284" s="8">
        <f t="shared" si="11"/>
        <v>0.9773017378329207</v>
      </c>
      <c r="AE284" s="8" t="s">
        <v>120</v>
      </c>
      <c r="AF284" s="8">
        <f>S190</f>
        <v>4.5</v>
      </c>
    </row>
    <row r="285" spans="10:29" ht="13.5">
      <c r="J285" s="8">
        <f t="shared" si="1"/>
        <v>9691.606398234391</v>
      </c>
      <c r="K285" s="13">
        <f t="shared" si="9"/>
        <v>80.00000000000003</v>
      </c>
      <c r="L285" s="13">
        <f t="shared" si="10"/>
        <v>1.396263401595464</v>
      </c>
      <c r="M285" s="37">
        <f t="shared" si="2"/>
        <v>1.2217304763960304</v>
      </c>
      <c r="N285" s="8">
        <f t="shared" si="12"/>
        <v>0.8973695050499604</v>
      </c>
      <c r="O285" s="8">
        <f t="shared" si="3"/>
        <v>11.415791118925267</v>
      </c>
      <c r="P285" s="8">
        <f t="shared" si="4"/>
        <v>6.851622697876855</v>
      </c>
      <c r="Q285" s="8">
        <f t="shared" si="5"/>
        <v>3.4696188846117972</v>
      </c>
      <c r="R285" s="8">
        <f t="shared" si="6"/>
        <v>4.098958179455218</v>
      </c>
      <c r="S285" s="8">
        <f t="shared" si="7"/>
        <v>8.298703172128372</v>
      </c>
      <c r="T285" s="8">
        <f t="shared" si="8"/>
        <v>0.8726646259971652</v>
      </c>
      <c r="U285" s="8">
        <f t="shared" si="11"/>
        <v>0.9774978420642125</v>
      </c>
      <c r="AB285" s="9" t="s">
        <v>121</v>
      </c>
      <c r="AC285" s="8">
        <v>500</v>
      </c>
    </row>
    <row r="286" spans="10:21" ht="13.5">
      <c r="J286" s="8">
        <f t="shared" si="1"/>
        <v>9475.600763612932</v>
      </c>
      <c r="K286" s="13">
        <f t="shared" si="9"/>
        <v>81.00000000000003</v>
      </c>
      <c r="L286" s="13">
        <f t="shared" si="10"/>
        <v>1.4137166941154073</v>
      </c>
      <c r="M286" s="37">
        <f t="shared" si="2"/>
        <v>1.204277183876087</v>
      </c>
      <c r="N286" s="8">
        <f t="shared" si="12"/>
        <v>0.8948666303364926</v>
      </c>
      <c r="O286" s="8">
        <f t="shared" si="3"/>
        <v>11.246444349516556</v>
      </c>
      <c r="P286" s="8">
        <f t="shared" si="4"/>
        <v>6.733702957313171</v>
      </c>
      <c r="Q286" s="8">
        <f t="shared" si="5"/>
        <v>3.3105759213560257</v>
      </c>
      <c r="R286" s="8">
        <f t="shared" si="6"/>
        <v>4.017177383398475</v>
      </c>
      <c r="S286" s="8">
        <f t="shared" si="7"/>
        <v>8.051587434880995</v>
      </c>
      <c r="T286" s="8">
        <f t="shared" si="8"/>
        <v>0.8901179185171085</v>
      </c>
      <c r="U286" s="8">
        <f t="shared" si="11"/>
        <v>0.9777120917064058</v>
      </c>
    </row>
    <row r="287" spans="10:32" ht="13.5">
      <c r="J287" s="8">
        <f t="shared" si="1"/>
        <v>9266.627538518449</v>
      </c>
      <c r="K287" s="13">
        <f t="shared" si="9"/>
        <v>82.00000000000003</v>
      </c>
      <c r="L287" s="13">
        <f t="shared" si="10"/>
        <v>1.4311699866353507</v>
      </c>
      <c r="M287" s="37">
        <f t="shared" si="2"/>
        <v>1.1868238913561437</v>
      </c>
      <c r="N287" s="8">
        <f t="shared" si="12"/>
        <v>0.892253478598252</v>
      </c>
      <c r="O287" s="8">
        <f t="shared" si="3"/>
        <v>11.08386549761186</v>
      </c>
      <c r="P287" s="8">
        <f t="shared" si="4"/>
        <v>6.618682369886566</v>
      </c>
      <c r="Q287" s="8">
        <f t="shared" si="5"/>
        <v>3.1574468929526285</v>
      </c>
      <c r="R287" s="8">
        <f t="shared" si="6"/>
        <v>3.937028245512141</v>
      </c>
      <c r="S287" s="8">
        <f t="shared" si="7"/>
        <v>7.811830219360293</v>
      </c>
      <c r="T287" s="8">
        <f t="shared" si="8"/>
        <v>0.9075712110370519</v>
      </c>
      <c r="U287" s="8">
        <f t="shared" si="11"/>
        <v>0.9779461766796932</v>
      </c>
      <c r="AA287" s="8" t="s">
        <v>122</v>
      </c>
      <c r="AB287" s="9" t="s">
        <v>123</v>
      </c>
      <c r="AC287" s="9" t="s">
        <v>124</v>
      </c>
      <c r="AD287" s="9" t="s">
        <v>125</v>
      </c>
      <c r="AE287" s="9" t="s">
        <v>126</v>
      </c>
      <c r="AF287" s="9" t="s">
        <v>41</v>
      </c>
    </row>
    <row r="288" spans="10:28" ht="13.5">
      <c r="J288" s="8">
        <f t="shared" si="1"/>
        <v>9064.63375349865</v>
      </c>
      <c r="K288" s="13">
        <f t="shared" si="9"/>
        <v>83.00000000000003</v>
      </c>
      <c r="L288" s="13">
        <f t="shared" si="10"/>
        <v>1.448623279155294</v>
      </c>
      <c r="M288" s="37">
        <f t="shared" si="2"/>
        <v>1.1693705988362004</v>
      </c>
      <c r="N288" s="8">
        <f t="shared" si="12"/>
        <v>0.8895208953118314</v>
      </c>
      <c r="O288" s="8">
        <f t="shared" si="3"/>
        <v>10.928204177490736</v>
      </c>
      <c r="P288" s="8">
        <f t="shared" si="4"/>
        <v>6.506555773898358</v>
      </c>
      <c r="Q288" s="8">
        <f t="shared" si="5"/>
        <v>3.0100819032942914</v>
      </c>
      <c r="R288" s="8">
        <f t="shared" si="6"/>
        <v>3.8584782115962892</v>
      </c>
      <c r="S288" s="8">
        <f t="shared" si="7"/>
        <v>7.579212406207032</v>
      </c>
      <c r="T288" s="8">
        <f t="shared" si="8"/>
        <v>0.9250245035569952</v>
      </c>
      <c r="U288" s="8">
        <f t="shared" si="11"/>
        <v>0.978202017489084</v>
      </c>
      <c r="AA288" s="8">
        <f>-TAN(AB280)*AB288</f>
        <v>-0.3105975723622782</v>
      </c>
      <c r="AB288" s="8">
        <f>K199/S194/AC285</f>
        <v>0.6211951447245565</v>
      </c>
    </row>
    <row r="289" spans="10:28" ht="13.5">
      <c r="J289" s="8">
        <f t="shared" si="1"/>
        <v>8869.579194064556</v>
      </c>
      <c r="K289" s="13">
        <f t="shared" si="9"/>
        <v>84.00000000000003</v>
      </c>
      <c r="L289" s="13">
        <f t="shared" si="10"/>
        <v>1.4660765716752373</v>
      </c>
      <c r="M289" s="37">
        <f t="shared" si="2"/>
        <v>1.151917306316257</v>
      </c>
      <c r="N289" s="8">
        <f t="shared" si="12"/>
        <v>0.8866587169039752</v>
      </c>
      <c r="O289" s="8">
        <f t="shared" si="3"/>
        <v>10.7796397133182</v>
      </c>
      <c r="P289" s="8">
        <f t="shared" si="4"/>
        <v>6.397323972909877</v>
      </c>
      <c r="Q289" s="8">
        <f t="shared" si="5"/>
        <v>2.868333617653614</v>
      </c>
      <c r="R289" s="8">
        <f t="shared" si="6"/>
        <v>3.7814953769595423</v>
      </c>
      <c r="S289" s="8">
        <f t="shared" si="7"/>
        <v>7.353521400917835</v>
      </c>
      <c r="T289" s="8">
        <f t="shared" si="8"/>
        <v>0.9424777960769385</v>
      </c>
      <c r="U289" s="8">
        <f t="shared" si="11"/>
        <v>0.9784818046996316</v>
      </c>
      <c r="AA289" s="8">
        <v>0</v>
      </c>
      <c r="AB289" s="8">
        <v>0</v>
      </c>
    </row>
    <row r="290" spans="10:28" ht="13.5">
      <c r="J290" s="8">
        <f t="shared" si="1"/>
        <v>8681.438093139757</v>
      </c>
      <c r="K290" s="13">
        <f t="shared" si="9"/>
        <v>85.00000000000004</v>
      </c>
      <c r="L290" s="13">
        <f t="shared" si="10"/>
        <v>1.4835298641951806</v>
      </c>
      <c r="M290" s="37">
        <f t="shared" si="2"/>
        <v>1.1344640137963138</v>
      </c>
      <c r="N290" s="8">
        <f t="shared" si="12"/>
        <v>0.8836556263730122</v>
      </c>
      <c r="O290" s="8">
        <f t="shared" si="3"/>
        <v>10.638385583516047</v>
      </c>
      <c r="P290" s="8">
        <f t="shared" si="4"/>
        <v>6.290994528046929</v>
      </c>
      <c r="Q290" s="8">
        <f t="shared" si="5"/>
        <v>2.7320573935339247</v>
      </c>
      <c r="R290" s="8">
        <f t="shared" si="6"/>
        <v>3.7060484734603345</v>
      </c>
      <c r="S290" s="8">
        <f t="shared" si="7"/>
        <v>7.134550939550421</v>
      </c>
      <c r="T290" s="8">
        <f t="shared" si="8"/>
        <v>0.9599310885968818</v>
      </c>
      <c r="U290" s="8">
        <f t="shared" si="11"/>
        <v>0.9787880465568535</v>
      </c>
      <c r="AA290" s="8">
        <f>S190</f>
        <v>4.5</v>
      </c>
      <c r="AB290" s="8">
        <v>0</v>
      </c>
    </row>
    <row r="291" spans="10:28" ht="13.5">
      <c r="J291" s="8">
        <f t="shared" si="1"/>
        <v>8500.201151023224</v>
      </c>
      <c r="K291" s="13">
        <f t="shared" si="9"/>
        <v>86.00000000000003</v>
      </c>
      <c r="L291" s="13">
        <f t="shared" si="10"/>
        <v>1.500983156715124</v>
      </c>
      <c r="M291" s="37">
        <f t="shared" si="2"/>
        <v>1.1170107212763705</v>
      </c>
      <c r="N291" s="8">
        <f t="shared" si="12"/>
        <v>0.8804989834427402</v>
      </c>
      <c r="O291" s="8">
        <f t="shared" si="3"/>
        <v>10.504694742867022</v>
      </c>
      <c r="P291" s="8">
        <f t="shared" si="4"/>
        <v>6.187582708963324</v>
      </c>
      <c r="Q291" s="8">
        <f t="shared" si="5"/>
        <v>2.6011114223893537</v>
      </c>
      <c r="R291" s="8">
        <f t="shared" si="6"/>
        <v>3.6321068568067227</v>
      </c>
      <c r="S291" s="8">
        <f t="shared" si="7"/>
        <v>6.922100900214482</v>
      </c>
      <c r="T291" s="8">
        <f t="shared" si="8"/>
        <v>0.9773843811168251</v>
      </c>
      <c r="U291" s="8">
        <f t="shared" si="11"/>
        <v>0.9791236267341755</v>
      </c>
      <c r="AA291" s="8">
        <f>AA290+AA288</f>
        <v>4.189402427637722</v>
      </c>
      <c r="AB291" s="8">
        <f>AB288</f>
        <v>0.6211951447245565</v>
      </c>
    </row>
    <row r="292" spans="10:28" ht="13.5">
      <c r="J292" s="8">
        <f t="shared" si="1"/>
        <v>8325.877961175016</v>
      </c>
      <c r="K292" s="13">
        <f t="shared" si="9"/>
        <v>87.00000000000003</v>
      </c>
      <c r="L292" s="13">
        <f t="shared" si="10"/>
        <v>1.5184364492350673</v>
      </c>
      <c r="M292" s="37">
        <f t="shared" si="2"/>
        <v>1.0995574287564271</v>
      </c>
      <c r="N292" s="8">
        <f t="shared" si="12"/>
        <v>0.8771746238460612</v>
      </c>
      <c r="O292" s="8">
        <f t="shared" si="3"/>
        <v>10.378866030098543</v>
      </c>
      <c r="P292" s="8">
        <f t="shared" si="4"/>
        <v>6.087112640984718</v>
      </c>
      <c r="Q292" s="8">
        <f t="shared" si="5"/>
        <v>2.47535688624545</v>
      </c>
      <c r="R292" s="8">
        <f t="shared" si="6"/>
        <v>3.5596404941095825</v>
      </c>
      <c r="S292" s="8">
        <f t="shared" si="7"/>
        <v>6.715977120175907</v>
      </c>
      <c r="T292" s="8">
        <f t="shared" si="8"/>
        <v>0.9948376736367684</v>
      </c>
      <c r="U292" s="8">
        <f t="shared" si="11"/>
        <v>0.9794918747508435</v>
      </c>
      <c r="AA292" s="8">
        <f>AA288</f>
        <v>-0.3105975723622782</v>
      </c>
      <c r="AB292" s="8">
        <f>AB288</f>
        <v>0.6211951447245565</v>
      </c>
    </row>
    <row r="293" spans="10:29" ht="13.5">
      <c r="J293" s="8">
        <f t="shared" si="1"/>
        <v>8158.499942019182</v>
      </c>
      <c r="K293" s="13">
        <f t="shared" si="9"/>
        <v>88.00000000000003</v>
      </c>
      <c r="L293" s="13">
        <f t="shared" si="10"/>
        <v>1.5358897417550106</v>
      </c>
      <c r="M293" s="37">
        <f t="shared" si="2"/>
        <v>1.0821041362364838</v>
      </c>
      <c r="N293" s="8">
        <f t="shared" si="12"/>
        <v>0.8736666209850258</v>
      </c>
      <c r="O293" s="8">
        <f t="shared" si="3"/>
        <v>10.261251926873049</v>
      </c>
      <c r="P293" s="8">
        <f t="shared" si="4"/>
        <v>5.989618696461457</v>
      </c>
      <c r="Q293" s="8">
        <f t="shared" si="5"/>
        <v>2.3546581342992075</v>
      </c>
      <c r="R293" s="8">
        <f t="shared" si="6"/>
        <v>3.488619951684144</v>
      </c>
      <c r="S293" s="8">
        <f t="shared" si="7"/>
        <v>6.515991218407219</v>
      </c>
      <c r="T293" s="8">
        <f t="shared" si="8"/>
        <v>1.0122909661567117</v>
      </c>
      <c r="U293" s="8">
        <f t="shared" si="11"/>
        <v>0.9798966523486956</v>
      </c>
      <c r="AA293" s="8">
        <v>0</v>
      </c>
      <c r="AC293" s="8">
        <v>0</v>
      </c>
    </row>
    <row r="294" spans="10:29" ht="13.5">
      <c r="J294" s="8">
        <f t="shared" si="1"/>
        <v>7998.123903990952</v>
      </c>
      <c r="K294" s="13">
        <f t="shared" si="9"/>
        <v>89.00000000000004</v>
      </c>
      <c r="L294" s="13">
        <f t="shared" si="10"/>
        <v>1.553343034274954</v>
      </c>
      <c r="M294" s="37">
        <f t="shared" si="2"/>
        <v>1.0646508437165405</v>
      </c>
      <c r="N294" s="8">
        <f t="shared" si="12"/>
        <v>0.8699570014711722</v>
      </c>
      <c r="O294" s="8">
        <f t="shared" si="3"/>
        <v>10.15226801128861</v>
      </c>
      <c r="P294" s="8">
        <f t="shared" si="4"/>
        <v>5.895147192297515</v>
      </c>
      <c r="Q294" s="8">
        <f t="shared" si="5"/>
        <v>2.2388828859705034</v>
      </c>
      <c r="R294" s="8">
        <f t="shared" si="6"/>
        <v>3.419016383094897</v>
      </c>
      <c r="S294" s="8">
        <f t="shared" si="7"/>
        <v>6.321960423422037</v>
      </c>
      <c r="T294" s="8">
        <f t="shared" si="8"/>
        <v>1.0297442586766552</v>
      </c>
      <c r="U294" s="8">
        <f t="shared" si="11"/>
        <v>0.9803424601130123</v>
      </c>
      <c r="AA294" s="8">
        <f>AA290-AF281*COS(AB281)</f>
        <v>4.841747428281313</v>
      </c>
      <c r="AC294" s="8">
        <f>-AF281*SIN(AB281)</f>
        <v>-1.4802707406991562</v>
      </c>
    </row>
    <row r="295" spans="10:29" ht="13.5">
      <c r="J295" s="8">
        <f t="shared" si="1"/>
        <v>7844.836419925937</v>
      </c>
      <c r="K295" s="13">
        <f>L295*180/PI()</f>
        <v>90.00000000000004</v>
      </c>
      <c r="L295" s="13">
        <f t="shared" si="10"/>
        <v>1.5707963267948972</v>
      </c>
      <c r="M295" s="37">
        <f t="shared" si="2"/>
        <v>1.0471975511965972</v>
      </c>
      <c r="N295" s="8">
        <f t="shared" si="12"/>
        <v>0.8660254037844385</v>
      </c>
      <c r="O295" s="8">
        <f t="shared" si="3"/>
        <v>10.052404552317098</v>
      </c>
      <c r="P295" s="8">
        <f t="shared" si="4"/>
        <v>5.803758474283295</v>
      </c>
      <c r="Q295" s="8">
        <f t="shared" si="5"/>
        <v>2.1279024687454053</v>
      </c>
      <c r="R295" s="8">
        <f t="shared" si="6"/>
        <v>3.3508015174390313</v>
      </c>
      <c r="S295" s="8">
        <f t="shared" si="7"/>
        <v>6.133707406236221</v>
      </c>
      <c r="T295" s="8">
        <f t="shared" si="8"/>
        <v>1.0471975511965983</v>
      </c>
      <c r="U295" s="8">
        <f t="shared" si="11"/>
        <v>0.9808345699685238</v>
      </c>
      <c r="AA295" s="8">
        <f>S190</f>
        <v>4.5</v>
      </c>
      <c r="AC295" s="8">
        <v>0</v>
      </c>
    </row>
    <row r="296" spans="10:29" ht="13.5">
      <c r="J296" s="8">
        <f t="shared" si="1"/>
        <v>7698.75921944587</v>
      </c>
      <c r="K296" s="13">
        <f t="shared" si="9"/>
        <v>91.00000000000003</v>
      </c>
      <c r="L296" s="13">
        <f t="shared" si="10"/>
        <v>1.5882496193148405</v>
      </c>
      <c r="M296" s="37">
        <f t="shared" si="2"/>
        <v>1.0297442586766539</v>
      </c>
      <c r="N296" s="8">
        <f t="shared" si="12"/>
        <v>0.8618486663202213</v>
      </c>
      <c r="O296" s="8">
        <f t="shared" si="3"/>
        <v>9.962240831305035</v>
      </c>
      <c r="P296" s="8">
        <f t="shared" si="4"/>
        <v>5.715529494090111</v>
      </c>
      <c r="Q296" s="8">
        <f t="shared" si="5"/>
        <v>2.0215921016815486</v>
      </c>
      <c r="R296" s="8">
        <f t="shared" si="6"/>
        <v>3.2839476478636342</v>
      </c>
      <c r="S296" s="8">
        <f t="shared" si="7"/>
        <v>5.9510601183030385</v>
      </c>
      <c r="T296" s="8">
        <f t="shared" si="8"/>
        <v>1.0646508437165418</v>
      </c>
      <c r="U296" s="8">
        <f t="shared" si="11"/>
        <v>0.9813791910167777</v>
      </c>
      <c r="AA296" s="8">
        <f>AA295+AF282*COS(PI()/4-S213/2)</f>
        <v>6.612667229989119</v>
      </c>
      <c r="AC296" s="8">
        <f>-AF282*SIN(PI()/4-AF283/2)</f>
        <v>-1.219748993942319</v>
      </c>
    </row>
    <row r="297" spans="10:29" ht="13.5">
      <c r="J297" s="8">
        <f aca="true" t="shared" si="13" ref="J297:J325">($R$198*$R$202*$R$212*O297*$K$195+$R$202*$R$207*P297*$K$196+1/2*$S$190*$R$199*$E$11*Q297*$K$197)*$S$194</f>
        <v>7560.055899810365</v>
      </c>
      <c r="K297" s="13">
        <f t="shared" si="9"/>
        <v>92.00000000000006</v>
      </c>
      <c r="L297" s="13">
        <f t="shared" si="10"/>
        <v>1.6057029118347839</v>
      </c>
      <c r="M297" s="37">
        <f aca="true" t="shared" si="14" ref="M297:M325">3*PI()/4+$L$263/2-L297</f>
        <v>1.0122909661567105</v>
      </c>
      <c r="N297" s="8">
        <f t="shared" si="12"/>
        <v>0.8574003271711653</v>
      </c>
      <c r="O297" s="8">
        <f aca="true" t="shared" si="15" ref="O297:O325">COS($L$263)/N297*(SIN(L297)/COS(T297)+1/SIN($L$263)*(R297-1)+R297)</f>
        <v>9.882462967542805</v>
      </c>
      <c r="P297" s="8">
        <f aca="true" t="shared" si="16" ref="P297:P325">(1+SIN($L$263))/N297*R297</f>
        <v>5.630557019258313</v>
      </c>
      <c r="Q297" s="8">
        <f aca="true" t="shared" si="17" ref="Q297:Q325">COS(T297)/N297/COS($L$263)*(SIN(PI()/4-$L$263/2)*(1+SIN($L$263))*S297-SIN(L297)*COS(L297)*COS($L$263)/COS(T297)-(S297*(SIN(L297+M297)+3*TAN($L$263)*COS(L297+M297))-SIN(L297)-3*TAN($L$263)*COS(L297))/(9*TAN($L$263)^2+1))/$Q$260</f>
        <v>1.91983123890602</v>
      </c>
      <c r="R297" s="8">
        <f aca="true" t="shared" si="18" ref="R297:R325">EXP(2*M297*TAN($L$263))</f>
        <v>3.218427620311986</v>
      </c>
      <c r="S297" s="8">
        <f aca="true" t="shared" si="19" ref="S297:S325">EXP(3*M297*TAN($L$263))</f>
        <v>5.7738516342742345</v>
      </c>
      <c r="T297" s="8">
        <f aca="true" t="shared" si="20" ref="T297:T325">L297-$L$263</f>
        <v>1.082104136236485</v>
      </c>
      <c r="U297" s="8">
        <f t="shared" si="11"/>
        <v>0.98198367870953</v>
      </c>
      <c r="AA297" s="8">
        <f>AA296+AF282*COS(PI()/4-S213/2)</f>
        <v>8.725334459978239</v>
      </c>
      <c r="AC297" s="8">
        <f>0</f>
        <v>0</v>
      </c>
    </row>
    <row r="298" spans="10:29" ht="13.5">
      <c r="J298" s="8">
        <f t="shared" si="13"/>
        <v>7428.940344947878</v>
      </c>
      <c r="K298" s="13">
        <f t="shared" si="9"/>
        <v>93.00000000000004</v>
      </c>
      <c r="L298" s="13">
        <f aca="true" t="shared" si="21" ref="L298:L325">IF(U297&gt;=1.1,L297,(PI()/2+$L$263-$L$265)/60+L297)</f>
        <v>1.6231562043547272</v>
      </c>
      <c r="M298" s="37">
        <f t="shared" si="14"/>
        <v>0.9948376736367672</v>
      </c>
      <c r="N298" s="8">
        <f t="shared" si="12"/>
        <v>0.8526500127597016</v>
      </c>
      <c r="O298" s="8">
        <f t="shared" si="15"/>
        <v>9.813886288688975</v>
      </c>
      <c r="P298" s="8">
        <f t="shared" si="16"/>
        <v>5.548961664151171</v>
      </c>
      <c r="Q298" s="8">
        <f t="shared" si="17"/>
        <v>1.8225039922211836</v>
      </c>
      <c r="R298" s="8">
        <f t="shared" si="18"/>
        <v>3.154214822494394</v>
      </c>
      <c r="S298" s="8">
        <f t="shared" si="19"/>
        <v>5.601919999443305</v>
      </c>
      <c r="T298" s="8">
        <f t="shared" si="20"/>
        <v>1.0995574287564285</v>
      </c>
      <c r="U298" s="8">
        <f aca="true" t="shared" si="22" ref="U298:U325">IF(U297&gt;=1.1,1.1,J298/J297)</f>
        <v>0.9826568008755363</v>
      </c>
      <c r="Y298" s="8" t="s">
        <v>127</v>
      </c>
      <c r="Z298" s="9" t="s">
        <v>128</v>
      </c>
      <c r="AA298" s="8">
        <v>0</v>
      </c>
      <c r="AC298" s="8">
        <v>0</v>
      </c>
    </row>
    <row r="299" spans="10:30" ht="13.5">
      <c r="J299" s="8">
        <f t="shared" si="13"/>
        <v>7305.687383209171</v>
      </c>
      <c r="K299" s="13">
        <f t="shared" si="9"/>
        <v>94.00000000000004</v>
      </c>
      <c r="L299" s="13">
        <f t="shared" si="21"/>
        <v>1.6406094968746705</v>
      </c>
      <c r="M299" s="37">
        <f t="shared" si="14"/>
        <v>0.9773843811168239</v>
      </c>
      <c r="N299" s="8">
        <f t="shared" si="12"/>
        <v>0.8475626853960977</v>
      </c>
      <c r="O299" s="8">
        <f t="shared" si="15"/>
        <v>9.75748365582708</v>
      </c>
      <c r="P299" s="8">
        <f t="shared" si="16"/>
        <v>5.47089299648862</v>
      </c>
      <c r="Q299" s="8">
        <f t="shared" si="17"/>
        <v>1.729499658631397</v>
      </c>
      <c r="R299" s="8">
        <f t="shared" si="18"/>
        <v>3.0912831730790655</v>
      </c>
      <c r="S299" s="8">
        <f t="shared" si="19"/>
        <v>5.435108081731563</v>
      </c>
      <c r="T299" s="8">
        <f t="shared" si="20"/>
        <v>1.1170107212763716</v>
      </c>
      <c r="U299" s="8">
        <f t="shared" si="22"/>
        <v>0.9834090790858852</v>
      </c>
      <c r="Y299" s="8">
        <f>$AF$281*EXP(Z299*TAN($AF$283))</f>
        <v>1.5192079418259108</v>
      </c>
      <c r="Z299" s="8">
        <v>0</v>
      </c>
      <c r="AA299" s="8">
        <f aca="true" t="shared" si="23" ref="AA299:AA309">$AA$290-Y299*COS($AB$281+Z299)</f>
        <v>4.841747428281313</v>
      </c>
      <c r="AD299" s="8">
        <f aca="true" t="shared" si="24" ref="AD299:AD309">-Y299*SIN($AB$281+Z299)</f>
        <v>-1.4802707406991562</v>
      </c>
    </row>
    <row r="300" spans="10:30" ht="13.5">
      <c r="J300" s="8">
        <f t="shared" si="13"/>
        <v>7190.64641115722</v>
      </c>
      <c r="K300" s="13">
        <f t="shared" si="9"/>
        <v>95.00000000000004</v>
      </c>
      <c r="L300" s="13">
        <f t="shared" si="21"/>
        <v>1.6580627893946138</v>
      </c>
      <c r="M300" s="37">
        <f t="shared" si="14"/>
        <v>0.9599310885968806</v>
      </c>
      <c r="N300" s="8">
        <f t="shared" si="12"/>
        <v>0.8420977102607875</v>
      </c>
      <c r="O300" s="8">
        <f t="shared" si="15"/>
        <v>9.714421675917338</v>
      </c>
      <c r="P300" s="8">
        <f t="shared" si="16"/>
        <v>5.396536068528937</v>
      </c>
      <c r="Q300" s="8">
        <f t="shared" si="17"/>
        <v>1.6407133880993994</v>
      </c>
      <c r="R300" s="8">
        <f t="shared" si="18"/>
        <v>3.029607111098647</v>
      </c>
      <c r="S300" s="8">
        <f t="shared" si="19"/>
        <v>5.273263428081686</v>
      </c>
      <c r="T300" s="8">
        <f t="shared" si="20"/>
        <v>1.1344640137963151</v>
      </c>
      <c r="U300" s="8">
        <f t="shared" si="22"/>
        <v>0.9842532309394525</v>
      </c>
      <c r="Y300" s="8">
        <f aca="true" t="shared" si="25" ref="Y300:Y309">$AF$281*EXP(Z300*TAN($AF$283))</f>
        <v>1.5928891214117495</v>
      </c>
      <c r="Z300" s="8">
        <f aca="true" t="shared" si="26" ref="Z300:Z309">Z299+$AB$282/10</f>
        <v>0.08203047484373341</v>
      </c>
      <c r="AA300" s="8">
        <f t="shared" si="23"/>
        <v>4.98429095529773</v>
      </c>
      <c r="AD300" s="8">
        <f t="shared" si="24"/>
        <v>-1.5174841098768403</v>
      </c>
    </row>
    <row r="301" spans="10:30" ht="13.5">
      <c r="J301" s="8">
        <f t="shared" si="13"/>
        <v>7084.25899359547</v>
      </c>
      <c r="K301" s="13">
        <f t="shared" si="9"/>
        <v>96.00000000000006</v>
      </c>
      <c r="L301" s="13">
        <f t="shared" si="21"/>
        <v>1.6755160819145571</v>
      </c>
      <c r="M301" s="37">
        <f t="shared" si="14"/>
        <v>0.9424777960769373</v>
      </c>
      <c r="N301" s="8">
        <f t="shared" si="12"/>
        <v>0.8362076891426421</v>
      </c>
      <c r="O301" s="8">
        <f t="shared" si="15"/>
        <v>9.68610748626887</v>
      </c>
      <c r="P301" s="8">
        <f t="shared" si="16"/>
        <v>5.326119857757555</v>
      </c>
      <c r="Q301" s="8">
        <f t="shared" si="17"/>
        <v>1.5560470404969238</v>
      </c>
      <c r="R301" s="8">
        <f t="shared" si="18"/>
        <v>2.9691615855681217</v>
      </c>
      <c r="S301" s="8">
        <f t="shared" si="19"/>
        <v>5.116238125127536</v>
      </c>
      <c r="T301" s="8">
        <f t="shared" si="20"/>
        <v>1.1519173063162582</v>
      </c>
      <c r="U301" s="8">
        <f t="shared" si="22"/>
        <v>0.9852047491312219</v>
      </c>
      <c r="Y301" s="8">
        <f t="shared" si="25"/>
        <v>1.6701438185363628</v>
      </c>
      <c r="Z301" s="8">
        <f t="shared" si="26"/>
        <v>0.16406094968746682</v>
      </c>
      <c r="AA301" s="8">
        <f t="shared" si="23"/>
        <v>5.136442333488737</v>
      </c>
      <c r="AD301" s="8">
        <f t="shared" si="24"/>
        <v>-1.5441248429899168</v>
      </c>
    </row>
    <row r="302" spans="10:30" ht="13.5">
      <c r="J302" s="8">
        <f t="shared" si="13"/>
        <v>6987.081863054731</v>
      </c>
      <c r="K302" s="13">
        <f t="shared" si="9"/>
        <v>97.00000000000006</v>
      </c>
      <c r="L302" s="13">
        <f t="shared" si="21"/>
        <v>1.6929693744345005</v>
      </c>
      <c r="M302" s="37">
        <f t="shared" si="14"/>
        <v>0.925024503556994</v>
      </c>
      <c r="N302" s="8">
        <f aca="true" t="shared" si="27" ref="N302:N325">MAX(0,COS($L$263)/COS(L302-$L$263)*(COS(L302)+$E$8/$E$7*SIN(L302)))</f>
        <v>0.8298369899454968</v>
      </c>
      <c r="O302" s="8">
        <f t="shared" si="15"/>
        <v>9.674249893380281</v>
      </c>
      <c r="P302" s="8">
        <f t="shared" si="16"/>
        <v>5.259928300197172</v>
      </c>
      <c r="Q302" s="8">
        <f t="shared" si="17"/>
        <v>1.475410300654801</v>
      </c>
      <c r="R302" s="8">
        <f t="shared" si="18"/>
        <v>2.9099220453098367</v>
      </c>
      <c r="S302" s="8">
        <f t="shared" si="19"/>
        <v>4.963888664012907</v>
      </c>
      <c r="T302" s="8">
        <f t="shared" si="20"/>
        <v>1.1693705988362018</v>
      </c>
      <c r="U302" s="8">
        <f t="shared" si="22"/>
        <v>0.9862826682891475</v>
      </c>
      <c r="Y302" s="8">
        <f t="shared" si="25"/>
        <v>1.7511453478463364</v>
      </c>
      <c r="Z302" s="8">
        <f t="shared" si="26"/>
        <v>0.24609142453120023</v>
      </c>
      <c r="AA302" s="8">
        <f t="shared" si="23"/>
        <v>5.297725345037063</v>
      </c>
      <c r="AD302" s="8">
        <f t="shared" si="24"/>
        <v>-1.5588920113880131</v>
      </c>
    </row>
    <row r="303" spans="10:30" ht="13.5">
      <c r="J303" s="8">
        <f t="shared" si="13"/>
        <v>6899.817355204926</v>
      </c>
      <c r="K303" s="13">
        <f t="shared" si="9"/>
        <v>98.00000000000004</v>
      </c>
      <c r="L303" s="13">
        <f t="shared" si="21"/>
        <v>1.7104226669544438</v>
      </c>
      <c r="M303" s="37">
        <f t="shared" si="14"/>
        <v>0.9075712110370506</v>
      </c>
      <c r="N303" s="8">
        <f t="shared" si="27"/>
        <v>0.8229198751615187</v>
      </c>
      <c r="O303" s="8">
        <f t="shared" si="15"/>
        <v>9.680940278375934</v>
      </c>
      <c r="P303" s="8">
        <f t="shared" si="16"/>
        <v>5.198314893819644</v>
      </c>
      <c r="Q303" s="8">
        <f t="shared" si="17"/>
        <v>1.398722150029797</v>
      </c>
      <c r="R303" s="8">
        <f t="shared" si="18"/>
        <v>2.85186442898155</v>
      </c>
      <c r="S303" s="8">
        <f t="shared" si="19"/>
        <v>4.816075809235642</v>
      </c>
      <c r="T303" s="8">
        <f t="shared" si="20"/>
        <v>1.1868238913561449</v>
      </c>
      <c r="U303" s="8">
        <f t="shared" si="22"/>
        <v>0.9875105931832243</v>
      </c>
      <c r="Y303" s="8">
        <f t="shared" si="25"/>
        <v>1.8360754297023443</v>
      </c>
      <c r="Z303" s="8">
        <f t="shared" si="26"/>
        <v>0.32812189937493363</v>
      </c>
      <c r="AA303" s="8">
        <f t="shared" si="23"/>
        <v>5.467530588650703</v>
      </c>
      <c r="AD303" s="8">
        <f t="shared" si="24"/>
        <v>-1.5604670914767382</v>
      </c>
    </row>
    <row r="304" spans="10:30" ht="13.5">
      <c r="J304" s="8">
        <f t="shared" si="13"/>
        <v>6823.354244120242</v>
      </c>
      <c r="K304" s="13">
        <f t="shared" si="9"/>
        <v>99.00000000000004</v>
      </c>
      <c r="L304" s="13">
        <f t="shared" si="21"/>
        <v>1.727875959474387</v>
      </c>
      <c r="M304" s="37">
        <f t="shared" si="14"/>
        <v>0.8901179185171073</v>
      </c>
      <c r="N304" s="8">
        <f t="shared" si="27"/>
        <v>0.8153780956333477</v>
      </c>
      <c r="O304" s="8">
        <f t="shared" si="15"/>
        <v>9.708761146262981</v>
      </c>
      <c r="P304" s="8">
        <f t="shared" si="16"/>
        <v>5.141722294733261</v>
      </c>
      <c r="Q304" s="8">
        <f t="shared" si="17"/>
        <v>1.3259128382934524</v>
      </c>
      <c r="R304" s="8">
        <f t="shared" si="18"/>
        <v>2.794965155303422</v>
      </c>
      <c r="S304" s="8">
        <f t="shared" si="19"/>
        <v>4.672664471397265</v>
      </c>
      <c r="T304" s="8">
        <f t="shared" si="20"/>
        <v>1.2042771838760884</v>
      </c>
      <c r="U304" s="8">
        <f t="shared" si="22"/>
        <v>0.9889180963569995</v>
      </c>
      <c r="Y304" s="8">
        <f t="shared" si="25"/>
        <v>1.925124597854038</v>
      </c>
      <c r="Z304" s="8">
        <f t="shared" si="26"/>
        <v>0.410152374218667</v>
      </c>
      <c r="AA304" s="8">
        <f t="shared" si="23"/>
        <v>5.6451079781390945</v>
      </c>
      <c r="AD304" s="8">
        <f t="shared" si="24"/>
        <v>-1.5475246155279299</v>
      </c>
    </row>
    <row r="305" spans="10:30" ht="13.5">
      <c r="J305" s="8">
        <f t="shared" si="13"/>
        <v>6758.823372694276</v>
      </c>
      <c r="K305" s="13">
        <f t="shared" si="9"/>
        <v>100.00000000000006</v>
      </c>
      <c r="L305" s="13">
        <f t="shared" si="21"/>
        <v>1.7453292519943304</v>
      </c>
      <c r="M305" s="37">
        <f t="shared" si="14"/>
        <v>0.872664625997164</v>
      </c>
      <c r="N305" s="8">
        <f t="shared" si="27"/>
        <v>0.8071177624556841</v>
      </c>
      <c r="O305" s="8">
        <f t="shared" si="15"/>
        <v>9.760934000497603</v>
      </c>
      <c r="P305" s="8">
        <f t="shared" si="16"/>
        <v>5.090709015892348</v>
      </c>
      <c r="Q305" s="8">
        <f t="shared" si="17"/>
        <v>1.2569265672746417</v>
      </c>
      <c r="R305" s="8">
        <f t="shared" si="18"/>
        <v>2.7392011134800067</v>
      </c>
      <c r="S305" s="8">
        <f t="shared" si="19"/>
        <v>4.533523583741827</v>
      </c>
      <c r="T305" s="8">
        <f t="shared" si="20"/>
        <v>1.2217304763960315</v>
      </c>
      <c r="U305" s="8">
        <f t="shared" si="22"/>
        <v>0.9905426467515486</v>
      </c>
      <c r="Y305" s="8">
        <f t="shared" si="25"/>
        <v>2.0184926268870598</v>
      </c>
      <c r="Z305" s="8">
        <f t="shared" si="26"/>
        <v>0.4921828490624004</v>
      </c>
      <c r="AA305" s="8">
        <f t="shared" si="23"/>
        <v>5.829559818657776</v>
      </c>
      <c r="AD305" s="8">
        <f t="shared" si="24"/>
        <v>-1.5187439459659178</v>
      </c>
    </row>
    <row r="306" spans="10:30" ht="13.5">
      <c r="J306" s="8">
        <f t="shared" si="13"/>
        <v>6707.674732514339</v>
      </c>
      <c r="K306" s="13">
        <f t="shared" si="9"/>
        <v>101.00000000000006</v>
      </c>
      <c r="L306" s="13">
        <f t="shared" si="21"/>
        <v>1.7627825445142737</v>
      </c>
      <c r="M306" s="37">
        <f t="shared" si="14"/>
        <v>0.8552113334772207</v>
      </c>
      <c r="N306" s="8">
        <f t="shared" si="27"/>
        <v>0.7980252310673613</v>
      </c>
      <c r="O306" s="8">
        <f t="shared" si="15"/>
        <v>9.841524228306582</v>
      </c>
      <c r="P306" s="8">
        <f t="shared" si="16"/>
        <v>5.04598642242689</v>
      </c>
      <c r="Q306" s="8">
        <f t="shared" si="17"/>
        <v>1.1917252087878547</v>
      </c>
      <c r="R306" s="8">
        <f t="shared" si="18"/>
        <v>2.684549653813325</v>
      </c>
      <c r="S306" s="8">
        <f t="shared" si="19"/>
        <v>4.398525982371129</v>
      </c>
      <c r="T306" s="8">
        <f t="shared" si="20"/>
        <v>1.239183768915975</v>
      </c>
      <c r="U306" s="8">
        <f t="shared" si="22"/>
        <v>0.9924323158988622</v>
      </c>
      <c r="Y306" s="8">
        <f>$AF$281*EXP(Z306*TAN($AF$283))</f>
        <v>2.1163889804011196</v>
      </c>
      <c r="Z306" s="8">
        <f t="shared" si="26"/>
        <v>0.5742133239061338</v>
      </c>
      <c r="AA306" s="8">
        <f t="shared" si="23"/>
        <v>6.019834583122266</v>
      </c>
      <c r="AD306" s="8">
        <f t="shared" si="24"/>
        <v>-1.4728221740280993</v>
      </c>
    </row>
    <row r="307" spans="10:30" ht="13.5">
      <c r="J307" s="8">
        <f t="shared" si="13"/>
        <v>6671.786302403743</v>
      </c>
      <c r="K307" s="13">
        <f t="shared" si="9"/>
        <v>102.00000000000006</v>
      </c>
      <c r="L307" s="13">
        <f t="shared" si="21"/>
        <v>1.780235837034217</v>
      </c>
      <c r="M307" s="37">
        <f t="shared" si="14"/>
        <v>0.8377580409572774</v>
      </c>
      <c r="N307" s="8">
        <f t="shared" si="27"/>
        <v>0.7879616133853701</v>
      </c>
      <c r="O307" s="8">
        <f t="shared" si="15"/>
        <v>9.955730396119792</v>
      </c>
      <c r="P307" s="8">
        <f t="shared" si="16"/>
        <v>5.008470972081146</v>
      </c>
      <c r="Q307" s="8">
        <f t="shared" si="17"/>
        <v>1.1302935543992236</v>
      </c>
      <c r="R307" s="8">
        <f t="shared" si="18"/>
        <v>2.630988578503235</v>
      </c>
      <c r="S307" s="8">
        <f t="shared" si="19"/>
        <v>4.267548290026867</v>
      </c>
      <c r="T307" s="8">
        <f t="shared" si="20"/>
        <v>1.2566370614359181</v>
      </c>
      <c r="U307" s="8">
        <f t="shared" si="22"/>
        <v>0.9946496466299071</v>
      </c>
      <c r="Y307" s="8">
        <f t="shared" si="25"/>
        <v>2.219033280924592</v>
      </c>
      <c r="Z307" s="8">
        <f t="shared" si="26"/>
        <v>0.6562437987498672</v>
      </c>
      <c r="AA307" s="8">
        <f t="shared" si="23"/>
        <v>6.214721516878411</v>
      </c>
      <c r="AD307" s="8">
        <f t="shared" si="24"/>
        <v>-1.4084881332141779</v>
      </c>
    </row>
    <row r="308" spans="10:30" ht="13.5">
      <c r="J308" s="8">
        <f t="shared" si="13"/>
        <v>6653.62103465702</v>
      </c>
      <c r="K308" s="13">
        <f t="shared" si="9"/>
        <v>103.00000000000004</v>
      </c>
      <c r="L308" s="13">
        <f t="shared" si="21"/>
        <v>1.7976891295541604</v>
      </c>
      <c r="M308" s="37">
        <f t="shared" si="14"/>
        <v>0.820304748437334</v>
      </c>
      <c r="N308" s="8">
        <f t="shared" si="27"/>
        <v>0.7767553530566039</v>
      </c>
      <c r="O308" s="8">
        <f t="shared" si="15"/>
        <v>10.110301513261922</v>
      </c>
      <c r="P308" s="8">
        <f t="shared" si="16"/>
        <v>4.979359567625878</v>
      </c>
      <c r="Q308" s="8">
        <f t="shared" si="17"/>
        <v>1.072646888821985</v>
      </c>
      <c r="R308" s="8">
        <f t="shared" si="18"/>
        <v>2.5784961326313454</v>
      </c>
      <c r="S308" s="8">
        <f t="shared" si="19"/>
        <v>4.140470803333451</v>
      </c>
      <c r="T308" s="8">
        <f t="shared" si="20"/>
        <v>1.2740903539558617</v>
      </c>
      <c r="U308" s="8">
        <f t="shared" si="22"/>
        <v>0.9972773007222699</v>
      </c>
      <c r="Y308" s="8">
        <f t="shared" si="25"/>
        <v>2.3266558026198436</v>
      </c>
      <c r="Z308" s="8">
        <f t="shared" si="26"/>
        <v>0.7382742735936005</v>
      </c>
      <c r="AA308" s="8">
        <f t="shared" si="23"/>
        <v>6.412846203653492</v>
      </c>
      <c r="AD308" s="8">
        <f t="shared" si="24"/>
        <v>-1.3245175065030323</v>
      </c>
    </row>
    <row r="309" spans="10:30" ht="13.5">
      <c r="J309" s="8">
        <f t="shared" si="13"/>
        <v>6656.458812617763</v>
      </c>
      <c r="K309" s="13">
        <f t="shared" si="9"/>
        <v>104.00000000000006</v>
      </c>
      <c r="L309" s="13">
        <f t="shared" si="21"/>
        <v>1.8151424220741037</v>
      </c>
      <c r="M309" s="37">
        <f t="shared" si="14"/>
        <v>0.8028514559173907</v>
      </c>
      <c r="N309" s="8">
        <f t="shared" si="27"/>
        <v>0.7641920164409464</v>
      </c>
      <c r="O309" s="8">
        <f t="shared" si="15"/>
        <v>10.314153554943905</v>
      </c>
      <c r="P309" s="8">
        <f t="shared" si="16"/>
        <v>4.960240896837652</v>
      </c>
      <c r="Q309" s="8">
        <f t="shared" si="17"/>
        <v>1.018842182603816</v>
      </c>
      <c r="R309" s="8">
        <f t="shared" si="18"/>
        <v>2.527050995324809</v>
      </c>
      <c r="S309" s="8">
        <f t="shared" si="19"/>
        <v>4.0171773833984705</v>
      </c>
      <c r="T309" s="8">
        <f t="shared" si="20"/>
        <v>1.2915436464758048</v>
      </c>
      <c r="U309" s="8">
        <f t="shared" si="22"/>
        <v>1.0004265012909455</v>
      </c>
      <c r="Y309" s="8">
        <f t="shared" si="25"/>
        <v>2.439497987884638</v>
      </c>
      <c r="Z309" s="8">
        <f t="shared" si="26"/>
        <v>0.8203047484373339</v>
      </c>
      <c r="AA309" s="8">
        <f t="shared" si="23"/>
        <v>6.612667229989119</v>
      </c>
      <c r="AD309" s="8">
        <f t="shared" si="24"/>
        <v>-1.2197489939423187</v>
      </c>
    </row>
    <row r="310" spans="10:31" ht="13.5">
      <c r="J310" s="8">
        <f t="shared" si="13"/>
        <v>6684.748758169831</v>
      </c>
      <c r="K310" s="13">
        <f t="shared" si="9"/>
        <v>105.00000000000006</v>
      </c>
      <c r="L310" s="13">
        <f t="shared" si="21"/>
        <v>1.832595714594047</v>
      </c>
      <c r="M310" s="37">
        <f t="shared" si="14"/>
        <v>0.7853981633974474</v>
      </c>
      <c r="N310" s="8">
        <f t="shared" si="27"/>
        <v>0.7499999999999998</v>
      </c>
      <c r="O310" s="8">
        <f t="shared" si="15"/>
        <v>10.579305850407417</v>
      </c>
      <c r="P310" s="8">
        <f t="shared" si="16"/>
        <v>4.953264542192842</v>
      </c>
      <c r="Q310" s="8">
        <f t="shared" si="17"/>
        <v>0.9689950959370391</v>
      </c>
      <c r="R310" s="8">
        <f t="shared" si="18"/>
        <v>2.4766322710964204</v>
      </c>
      <c r="S310" s="8">
        <f t="shared" si="19"/>
        <v>3.897555349670833</v>
      </c>
      <c r="T310" s="8">
        <f t="shared" si="20"/>
        <v>1.3089969389957483</v>
      </c>
      <c r="U310" s="8">
        <f t="shared" si="22"/>
        <v>1.0042499993387537</v>
      </c>
      <c r="AA310" s="8">
        <f>AA295</f>
        <v>4.5</v>
      </c>
      <c r="AE310" s="8">
        <f>R207/AC285</f>
        <v>0.1152</v>
      </c>
    </row>
    <row r="311" spans="10:31" ht="13.5">
      <c r="J311" s="8">
        <f t="shared" si="13"/>
        <v>6744.661628930189</v>
      </c>
      <c r="K311" s="13">
        <f t="shared" si="9"/>
        <v>106.00000000000006</v>
      </c>
      <c r="L311" s="13">
        <f t="shared" si="21"/>
        <v>1.8500490071139903</v>
      </c>
      <c r="M311" s="37">
        <f t="shared" si="14"/>
        <v>0.7679448708775041</v>
      </c>
      <c r="N311" s="8">
        <f t="shared" si="27"/>
        <v>0.7338301122938964</v>
      </c>
      <c r="O311" s="8">
        <f t="shared" si="15"/>
        <v>10.92234926646541</v>
      </c>
      <c r="P311" s="8">
        <f t="shared" si="16"/>
        <v>4.961406136163157</v>
      </c>
      <c r="Q311" s="8">
        <f t="shared" si="17"/>
        <v>0.9233066450115835</v>
      </c>
      <c r="R311" s="8">
        <f t="shared" si="18"/>
        <v>2.427219481357491</v>
      </c>
      <c r="S311" s="8">
        <f t="shared" si="19"/>
        <v>3.7814953769595374</v>
      </c>
      <c r="T311" s="8">
        <f t="shared" si="20"/>
        <v>1.3264502315156914</v>
      </c>
      <c r="U311" s="8">
        <f t="shared" si="22"/>
        <v>1.0089626211736282</v>
      </c>
      <c r="AA311" s="8">
        <f>AA297</f>
        <v>8.725334459978239</v>
      </c>
      <c r="AE311" s="8">
        <f>AE310</f>
        <v>0.1152</v>
      </c>
    </row>
    <row r="312" spans="10:31" ht="13.5">
      <c r="J312" s="8">
        <f t="shared" si="13"/>
        <v>6844.988737494961</v>
      </c>
      <c r="K312" s="13">
        <f t="shared" si="9"/>
        <v>107.00000000000007</v>
      </c>
      <c r="L312" s="13">
        <f t="shared" si="21"/>
        <v>1.8675022996339337</v>
      </c>
      <c r="M312" s="37">
        <f t="shared" si="14"/>
        <v>0.7504915783575608</v>
      </c>
      <c r="N312" s="8">
        <f t="shared" si="27"/>
        <v>0.7152257322979223</v>
      </c>
      <c r="O312" s="8">
        <f t="shared" si="15"/>
        <v>11.366835370511994</v>
      </c>
      <c r="P312" s="8">
        <f t="shared" si="16"/>
        <v>4.988898851116519</v>
      </c>
      <c r="Q312" s="8">
        <f t="shared" si="17"/>
        <v>0.8821066034739788</v>
      </c>
      <c r="R312" s="8">
        <f t="shared" si="18"/>
        <v>2.3787925561000507</v>
      </c>
      <c r="S312" s="8">
        <f t="shared" si="19"/>
        <v>3.668891395518998</v>
      </c>
      <c r="T312" s="8">
        <f t="shared" si="20"/>
        <v>1.343903524035635</v>
      </c>
      <c r="U312" s="8">
        <f t="shared" si="22"/>
        <v>1.014875039562316</v>
      </c>
      <c r="AA312" s="8">
        <f>AA311</f>
        <v>8.725334459978239</v>
      </c>
      <c r="AE312" s="8">
        <v>0</v>
      </c>
    </row>
    <row r="313" spans="10:32" ht="13.5">
      <c r="J313" s="8">
        <f t="shared" si="13"/>
        <v>6998.67059699092</v>
      </c>
      <c r="K313" s="13">
        <f t="shared" si="9"/>
        <v>108.00000000000007</v>
      </c>
      <c r="L313" s="13">
        <f t="shared" si="21"/>
        <v>1.884955592153877</v>
      </c>
      <c r="M313" s="37">
        <f t="shared" si="14"/>
        <v>0.7330382858376174</v>
      </c>
      <c r="N313" s="8">
        <f t="shared" si="27"/>
        <v>0.6935780468917754</v>
      </c>
      <c r="O313" s="8">
        <f t="shared" si="15"/>
        <v>11.947339266007939</v>
      </c>
      <c r="P313" s="8">
        <f t="shared" si="16"/>
        <v>5.041967164746751</v>
      </c>
      <c r="Q313" s="8">
        <f t="shared" si="17"/>
        <v>0.8459273174241756</v>
      </c>
      <c r="R313" s="8">
        <f t="shared" si="18"/>
        <v>2.3313318257450093</v>
      </c>
      <c r="S313" s="8">
        <f t="shared" si="19"/>
        <v>3.5596404941095794</v>
      </c>
      <c r="T313" s="8">
        <f t="shared" si="20"/>
        <v>1.361356816555578</v>
      </c>
      <c r="U313" s="8">
        <f t="shared" si="22"/>
        <v>1.02245173299616</v>
      </c>
      <c r="AA313" s="8">
        <f>-AF284/2</f>
        <v>-2.25</v>
      </c>
      <c r="AF313" s="8">
        <v>0</v>
      </c>
    </row>
    <row r="314" spans="10:32" ht="13.5">
      <c r="J314" s="8">
        <f t="shared" si="13"/>
        <v>7225.5379840610485</v>
      </c>
      <c r="K314" s="13">
        <f t="shared" si="9"/>
        <v>109.00000000000007</v>
      </c>
      <c r="L314" s="13">
        <f t="shared" si="21"/>
        <v>1.9024088846738203</v>
      </c>
      <c r="M314" s="37">
        <f t="shared" si="14"/>
        <v>0.7155849933176741</v>
      </c>
      <c r="N314" s="8">
        <f t="shared" si="27"/>
        <v>0.6680568724492033</v>
      </c>
      <c r="O314" s="8">
        <f t="shared" si="15"/>
        <v>12.71674476216291</v>
      </c>
      <c r="P314" s="8">
        <f t="shared" si="16"/>
        <v>5.1301425987351505</v>
      </c>
      <c r="Q314" s="8">
        <f t="shared" si="17"/>
        <v>0.8156360771346675</v>
      </c>
      <c r="R314" s="8">
        <f t="shared" si="18"/>
        <v>2.284818013152955</v>
      </c>
      <c r="S314" s="8">
        <f t="shared" si="19"/>
        <v>3.4536428259447716</v>
      </c>
      <c r="T314" s="8">
        <f t="shared" si="20"/>
        <v>1.3788101090755216</v>
      </c>
      <c r="U314" s="8">
        <f t="shared" si="22"/>
        <v>1.032415782958505</v>
      </c>
      <c r="AA314" s="8">
        <f>AA297-AA313</f>
        <v>10.975334459978239</v>
      </c>
      <c r="AF314" s="8">
        <v>0</v>
      </c>
    </row>
    <row r="315" spans="10:21" ht="13.5">
      <c r="J315" s="8">
        <f t="shared" si="13"/>
        <v>7557.558162547128</v>
      </c>
      <c r="K315" s="13">
        <f t="shared" si="9"/>
        <v>110.00000000000006</v>
      </c>
      <c r="L315" s="13">
        <f t="shared" si="21"/>
        <v>1.9198621771937636</v>
      </c>
      <c r="M315" s="37">
        <f t="shared" si="14"/>
        <v>0.6981317007977308</v>
      </c>
      <c r="N315" s="8">
        <f t="shared" si="27"/>
        <v>0.6374999693978619</v>
      </c>
      <c r="O315" s="8">
        <f t="shared" si="15"/>
        <v>13.76018769828999</v>
      </c>
      <c r="P315" s="8">
        <f t="shared" si="16"/>
        <v>5.268781960670631</v>
      </c>
      <c r="Q315" s="8">
        <f t="shared" si="17"/>
        <v>0.7926884831030672</v>
      </c>
      <c r="R315" s="8">
        <f t="shared" si="18"/>
        <v>2.239232225794356</v>
      </c>
      <c r="S315" s="8">
        <f t="shared" si="19"/>
        <v>3.350801517439027</v>
      </c>
      <c r="T315" s="8">
        <f t="shared" si="20"/>
        <v>1.3962634015954647</v>
      </c>
      <c r="U315" s="8">
        <f t="shared" si="22"/>
        <v>1.0459509283901751</v>
      </c>
    </row>
    <row r="316" spans="10:21" ht="13.5">
      <c r="J316" s="8">
        <f t="shared" si="13"/>
        <v>8049.7373850008025</v>
      </c>
      <c r="K316" s="13">
        <f t="shared" si="9"/>
        <v>111.00000000000007</v>
      </c>
      <c r="L316" s="13">
        <f t="shared" si="21"/>
        <v>1.937315469713707</v>
      </c>
      <c r="M316" s="37">
        <f t="shared" si="14"/>
        <v>0.6806784082777875</v>
      </c>
      <c r="N316" s="8">
        <f t="shared" si="27"/>
        <v>0.6002285665037159</v>
      </c>
      <c r="O316" s="8">
        <f t="shared" si="15"/>
        <v>15.224032382759317</v>
      </c>
      <c r="P316" s="8">
        <f t="shared" si="16"/>
        <v>5.484300657812129</v>
      </c>
      <c r="Q316" s="8">
        <f t="shared" si="17"/>
        <v>0.7796550006578447</v>
      </c>
      <c r="R316" s="8">
        <f t="shared" si="18"/>
        <v>2.194555948075974</v>
      </c>
      <c r="S316" s="8">
        <f t="shared" si="19"/>
        <v>3.251022579672875</v>
      </c>
      <c r="T316" s="8">
        <f t="shared" si="20"/>
        <v>1.4137166941154082</v>
      </c>
      <c r="U316" s="8">
        <f t="shared" si="22"/>
        <v>1.0651241064730086</v>
      </c>
    </row>
    <row r="317" spans="10:21" ht="13.5">
      <c r="J317" s="8">
        <f t="shared" si="13"/>
        <v>8805.352947766583</v>
      </c>
      <c r="K317" s="13">
        <f t="shared" si="9"/>
        <v>112.00000000000007</v>
      </c>
      <c r="L317" s="13">
        <f t="shared" si="21"/>
        <v>1.9547687622336503</v>
      </c>
      <c r="M317" s="37">
        <f t="shared" si="14"/>
        <v>0.6632251157578442</v>
      </c>
      <c r="N317" s="8">
        <f t="shared" si="27"/>
        <v>0.5537245283885077</v>
      </c>
      <c r="O317" s="8">
        <f t="shared" si="15"/>
        <v>17.382932761097848</v>
      </c>
      <c r="P317" s="8">
        <f t="shared" si="16"/>
        <v>5.8262843441658285</v>
      </c>
      <c r="Q317" s="8">
        <f t="shared" si="17"/>
        <v>0.781439609140982</v>
      </c>
      <c r="R317" s="8">
        <f t="shared" si="18"/>
        <v>2.1507710338203796</v>
      </c>
      <c r="S317" s="8">
        <f t="shared" si="19"/>
        <v>3.1542148224943904</v>
      </c>
      <c r="T317" s="8">
        <f t="shared" si="20"/>
        <v>1.4311699866353513</v>
      </c>
      <c r="U317" s="8">
        <f t="shared" si="22"/>
        <v>1.0938683495655064</v>
      </c>
    </row>
    <row r="318" spans="10:21" ht="13.5">
      <c r="J318" s="8">
        <f t="shared" si="13"/>
        <v>10043.650967252197</v>
      </c>
      <c r="K318" s="13">
        <f t="shared" si="9"/>
        <v>113.00000000000007</v>
      </c>
      <c r="L318" s="13">
        <f t="shared" si="21"/>
        <v>1.9722220547535936</v>
      </c>
      <c r="M318" s="37">
        <f t="shared" si="14"/>
        <v>0.6457718232379008</v>
      </c>
      <c r="N318" s="8">
        <f t="shared" si="27"/>
        <v>0.49403080951305456</v>
      </c>
      <c r="O318" s="8">
        <f t="shared" si="15"/>
        <v>20.819757913505928</v>
      </c>
      <c r="P318" s="8">
        <f t="shared" si="16"/>
        <v>6.399984550477157</v>
      </c>
      <c r="Q318" s="8">
        <f t="shared" si="17"/>
        <v>0.8085494795726955</v>
      </c>
      <c r="R318" s="8">
        <f t="shared" si="18"/>
        <v>2.107859698895515</v>
      </c>
      <c r="S318" s="8">
        <f t="shared" si="19"/>
        <v>3.060289771178524</v>
      </c>
      <c r="T318" s="8">
        <f t="shared" si="20"/>
        <v>1.4486232791552949</v>
      </c>
      <c r="U318" s="8">
        <f t="shared" si="22"/>
        <v>1.1406301401921315</v>
      </c>
    </row>
    <row r="319" spans="10:21" ht="13.5">
      <c r="J319" s="8">
        <f t="shared" si="13"/>
        <v>10043.650967252197</v>
      </c>
      <c r="K319" s="13">
        <f t="shared" si="9"/>
        <v>113.00000000000007</v>
      </c>
      <c r="L319" s="13">
        <f t="shared" si="21"/>
        <v>1.9722220547535936</v>
      </c>
      <c r="M319" s="37">
        <f t="shared" si="14"/>
        <v>0.6457718232379008</v>
      </c>
      <c r="N319" s="8">
        <f t="shared" si="27"/>
        <v>0.49403080951305456</v>
      </c>
      <c r="O319" s="8">
        <f t="shared" si="15"/>
        <v>20.819757913505928</v>
      </c>
      <c r="P319" s="8">
        <f t="shared" si="16"/>
        <v>6.399984550477157</v>
      </c>
      <c r="Q319" s="8">
        <f t="shared" si="17"/>
        <v>0.8085494795726955</v>
      </c>
      <c r="R319" s="8">
        <f t="shared" si="18"/>
        <v>2.107859698895515</v>
      </c>
      <c r="S319" s="8">
        <f t="shared" si="19"/>
        <v>3.060289771178524</v>
      </c>
      <c r="T319" s="8">
        <f t="shared" si="20"/>
        <v>1.4486232791552949</v>
      </c>
      <c r="U319" s="8">
        <f t="shared" si="22"/>
        <v>1.1</v>
      </c>
    </row>
    <row r="320" spans="10:21" ht="13.5">
      <c r="J320" s="8">
        <f t="shared" si="13"/>
        <v>10043.650967252197</v>
      </c>
      <c r="K320" s="13">
        <f>L320*180/PI()</f>
        <v>113.00000000000007</v>
      </c>
      <c r="L320" s="13">
        <f t="shared" si="21"/>
        <v>1.9722220547535936</v>
      </c>
      <c r="M320" s="37">
        <f t="shared" si="14"/>
        <v>0.6457718232379008</v>
      </c>
      <c r="N320" s="8">
        <f t="shared" si="27"/>
        <v>0.49403080951305456</v>
      </c>
      <c r="O320" s="8">
        <f t="shared" si="15"/>
        <v>20.819757913505928</v>
      </c>
      <c r="P320" s="8">
        <f t="shared" si="16"/>
        <v>6.399984550477157</v>
      </c>
      <c r="Q320" s="8">
        <f t="shared" si="17"/>
        <v>0.8085494795726955</v>
      </c>
      <c r="R320" s="8">
        <f t="shared" si="18"/>
        <v>2.107859698895515</v>
      </c>
      <c r="S320" s="8">
        <f t="shared" si="19"/>
        <v>3.060289771178524</v>
      </c>
      <c r="T320" s="8">
        <f t="shared" si="20"/>
        <v>1.4486232791552949</v>
      </c>
      <c r="U320" s="8">
        <f t="shared" si="22"/>
        <v>1.1</v>
      </c>
    </row>
    <row r="321" spans="10:21" ht="13.5">
      <c r="J321" s="8">
        <f t="shared" si="13"/>
        <v>10043.650967252197</v>
      </c>
      <c r="K321" s="13">
        <f t="shared" si="9"/>
        <v>113.00000000000007</v>
      </c>
      <c r="L321" s="13">
        <f t="shared" si="21"/>
        <v>1.9722220547535936</v>
      </c>
      <c r="M321" s="37">
        <f t="shared" si="14"/>
        <v>0.6457718232379008</v>
      </c>
      <c r="N321" s="8">
        <f t="shared" si="27"/>
        <v>0.49403080951305456</v>
      </c>
      <c r="O321" s="8">
        <f t="shared" si="15"/>
        <v>20.819757913505928</v>
      </c>
      <c r="P321" s="8">
        <f t="shared" si="16"/>
        <v>6.399984550477157</v>
      </c>
      <c r="Q321" s="8">
        <f t="shared" si="17"/>
        <v>0.8085494795726955</v>
      </c>
      <c r="R321" s="8">
        <f t="shared" si="18"/>
        <v>2.107859698895515</v>
      </c>
      <c r="S321" s="8">
        <f t="shared" si="19"/>
        <v>3.060289771178524</v>
      </c>
      <c r="T321" s="8">
        <f t="shared" si="20"/>
        <v>1.4486232791552949</v>
      </c>
      <c r="U321" s="8">
        <f t="shared" si="22"/>
        <v>1.1</v>
      </c>
    </row>
    <row r="322" spans="10:21" ht="13.5">
      <c r="J322" s="8">
        <f t="shared" si="13"/>
        <v>10043.650967252197</v>
      </c>
      <c r="K322" s="13">
        <f t="shared" si="9"/>
        <v>113.00000000000007</v>
      </c>
      <c r="L322" s="13">
        <f t="shared" si="21"/>
        <v>1.9722220547535936</v>
      </c>
      <c r="M322" s="37">
        <f t="shared" si="14"/>
        <v>0.6457718232379008</v>
      </c>
      <c r="N322" s="8">
        <f t="shared" si="27"/>
        <v>0.49403080951305456</v>
      </c>
      <c r="O322" s="8">
        <f t="shared" si="15"/>
        <v>20.819757913505928</v>
      </c>
      <c r="P322" s="8">
        <f t="shared" si="16"/>
        <v>6.399984550477157</v>
      </c>
      <c r="Q322" s="8">
        <f t="shared" si="17"/>
        <v>0.8085494795726955</v>
      </c>
      <c r="R322" s="8">
        <f t="shared" si="18"/>
        <v>2.107859698895515</v>
      </c>
      <c r="S322" s="8">
        <f t="shared" si="19"/>
        <v>3.060289771178524</v>
      </c>
      <c r="T322" s="8">
        <f t="shared" si="20"/>
        <v>1.4486232791552949</v>
      </c>
      <c r="U322" s="8">
        <f t="shared" si="22"/>
        <v>1.1</v>
      </c>
    </row>
    <row r="323" spans="10:21" ht="13.5">
      <c r="J323" s="8">
        <f t="shared" si="13"/>
        <v>10043.650967252197</v>
      </c>
      <c r="K323" s="13">
        <f t="shared" si="9"/>
        <v>113.00000000000007</v>
      </c>
      <c r="L323" s="13">
        <f t="shared" si="21"/>
        <v>1.9722220547535936</v>
      </c>
      <c r="M323" s="37">
        <f t="shared" si="14"/>
        <v>0.6457718232379008</v>
      </c>
      <c r="N323" s="8">
        <f t="shared" si="27"/>
        <v>0.49403080951305456</v>
      </c>
      <c r="O323" s="8">
        <f t="shared" si="15"/>
        <v>20.819757913505928</v>
      </c>
      <c r="P323" s="8">
        <f t="shared" si="16"/>
        <v>6.399984550477157</v>
      </c>
      <c r="Q323" s="8">
        <f t="shared" si="17"/>
        <v>0.8085494795726955</v>
      </c>
      <c r="R323" s="8">
        <f t="shared" si="18"/>
        <v>2.107859698895515</v>
      </c>
      <c r="S323" s="8">
        <f t="shared" si="19"/>
        <v>3.060289771178524</v>
      </c>
      <c r="T323" s="8">
        <f t="shared" si="20"/>
        <v>1.4486232791552949</v>
      </c>
      <c r="U323" s="8">
        <f t="shared" si="22"/>
        <v>1.1</v>
      </c>
    </row>
    <row r="324" spans="10:21" ht="13.5">
      <c r="J324" s="8">
        <f t="shared" si="13"/>
        <v>10043.650967252197</v>
      </c>
      <c r="K324" s="13">
        <f t="shared" si="9"/>
        <v>113.00000000000007</v>
      </c>
      <c r="L324" s="13">
        <f t="shared" si="21"/>
        <v>1.9722220547535936</v>
      </c>
      <c r="M324" s="37">
        <f t="shared" si="14"/>
        <v>0.6457718232379008</v>
      </c>
      <c r="N324" s="8">
        <f t="shared" si="27"/>
        <v>0.49403080951305456</v>
      </c>
      <c r="O324" s="8">
        <f t="shared" si="15"/>
        <v>20.819757913505928</v>
      </c>
      <c r="P324" s="8">
        <f t="shared" si="16"/>
        <v>6.399984550477157</v>
      </c>
      <c r="Q324" s="8">
        <f t="shared" si="17"/>
        <v>0.8085494795726955</v>
      </c>
      <c r="R324" s="8">
        <f t="shared" si="18"/>
        <v>2.107859698895515</v>
      </c>
      <c r="S324" s="8">
        <f t="shared" si="19"/>
        <v>3.060289771178524</v>
      </c>
      <c r="T324" s="8">
        <f t="shared" si="20"/>
        <v>1.4486232791552949</v>
      </c>
      <c r="U324" s="8">
        <f t="shared" si="22"/>
        <v>1.1</v>
      </c>
    </row>
    <row r="325" spans="10:21" ht="13.5">
      <c r="J325" s="8">
        <f t="shared" si="13"/>
        <v>10043.650967252197</v>
      </c>
      <c r="K325" s="13">
        <f t="shared" si="9"/>
        <v>113.00000000000007</v>
      </c>
      <c r="L325" s="13">
        <f t="shared" si="21"/>
        <v>1.9722220547535936</v>
      </c>
      <c r="M325" s="37">
        <f t="shared" si="14"/>
        <v>0.6457718232379008</v>
      </c>
      <c r="N325" s="8">
        <f t="shared" si="27"/>
        <v>0.49403080951305456</v>
      </c>
      <c r="O325" s="8">
        <f t="shared" si="15"/>
        <v>20.819757913505928</v>
      </c>
      <c r="P325" s="8">
        <f t="shared" si="16"/>
        <v>6.399984550477157</v>
      </c>
      <c r="Q325" s="8">
        <f t="shared" si="17"/>
        <v>0.8085494795726955</v>
      </c>
      <c r="R325" s="8">
        <f t="shared" si="18"/>
        <v>2.107859698895515</v>
      </c>
      <c r="S325" s="8">
        <f t="shared" si="19"/>
        <v>3.060289771178524</v>
      </c>
      <c r="T325" s="8">
        <f t="shared" si="20"/>
        <v>1.4486232791552949</v>
      </c>
      <c r="U325" s="8">
        <f t="shared" si="22"/>
        <v>1.1</v>
      </c>
    </row>
    <row r="326" spans="10:20" ht="13.5">
      <c r="J326" s="8">
        <f>MIN(J265:J325)</f>
        <v>6653.62103465702</v>
      </c>
      <c r="K326" s="13">
        <f>VLOOKUP($J$326,$J$265:$Q$325,2,FALSE)</f>
        <v>103.00000000000004</v>
      </c>
      <c r="L326" s="13">
        <f>VLOOKUP($J$326,$J$265:$Q$325,3,FALSE)</f>
        <v>1.7976891295541604</v>
      </c>
      <c r="M326" s="13">
        <f>VLOOKUP($J$326,$J$265:$Q$325,4,FALSE)</f>
        <v>0.820304748437334</v>
      </c>
      <c r="N326" s="13">
        <f>VLOOKUP($J$326,$J$265:$Q$325,5,FALSE)</f>
        <v>0.7767553530566039</v>
      </c>
      <c r="O326" s="13">
        <f>VLOOKUP($J$326,$J$265:$Q$325,6,FALSE)</f>
        <v>10.110301513261922</v>
      </c>
      <c r="P326" s="13">
        <f>VLOOKUP($J$326,$J$265:$Q$325,7,FALSE)</f>
        <v>4.979359567625878</v>
      </c>
      <c r="Q326" s="13">
        <f>VLOOKUP($J$326,$J$265:$Q$325,8,FALSE)</f>
        <v>1.072646888821985</v>
      </c>
      <c r="R326" s="13"/>
      <c r="S326" s="13"/>
      <c r="T326" s="13"/>
    </row>
    <row r="327" ht="13.5">
      <c r="I327" s="4" t="s">
        <v>129</v>
      </c>
    </row>
    <row r="328" spans="9:10" ht="13.5">
      <c r="I328" s="13" t="s">
        <v>130</v>
      </c>
      <c r="J328" s="13">
        <f>ROUND(P326,2)</f>
        <v>4.98</v>
      </c>
    </row>
    <row r="329" spans="9:10" ht="13.5">
      <c r="I329" s="13" t="s">
        <v>131</v>
      </c>
      <c r="J329" s="13">
        <f>ROUND(O326,2)</f>
        <v>10.11</v>
      </c>
    </row>
    <row r="330" spans="9:11" ht="13.5">
      <c r="I330" s="8" t="s">
        <v>132</v>
      </c>
      <c r="J330" s="8">
        <f>ROUND(Q326,2)</f>
        <v>1.07</v>
      </c>
      <c r="K330" s="13"/>
    </row>
    <row r="331" spans="9:11" ht="13.5">
      <c r="I331" s="8" t="s">
        <v>133</v>
      </c>
      <c r="J331" s="8">
        <f>ROUND($S$194*($R$198*$R$202*$R$212*$O$326*$K$195+$R$202*$R$207*$P$326*$K$196+1/2*$E$11*$R$199*$S$190*$Q$326*$K$197),0)</f>
        <v>6654</v>
      </c>
      <c r="K331" s="8" t="s">
        <v>136</v>
      </c>
    </row>
    <row r="332" spans="9:11" ht="13.5">
      <c r="I332" s="4" t="s">
        <v>134</v>
      </c>
      <c r="J332" s="8">
        <f>ROUND(K326,2)</f>
        <v>103</v>
      </c>
      <c r="K332" s="8" t="s">
        <v>137</v>
      </c>
    </row>
    <row r="333" spans="9:11" ht="13.5">
      <c r="I333" s="4" t="s">
        <v>135</v>
      </c>
      <c r="J333" s="8">
        <f>ROUND(M326*180/PI(),2)</f>
        <v>47</v>
      </c>
      <c r="K333" s="8" t="s">
        <v>137</v>
      </c>
    </row>
  </sheetData>
  <sheetProtection sheet="1" objects="1" scenarios="1"/>
  <mergeCells count="1">
    <mergeCell ref="B37:I37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Header>&amp;C平坦地盤支持力２</oddHeader>
    <oddFooter>&amp;C&amp;P</oddFooter>
  </headerFooter>
  <rowBreaks count="5" manualBreakCount="5">
    <brk id="30" max="8" man="1"/>
    <brk id="71" max="8" man="1"/>
    <brk id="114" max="8" man="1"/>
    <brk id="163" max="8" man="1"/>
    <brk id="19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2004-07-24T01:03:19Z</cp:lastPrinted>
  <dcterms:created xsi:type="dcterms:W3CDTF">2003-12-07T06:10:31Z</dcterms:created>
  <dcterms:modified xsi:type="dcterms:W3CDTF">2015-04-11T22:04:44Z</dcterms:modified>
  <cp:category/>
  <cp:version/>
  <cp:contentType/>
  <cp:contentStatus/>
</cp:coreProperties>
</file>