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76" yWindow="65284" windowWidth="9312" windowHeight="9120" tabRatio="601" activeTab="0"/>
  </bookViews>
  <sheets>
    <sheet name="入力" sheetId="1" r:id="rId1"/>
    <sheet name="出力" sheetId="2" r:id="rId2"/>
    <sheet name="計算" sheetId="3" state="hidden" r:id="rId3"/>
  </sheets>
  <definedNames>
    <definedName name="B">'入力'!$BB$1</definedName>
    <definedName name="Be">'出力'!$T$105</definedName>
    <definedName name="cu">'入力'!$BB$8</definedName>
    <definedName name="df">'入力'!$BB$19</definedName>
    <definedName name="ef">'入力'!$BB$20</definedName>
    <definedName name="eg">'入力'!$BB$21</definedName>
    <definedName name="fg">'入力'!$BB$22</definedName>
    <definedName name="Nc">'入力'!$BB$28</definedName>
    <definedName name="Nq">'入力'!$BB$29</definedName>
    <definedName name="Nγ">'入力'!$BB$30</definedName>
    <definedName name="_xlnm.Print_Area" localSheetId="1">'出力'!$A$3:$I$174</definedName>
    <definedName name="_xlnm.Print_Area" localSheetId="0">'入力'!$A$1:$M$30</definedName>
    <definedName name="q">'入力'!$BB$3</definedName>
    <definedName name="S">'入力'!$BB$2</definedName>
    <definedName name="Sc">'出力'!$S$153</definedName>
    <definedName name="solver_adj" localSheetId="2" hidden="1">'入力'!$D$21:$D$22</definedName>
    <definedName name="solver_adj" localSheetId="0" hidden="1">'入力'!$D$21:$D$22</definedName>
    <definedName name="solver_cvg" localSheetId="2" hidden="1">0.0001</definedName>
    <definedName name="solver_cvg" localSheetId="0" hidden="1">0.001</definedName>
    <definedName name="solver_drv" localSheetId="2" hidden="1">1</definedName>
    <definedName name="solver_drv" localSheetId="0" hidden="1">1</definedName>
    <definedName name="solver_est" localSheetId="2" hidden="1">1</definedName>
    <definedName name="solver_est" localSheetId="0" hidden="1">1</definedName>
    <definedName name="solver_itr" localSheetId="2" hidden="1">100</definedName>
    <definedName name="solver_itr" localSheetId="0" hidden="1">100</definedName>
    <definedName name="solver_lhs1" localSheetId="0" hidden="1">'入力'!#REF!</definedName>
    <definedName name="solver_lhs2" localSheetId="0" hidden="1">'入力'!#REF!</definedName>
    <definedName name="solver_lhs3" localSheetId="0" hidden="1">'入力'!#REF!</definedName>
    <definedName name="solver_lhs4" localSheetId="0" hidden="1">'入力'!#REF!</definedName>
    <definedName name="solver_lin" localSheetId="2" hidden="1">2</definedName>
    <definedName name="solver_lin" localSheetId="0" hidden="1">2</definedName>
    <definedName name="solver_neg" localSheetId="2" hidden="1">2</definedName>
    <definedName name="solver_neg" localSheetId="0" hidden="1">2</definedName>
    <definedName name="solver_num" localSheetId="2" hidden="1">0</definedName>
    <definedName name="solver_num" localSheetId="0" hidden="1">0</definedName>
    <definedName name="solver_nwt" localSheetId="2" hidden="1">1</definedName>
    <definedName name="solver_nwt" localSheetId="0" hidden="1">1</definedName>
    <definedName name="solver_opt" localSheetId="2" hidden="1">'入力'!#REF!</definedName>
    <definedName name="solver_opt" localSheetId="0" hidden="1">'入力'!$D$26</definedName>
    <definedName name="solver_pre" localSheetId="2" hidden="1">0.000001</definedName>
    <definedName name="solver_pre" localSheetId="0" hidden="1">0.000001</definedName>
    <definedName name="solver_rel1" localSheetId="0" hidden="1">1</definedName>
    <definedName name="solver_rel2" localSheetId="0" hidden="1">1</definedName>
    <definedName name="solver_rel3" localSheetId="0" hidden="1">3</definedName>
    <definedName name="solver_rel4" localSheetId="0" hidden="1">3</definedName>
    <definedName name="solver_rhs1" localSheetId="0" hidden="1">45</definedName>
    <definedName name="solver_rhs2" localSheetId="0" hidden="1">45</definedName>
    <definedName name="solver_rhs3" localSheetId="0" hidden="1">45</definedName>
    <definedName name="solver_rhs4" localSheetId="0" hidden="1">45</definedName>
    <definedName name="solver_scl" localSheetId="2" hidden="1">2</definedName>
    <definedName name="solver_scl" localSheetId="0" hidden="1">2</definedName>
    <definedName name="solver_sho" localSheetId="2" hidden="1">2</definedName>
    <definedName name="solver_sho" localSheetId="0" hidden="1">2</definedName>
    <definedName name="solver_tim" localSheetId="2" hidden="1">100</definedName>
    <definedName name="solver_tim" localSheetId="0" hidden="1">100</definedName>
    <definedName name="solver_tol" localSheetId="2" hidden="1">0.05</definedName>
    <definedName name="solver_tol" localSheetId="0" hidden="1">0.05</definedName>
    <definedName name="solver_typ" localSheetId="2" hidden="1">2</definedName>
    <definedName name="solver_typ" localSheetId="0" hidden="1">2</definedName>
    <definedName name="solver_val" localSheetId="2" hidden="1">0</definedName>
    <definedName name="solver_val" localSheetId="0" hidden="1">0</definedName>
    <definedName name="Sq">'出力'!$S$154</definedName>
    <definedName name="Sγ">'出力'!$S$155</definedName>
    <definedName name="tanφ">'入力'!$BB$23</definedName>
    <definedName name="X">'入力'!$BB$24</definedName>
    <definedName name="α">'入力'!$BD$4</definedName>
    <definedName name="β">'入力'!$BD$5</definedName>
    <definedName name="γ">'入力'!$BB$6</definedName>
    <definedName name="ε">'入力'!$BD$13</definedName>
    <definedName name="ζ">'入力'!$BD$14</definedName>
    <definedName name="η">'入力'!$BD$15</definedName>
    <definedName name="θ">'入力'!$BD$10</definedName>
    <definedName name="ρ">'入力'!$BD$11</definedName>
    <definedName name="φ">'入力'!$BD$7</definedName>
    <definedName name="ψ">'入力'!$BD$12</definedName>
    <definedName name="ω">'入力'!$BD$9</definedName>
  </definedNames>
  <calcPr fullCalcOnLoad="1"/>
</workbook>
</file>

<file path=xl/comments1.xml><?xml version="1.0" encoding="utf-8"?>
<comments xmlns="http://schemas.openxmlformats.org/spreadsheetml/2006/main">
  <authors>
    <author>右城 猛</author>
  </authors>
  <commentList>
    <comment ref="D13" authorId="0">
      <text>
        <r>
          <rPr>
            <sz val="9"/>
            <rFont val="ＭＳ Ｐゴシック"/>
            <family val="3"/>
          </rPr>
          <t xml:space="preserve">谷側への偏心を正，山側への偏心を負とする
</t>
        </r>
      </text>
    </comment>
  </commentList>
</comments>
</file>

<file path=xl/sharedStrings.xml><?xml version="1.0" encoding="utf-8"?>
<sst xmlns="http://schemas.openxmlformats.org/spreadsheetml/2006/main" count="296" uniqueCount="225">
  <si>
    <t>x</t>
  </si>
  <si>
    <t>遷移場</t>
  </si>
  <si>
    <t>地表面</t>
  </si>
  <si>
    <t>荷重</t>
  </si>
  <si>
    <t>載荷重</t>
  </si>
  <si>
    <t>縮尺</t>
  </si>
  <si>
    <t>ﾗﾝｷﾝ場</t>
  </si>
  <si>
    <t>θ</t>
  </si>
  <si>
    <t>ω+θ</t>
  </si>
  <si>
    <t>r</t>
  </si>
  <si>
    <t>m</t>
  </si>
  <si>
    <t>deg</t>
  </si>
  <si>
    <r>
      <t>φ</t>
    </r>
    <r>
      <rPr>
        <sz val="11"/>
        <rFont val="Times New Roman"/>
        <family val="1"/>
      </rPr>
      <t>=</t>
    </r>
  </si>
  <si>
    <t>ただし，</t>
  </si>
  <si>
    <r>
      <t>ω</t>
    </r>
    <r>
      <rPr>
        <sz val="11"/>
        <rFont val="Times New Roman"/>
        <family val="1"/>
      </rPr>
      <t>=</t>
    </r>
  </si>
  <si>
    <r>
      <t>(1)</t>
    </r>
    <r>
      <rPr>
        <sz val="11"/>
        <rFont val="ＭＳ 明朝"/>
        <family val="1"/>
      </rPr>
      <t>基礎形状</t>
    </r>
  </si>
  <si>
    <t>基礎幅</t>
  </si>
  <si>
    <t>前面余裕幅</t>
  </si>
  <si>
    <t>m</t>
  </si>
  <si>
    <t>斜面傾斜角</t>
  </si>
  <si>
    <r>
      <t>(2)</t>
    </r>
    <r>
      <rPr>
        <sz val="11"/>
        <rFont val="ＭＳ 明朝"/>
        <family val="1"/>
      </rPr>
      <t>荷重条件</t>
    </r>
  </si>
  <si>
    <t>m</t>
  </si>
  <si>
    <t>鉛直荷重</t>
  </si>
  <si>
    <t>水平荷重</t>
  </si>
  <si>
    <t>荷重偏心量</t>
  </si>
  <si>
    <t>上載荷重</t>
  </si>
  <si>
    <r>
      <t>kN/m</t>
    </r>
    <r>
      <rPr>
        <vertAlign val="superscript"/>
        <sz val="11"/>
        <rFont val="Times New Roman"/>
        <family val="1"/>
      </rPr>
      <t>2</t>
    </r>
  </si>
  <si>
    <r>
      <t>(3)</t>
    </r>
    <r>
      <rPr>
        <sz val="11"/>
        <rFont val="ＭＳ 明朝"/>
        <family val="1"/>
      </rPr>
      <t>地盤条件</t>
    </r>
  </si>
  <si>
    <t>単位体積重量</t>
  </si>
  <si>
    <r>
      <t>γ</t>
    </r>
    <r>
      <rPr>
        <i/>
        <sz val="11"/>
        <rFont val="Times New Roman"/>
        <family val="1"/>
      </rPr>
      <t>=</t>
    </r>
  </si>
  <si>
    <r>
      <t>kN/m</t>
    </r>
    <r>
      <rPr>
        <vertAlign val="superscript"/>
        <sz val="11"/>
        <rFont val="Times New Roman"/>
        <family val="1"/>
      </rPr>
      <t>3</t>
    </r>
  </si>
  <si>
    <r>
      <t>φ</t>
    </r>
    <r>
      <rPr>
        <i/>
        <sz val="11"/>
        <rFont val="Times New Roman"/>
        <family val="1"/>
      </rPr>
      <t>=</t>
    </r>
  </si>
  <si>
    <t>deg</t>
  </si>
  <si>
    <t>粘着力</t>
  </si>
  <si>
    <t>c=</t>
  </si>
  <si>
    <r>
      <t>kN/m</t>
    </r>
    <r>
      <rPr>
        <vertAlign val="superscript"/>
        <sz val="11"/>
        <rFont val="Times New Roman"/>
        <family val="1"/>
      </rPr>
      <t>2</t>
    </r>
  </si>
  <si>
    <t>支持力係数</t>
  </si>
  <si>
    <t>安全率</t>
  </si>
  <si>
    <t>入力後ソルバーを実行すること</t>
  </si>
  <si>
    <r>
      <t>ツール(</t>
    </r>
    <r>
      <rPr>
        <u val="single"/>
        <sz val="11"/>
        <color indexed="8"/>
        <rFont val="ＭＳ Ｐ明朝"/>
        <family val="1"/>
      </rPr>
      <t>T</t>
    </r>
    <r>
      <rPr>
        <sz val="11"/>
        <color indexed="8"/>
        <rFont val="ＭＳ Ｐ明朝"/>
        <family val="1"/>
      </rPr>
      <t>)→ソルバー(</t>
    </r>
    <r>
      <rPr>
        <u val="single"/>
        <sz val="11"/>
        <color indexed="8"/>
        <rFont val="ＭＳ Ｐ明朝"/>
        <family val="1"/>
      </rPr>
      <t>V</t>
    </r>
    <r>
      <rPr>
        <sz val="11"/>
        <color indexed="8"/>
        <rFont val="ＭＳ Ｐ明朝"/>
        <family val="1"/>
      </rPr>
      <t>)→実行</t>
    </r>
  </si>
  <si>
    <t>基礎幅</t>
  </si>
  <si>
    <t>最適化条件式</t>
  </si>
  <si>
    <r>
      <t>ω</t>
    </r>
    <r>
      <rPr>
        <sz val="11"/>
        <rFont val="Times New Roman"/>
        <family val="1"/>
      </rPr>
      <t>=</t>
    </r>
  </si>
  <si>
    <r>
      <t>θ</t>
    </r>
    <r>
      <rPr>
        <sz val="11"/>
        <rFont val="Times New Roman"/>
        <family val="1"/>
      </rPr>
      <t>=</t>
    </r>
  </si>
  <si>
    <r>
      <t>ρ</t>
    </r>
    <r>
      <rPr>
        <sz val="11"/>
        <rFont val="Times New Roman"/>
        <family val="1"/>
      </rPr>
      <t>=</t>
    </r>
  </si>
  <si>
    <r>
      <t>ψ</t>
    </r>
    <r>
      <rPr>
        <sz val="11"/>
        <rFont val="Times New Roman"/>
        <family val="1"/>
      </rPr>
      <t>=</t>
    </r>
  </si>
  <si>
    <r>
      <t>ε</t>
    </r>
    <r>
      <rPr>
        <sz val="11"/>
        <rFont val="Times New Roman"/>
        <family val="1"/>
      </rPr>
      <t>=</t>
    </r>
  </si>
  <si>
    <r>
      <t>ζ</t>
    </r>
    <r>
      <rPr>
        <sz val="11"/>
        <rFont val="Times New Roman"/>
        <family val="1"/>
      </rPr>
      <t>=</t>
    </r>
  </si>
  <si>
    <r>
      <t>η</t>
    </r>
    <r>
      <rPr>
        <sz val="11"/>
        <rFont val="Times New Roman"/>
        <family val="1"/>
      </rPr>
      <t>=</t>
    </r>
  </si>
  <si>
    <r>
      <t>r</t>
    </r>
    <r>
      <rPr>
        <vertAlign val="subscript"/>
        <sz val="11"/>
        <rFont val="Times New Roman"/>
        <family val="1"/>
      </rPr>
      <t>0</t>
    </r>
    <r>
      <rPr>
        <sz val="11"/>
        <rFont val="Times New Roman"/>
        <family val="1"/>
      </rPr>
      <t>=</t>
    </r>
  </si>
  <si>
    <t>m</t>
  </si>
  <si>
    <r>
      <t>r</t>
    </r>
    <r>
      <rPr>
        <vertAlign val="subscript"/>
        <sz val="11"/>
        <rFont val="Times New Roman"/>
        <family val="1"/>
      </rPr>
      <t>1</t>
    </r>
    <r>
      <rPr>
        <sz val="11"/>
        <rFont val="Times New Roman"/>
        <family val="1"/>
      </rPr>
      <t>=</t>
    </r>
  </si>
  <si>
    <t>ac=</t>
  </si>
  <si>
    <t>df=</t>
  </si>
  <si>
    <t>ef=</t>
  </si>
  <si>
    <t>eg=</t>
  </si>
  <si>
    <t>fg=</t>
  </si>
  <si>
    <t>速度場</t>
  </si>
  <si>
    <t>支持力係数</t>
  </si>
  <si>
    <r>
      <t>N</t>
    </r>
    <r>
      <rPr>
        <i/>
        <vertAlign val="subscript"/>
        <sz val="11"/>
        <rFont val="Times New Roman"/>
        <family val="1"/>
      </rPr>
      <t>c</t>
    </r>
    <r>
      <rPr>
        <i/>
        <sz val="11"/>
        <rFont val="Times New Roman"/>
        <family val="1"/>
      </rPr>
      <t>=</t>
    </r>
  </si>
  <si>
    <r>
      <t>N</t>
    </r>
    <r>
      <rPr>
        <i/>
        <sz val="11"/>
        <rFont val="ＭＳ Ｐ明朝"/>
        <family val="1"/>
      </rPr>
      <t>γ</t>
    </r>
    <r>
      <rPr>
        <i/>
        <sz val="11"/>
        <rFont val="Times New Roman"/>
        <family val="1"/>
      </rPr>
      <t>=</t>
    </r>
  </si>
  <si>
    <t>安全率</t>
  </si>
  <si>
    <t>度</t>
  </si>
  <si>
    <r>
      <t>極限支持力は式</t>
    </r>
    <r>
      <rPr>
        <sz val="11"/>
        <rFont val="Times New Roman"/>
        <family val="1"/>
      </rPr>
      <t>(1)</t>
    </r>
    <r>
      <rPr>
        <sz val="11"/>
        <rFont val="ＭＳ 明朝"/>
        <family val="1"/>
      </rPr>
      <t>による。</t>
    </r>
  </si>
  <si>
    <t>ここに，</t>
  </si>
  <si>
    <t>B=</t>
  </si>
  <si>
    <t>S=</t>
  </si>
  <si>
    <r>
      <t>β</t>
    </r>
    <r>
      <rPr>
        <sz val="11"/>
        <rFont val="Times New Roman"/>
        <family val="1"/>
      </rPr>
      <t>=</t>
    </r>
  </si>
  <si>
    <t>V=</t>
  </si>
  <si>
    <t>H=</t>
  </si>
  <si>
    <t>e=</t>
  </si>
  <si>
    <t>q=</t>
  </si>
  <si>
    <r>
      <t>γ</t>
    </r>
    <r>
      <rPr>
        <sz val="11"/>
        <rFont val="Times New Roman"/>
        <family val="1"/>
      </rPr>
      <t>=</t>
    </r>
  </si>
  <si>
    <t>c=</t>
  </si>
  <si>
    <t>基礎寸法</t>
  </si>
  <si>
    <t>基礎長</t>
  </si>
  <si>
    <t>基礎形状</t>
  </si>
  <si>
    <t>斜面形状</t>
  </si>
  <si>
    <t>前方余裕</t>
  </si>
  <si>
    <t>傾斜角</t>
  </si>
  <si>
    <t>荷重条件</t>
  </si>
  <si>
    <t>地盤条件</t>
  </si>
  <si>
    <t>単位重量</t>
  </si>
  <si>
    <t>内部摩擦角</t>
  </si>
  <si>
    <t>粘着力</t>
  </si>
  <si>
    <t>荷重偏心量</t>
  </si>
  <si>
    <t>内部摩擦角</t>
  </si>
  <si>
    <t>L=</t>
  </si>
  <si>
    <t>m</t>
  </si>
  <si>
    <t>基礎形状</t>
  </si>
  <si>
    <t>α</t>
  </si>
  <si>
    <t>β</t>
  </si>
  <si>
    <t>帯　状</t>
  </si>
  <si>
    <t>正方形，円形</t>
  </si>
  <si>
    <t>長方形</t>
  </si>
  <si>
    <r>
      <t>c</t>
    </r>
    <r>
      <rPr>
        <sz val="11"/>
        <rFont val="ＭＳ 明朝"/>
        <family val="1"/>
      </rPr>
      <t>：地盤の粘着力</t>
    </r>
    <r>
      <rPr>
        <sz val="11"/>
        <rFont val="Times New Roman"/>
        <family val="1"/>
      </rPr>
      <t>(kN/m2)</t>
    </r>
  </si>
  <si>
    <r>
      <t>α，β</t>
    </r>
    <r>
      <rPr>
        <sz val="11"/>
        <rFont val="Times New Roman"/>
        <family val="1"/>
      </rPr>
      <t>:</t>
    </r>
    <r>
      <rPr>
        <sz val="11"/>
        <rFont val="ＭＳ 明朝"/>
        <family val="1"/>
      </rPr>
      <t>基礎の形状係数</t>
    </r>
  </si>
  <si>
    <t>表１形状係数</t>
  </si>
  <si>
    <r>
      <t>支持力係数は，速度場法</t>
    </r>
    <r>
      <rPr>
        <sz val="11"/>
        <rFont val="Times New Roman"/>
        <family val="1"/>
      </rPr>
      <t>(</t>
    </r>
    <r>
      <rPr>
        <sz val="11"/>
        <rFont val="ＭＳ 明朝"/>
        <family val="1"/>
      </rPr>
      <t>上界法</t>
    </r>
    <r>
      <rPr>
        <sz val="11"/>
        <rFont val="Times New Roman"/>
        <family val="1"/>
      </rPr>
      <t>)</t>
    </r>
    <r>
      <rPr>
        <sz val="11"/>
        <rFont val="ＭＳ 明朝"/>
        <family val="1"/>
      </rPr>
      <t>による．</t>
    </r>
  </si>
  <si>
    <t>有効載荷幅</t>
  </si>
  <si>
    <t>基礎の有効載荷面積</t>
  </si>
  <si>
    <t>基礎の形状係数</t>
  </si>
  <si>
    <t>(m)</t>
  </si>
  <si>
    <t>(m)</t>
  </si>
  <si>
    <t>(m2)</t>
  </si>
  <si>
    <t>荷重の傾斜角</t>
  </si>
  <si>
    <t>鉛直力</t>
  </si>
  <si>
    <t>水平力</t>
  </si>
  <si>
    <r>
      <t>α</t>
    </r>
    <r>
      <rPr>
        <sz val="11"/>
        <rFont val="Times New Roman"/>
        <family val="1"/>
      </rPr>
      <t>=</t>
    </r>
  </si>
  <si>
    <t>荷重傾斜</t>
  </si>
  <si>
    <r>
      <t>β</t>
    </r>
    <r>
      <rPr>
        <sz val="11"/>
        <rFont val="Times New Roman"/>
        <family val="1"/>
      </rPr>
      <t>=</t>
    </r>
  </si>
  <si>
    <t>すべり面の角度</t>
  </si>
  <si>
    <r>
      <t>γ</t>
    </r>
    <r>
      <rPr>
        <sz val="11"/>
        <rFont val="ＭＳ 明朝"/>
        <family val="1"/>
      </rPr>
      <t>：支持地盤の単位体積重量</t>
    </r>
    <r>
      <rPr>
        <sz val="11"/>
        <rFont val="Times New Roman"/>
        <family val="1"/>
      </rPr>
      <t>(kN/m3)</t>
    </r>
  </si>
  <si>
    <t>tanθ=</t>
  </si>
  <si>
    <t>θ=</t>
  </si>
  <si>
    <t>rad</t>
  </si>
  <si>
    <t>Be=</t>
  </si>
  <si>
    <t>度</t>
  </si>
  <si>
    <t>すべり面の寸法</t>
  </si>
  <si>
    <r>
      <t xml:space="preserve"> </t>
    </r>
    <r>
      <rPr>
        <sz val="11"/>
        <rFont val="ＭＳ 明朝"/>
        <family val="1"/>
      </rPr>
      <t>支持力係数の寸法効果に対する補正係数</t>
    </r>
  </si>
  <si>
    <t>c*=</t>
  </si>
  <si>
    <t>q*=</t>
  </si>
  <si>
    <t>B*=</t>
  </si>
  <si>
    <t>極限支持力</t>
  </si>
  <si>
    <r>
      <t>S</t>
    </r>
    <r>
      <rPr>
        <i/>
        <vertAlign val="subscript"/>
        <sz val="11"/>
        <rFont val="Times New Roman"/>
        <family val="1"/>
      </rPr>
      <t>c</t>
    </r>
    <r>
      <rPr>
        <i/>
        <sz val="11"/>
        <rFont val="Times New Roman"/>
        <family val="1"/>
      </rPr>
      <t>=</t>
    </r>
  </si>
  <si>
    <r>
      <t>S</t>
    </r>
    <r>
      <rPr>
        <i/>
        <vertAlign val="subscript"/>
        <sz val="11"/>
        <rFont val="Times New Roman"/>
        <family val="1"/>
      </rPr>
      <t>q</t>
    </r>
    <r>
      <rPr>
        <i/>
        <sz val="11"/>
        <rFont val="Times New Roman"/>
        <family val="1"/>
      </rPr>
      <t>=</t>
    </r>
  </si>
  <si>
    <r>
      <t>S</t>
    </r>
    <r>
      <rPr>
        <i/>
        <sz val="11"/>
        <rFont val="ＭＳ Ｐ明朝"/>
        <family val="1"/>
      </rPr>
      <t>γ</t>
    </r>
    <r>
      <rPr>
        <i/>
        <sz val="11"/>
        <rFont val="Times New Roman"/>
        <family val="1"/>
      </rPr>
      <t>=</t>
    </r>
  </si>
  <si>
    <t>Qu=</t>
  </si>
  <si>
    <t>kN</t>
  </si>
  <si>
    <t>Fs=</t>
  </si>
  <si>
    <t>◆インプットデータ</t>
  </si>
  <si>
    <t>◆アウトプットデータ</t>
  </si>
  <si>
    <t>極限支持力</t>
  </si>
  <si>
    <t>qd=</t>
  </si>
  <si>
    <t>kN/m2</t>
  </si>
  <si>
    <t>極限支持力度</t>
  </si>
  <si>
    <r>
      <t>q</t>
    </r>
    <r>
      <rPr>
        <vertAlign val="subscript"/>
        <sz val="11"/>
        <rFont val="Times New Roman"/>
        <family val="1"/>
      </rPr>
      <t>d</t>
    </r>
    <r>
      <rPr>
        <sz val="11"/>
        <rFont val="Times New Roman"/>
        <family val="1"/>
      </rPr>
      <t>=</t>
    </r>
  </si>
  <si>
    <r>
      <t>α</t>
    </r>
    <r>
      <rPr>
        <sz val="11"/>
        <rFont val="Times New Roman"/>
        <family val="1"/>
      </rPr>
      <t>=</t>
    </r>
  </si>
  <si>
    <t>deg</t>
  </si>
  <si>
    <t>r1=</t>
  </si>
  <si>
    <t>ac=</t>
  </si>
  <si>
    <t>df=</t>
  </si>
  <si>
    <t>ef=</t>
  </si>
  <si>
    <t>eg=</t>
  </si>
  <si>
    <t>fg=</t>
  </si>
  <si>
    <t>X=</t>
  </si>
  <si>
    <t>N1=</t>
  </si>
  <si>
    <t>N2=</t>
  </si>
  <si>
    <t>N3=</t>
  </si>
  <si>
    <t>Nq=</t>
  </si>
  <si>
    <t>kN/m3</t>
  </si>
  <si>
    <t>α=</t>
  </si>
  <si>
    <t>極限支持力度</t>
  </si>
  <si>
    <t>r0=</t>
  </si>
  <si>
    <t>β=</t>
  </si>
  <si>
    <t>Ae=</t>
  </si>
  <si>
    <t>Sc=</t>
  </si>
  <si>
    <t>Nc=</t>
  </si>
  <si>
    <r>
      <t>S</t>
    </r>
    <r>
      <rPr>
        <sz val="11"/>
        <rFont val="ＭＳ Ｐ明朝"/>
        <family val="1"/>
      </rPr>
      <t>γ=</t>
    </r>
  </si>
  <si>
    <r>
      <t>ω</t>
    </r>
    <r>
      <rPr>
        <sz val="11"/>
        <rFont val="Times New Roman"/>
        <family val="1"/>
      </rPr>
      <t>=</t>
    </r>
  </si>
  <si>
    <r>
      <t>θ</t>
    </r>
    <r>
      <rPr>
        <sz val="11"/>
        <rFont val="Times New Roman"/>
        <family val="1"/>
      </rPr>
      <t>=</t>
    </r>
  </si>
  <si>
    <r>
      <t>ρ</t>
    </r>
    <r>
      <rPr>
        <sz val="11"/>
        <rFont val="Times New Roman"/>
        <family val="1"/>
      </rPr>
      <t>=</t>
    </r>
  </si>
  <si>
    <r>
      <t>ψ</t>
    </r>
    <r>
      <rPr>
        <sz val="11"/>
        <rFont val="Times New Roman"/>
        <family val="1"/>
      </rPr>
      <t>=</t>
    </r>
  </si>
  <si>
    <r>
      <t>ε</t>
    </r>
    <r>
      <rPr>
        <sz val="11"/>
        <rFont val="Times New Roman"/>
        <family val="1"/>
      </rPr>
      <t>=</t>
    </r>
  </si>
  <si>
    <r>
      <t>ζ</t>
    </r>
    <r>
      <rPr>
        <sz val="11"/>
        <rFont val="Times New Roman"/>
        <family val="1"/>
      </rPr>
      <t>=</t>
    </r>
  </si>
  <si>
    <r>
      <t>η</t>
    </r>
    <r>
      <rPr>
        <sz val="11"/>
        <rFont val="Times New Roman"/>
        <family val="1"/>
      </rPr>
      <t>=</t>
    </r>
  </si>
  <si>
    <r>
      <t>tan</t>
    </r>
    <r>
      <rPr>
        <sz val="11"/>
        <rFont val="ＭＳ Ｐ明朝"/>
        <family val="1"/>
      </rPr>
      <t>φ</t>
    </r>
    <r>
      <rPr>
        <sz val="11"/>
        <rFont val="Times New Roman"/>
        <family val="1"/>
      </rPr>
      <t>=</t>
    </r>
  </si>
  <si>
    <r>
      <t>N</t>
    </r>
    <r>
      <rPr>
        <sz val="11"/>
        <rFont val="ＭＳ Ｐ明朝"/>
        <family val="1"/>
      </rPr>
      <t>γ</t>
    </r>
    <r>
      <rPr>
        <sz val="11"/>
        <rFont val="Times New Roman"/>
        <family val="1"/>
      </rPr>
      <t>=</t>
    </r>
  </si>
  <si>
    <t>１．　計算条件</t>
  </si>
  <si>
    <r>
      <t>B</t>
    </r>
    <r>
      <rPr>
        <sz val="11"/>
        <rFont val="Times New Roman"/>
        <family val="1"/>
      </rPr>
      <t>=</t>
    </r>
  </si>
  <si>
    <r>
      <t>L</t>
    </r>
    <r>
      <rPr>
        <sz val="11"/>
        <rFont val="Times New Roman"/>
        <family val="1"/>
      </rPr>
      <t>=</t>
    </r>
  </si>
  <si>
    <r>
      <t>S</t>
    </r>
    <r>
      <rPr>
        <sz val="11"/>
        <rFont val="Times New Roman"/>
        <family val="1"/>
      </rPr>
      <t>=</t>
    </r>
  </si>
  <si>
    <r>
      <t>V</t>
    </r>
    <r>
      <rPr>
        <sz val="11"/>
        <rFont val="Times New Roman"/>
        <family val="1"/>
      </rPr>
      <t>=</t>
    </r>
  </si>
  <si>
    <r>
      <t>H</t>
    </r>
    <r>
      <rPr>
        <sz val="11"/>
        <rFont val="Times New Roman"/>
        <family val="1"/>
      </rPr>
      <t>=</t>
    </r>
  </si>
  <si>
    <r>
      <t>e</t>
    </r>
    <r>
      <rPr>
        <i/>
        <vertAlign val="subscript"/>
        <sz val="11"/>
        <rFont val="Times New Roman"/>
        <family val="1"/>
      </rPr>
      <t>B</t>
    </r>
    <r>
      <rPr>
        <sz val="11"/>
        <rFont val="Times New Roman"/>
        <family val="1"/>
      </rPr>
      <t>=</t>
    </r>
  </si>
  <si>
    <r>
      <t>q</t>
    </r>
    <r>
      <rPr>
        <sz val="11"/>
        <rFont val="Times New Roman"/>
        <family val="1"/>
      </rPr>
      <t>=</t>
    </r>
  </si>
  <si>
    <r>
      <t>c</t>
    </r>
    <r>
      <rPr>
        <sz val="11"/>
        <rFont val="Times New Roman"/>
        <family val="1"/>
      </rPr>
      <t>=</t>
    </r>
  </si>
  <si>
    <t>２．　支持力算定式</t>
  </si>
  <si>
    <r>
      <t>Q</t>
    </r>
    <r>
      <rPr>
        <i/>
        <vertAlign val="subscript"/>
        <sz val="11"/>
        <rFont val="Times New Roman"/>
        <family val="1"/>
      </rPr>
      <t>u</t>
    </r>
    <r>
      <rPr>
        <sz val="11"/>
        <rFont val="ＭＳ 明朝"/>
        <family val="1"/>
      </rPr>
      <t>：荷重の偏心傾斜，支持力係数の寸法効果を考慮した地盤の極限支持力</t>
    </r>
    <r>
      <rPr>
        <sz val="11"/>
        <rFont val="Times New Roman"/>
        <family val="1"/>
      </rPr>
      <t xml:space="preserve">(kN) </t>
    </r>
  </si>
  <si>
    <r>
      <t>A</t>
    </r>
    <r>
      <rPr>
        <i/>
        <vertAlign val="subscript"/>
        <sz val="11"/>
        <rFont val="Times New Roman"/>
        <family val="1"/>
      </rPr>
      <t>e</t>
    </r>
    <r>
      <rPr>
        <sz val="11"/>
        <rFont val="ＭＳ 明朝"/>
        <family val="1"/>
      </rPr>
      <t>：有効載荷面積</t>
    </r>
    <r>
      <rPr>
        <sz val="11"/>
        <rFont val="Times New Roman"/>
        <family val="1"/>
      </rPr>
      <t>(m2)</t>
    </r>
  </si>
  <si>
    <r>
      <t>B</t>
    </r>
    <r>
      <rPr>
        <i/>
        <vertAlign val="subscript"/>
        <sz val="11"/>
        <rFont val="Times New Roman"/>
        <family val="1"/>
      </rPr>
      <t>e</t>
    </r>
    <r>
      <rPr>
        <sz val="11"/>
        <rFont val="ＭＳ 明朝"/>
        <family val="1"/>
      </rPr>
      <t>，</t>
    </r>
    <r>
      <rPr>
        <i/>
        <sz val="11"/>
        <rFont val="Times New Roman"/>
        <family val="1"/>
      </rPr>
      <t>L</t>
    </r>
    <r>
      <rPr>
        <i/>
        <vertAlign val="subscript"/>
        <sz val="11"/>
        <rFont val="Times New Roman"/>
        <family val="1"/>
      </rPr>
      <t>e</t>
    </r>
    <r>
      <rPr>
        <sz val="11"/>
        <rFont val="ＭＳ 明朝"/>
        <family val="1"/>
      </rPr>
      <t>：荷重の偏心を考慮した基礎の有効載荷幅</t>
    </r>
    <r>
      <rPr>
        <sz val="11"/>
        <rFont val="Times New Roman"/>
        <family val="1"/>
      </rPr>
      <t>(m)</t>
    </r>
  </si>
  <si>
    <r>
      <t>B</t>
    </r>
    <r>
      <rPr>
        <sz val="11"/>
        <rFont val="ＭＳ 明朝"/>
        <family val="1"/>
      </rPr>
      <t>，</t>
    </r>
    <r>
      <rPr>
        <i/>
        <sz val="11"/>
        <rFont val="Times New Roman"/>
        <family val="1"/>
      </rPr>
      <t>L</t>
    </r>
    <r>
      <rPr>
        <sz val="11"/>
        <rFont val="ＭＳ 明朝"/>
        <family val="1"/>
      </rPr>
      <t>：基礎幅</t>
    </r>
    <r>
      <rPr>
        <sz val="11"/>
        <rFont val="Times New Roman"/>
        <family val="1"/>
      </rPr>
      <t>(m)</t>
    </r>
  </si>
  <si>
    <r>
      <t>e</t>
    </r>
    <r>
      <rPr>
        <i/>
        <vertAlign val="subscript"/>
        <sz val="11"/>
        <rFont val="Times New Roman"/>
        <family val="1"/>
      </rPr>
      <t>B</t>
    </r>
    <r>
      <rPr>
        <sz val="11"/>
        <rFont val="Times New Roman"/>
        <family val="1"/>
      </rPr>
      <t xml:space="preserve"> </t>
    </r>
    <r>
      <rPr>
        <sz val="11"/>
        <rFont val="ＭＳ 明朝"/>
        <family val="1"/>
      </rPr>
      <t>，</t>
    </r>
    <r>
      <rPr>
        <i/>
        <sz val="11"/>
        <rFont val="Times New Roman"/>
        <family val="1"/>
      </rPr>
      <t>e</t>
    </r>
    <r>
      <rPr>
        <i/>
        <vertAlign val="subscript"/>
        <sz val="11"/>
        <rFont val="Times New Roman"/>
        <family val="1"/>
      </rPr>
      <t>L</t>
    </r>
    <r>
      <rPr>
        <sz val="11"/>
        <rFont val="ＭＳ 明朝"/>
        <family val="1"/>
      </rPr>
      <t>：荷重の偏心量</t>
    </r>
    <r>
      <rPr>
        <sz val="11"/>
        <rFont val="Times New Roman"/>
        <family val="1"/>
      </rPr>
      <t>(m)</t>
    </r>
  </si>
  <si>
    <r>
      <t>L</t>
    </r>
    <r>
      <rPr>
        <sz val="11"/>
        <rFont val="ＭＳ 明朝"/>
        <family val="1"/>
      </rPr>
      <t>：基礎幅</t>
    </r>
    <r>
      <rPr>
        <sz val="11"/>
        <rFont val="Times New Roman"/>
        <family val="1"/>
      </rPr>
      <t>(m)</t>
    </r>
  </si>
  <si>
    <r>
      <t>c</t>
    </r>
    <r>
      <rPr>
        <sz val="11"/>
        <rFont val="Times New Roman"/>
        <family val="1"/>
      </rPr>
      <t>*</t>
    </r>
    <r>
      <rPr>
        <sz val="11"/>
        <rFont val="ＭＳ 明朝"/>
        <family val="1"/>
      </rPr>
      <t>：</t>
    </r>
    <r>
      <rPr>
        <i/>
        <sz val="11"/>
        <rFont val="Times New Roman"/>
        <family val="1"/>
      </rPr>
      <t>c</t>
    </r>
    <r>
      <rPr>
        <sz val="11"/>
        <rFont val="Times New Roman"/>
        <family val="1"/>
      </rPr>
      <t>*=</t>
    </r>
    <r>
      <rPr>
        <i/>
        <sz val="11"/>
        <rFont val="Times New Roman"/>
        <family val="1"/>
      </rPr>
      <t>c</t>
    </r>
    <r>
      <rPr>
        <sz val="11"/>
        <rFont val="Times New Roman"/>
        <family val="1"/>
      </rPr>
      <t>/</t>
    </r>
    <r>
      <rPr>
        <i/>
        <sz val="11"/>
        <rFont val="Times New Roman"/>
        <family val="1"/>
      </rPr>
      <t>c</t>
    </r>
    <r>
      <rPr>
        <vertAlign val="subscript"/>
        <sz val="11"/>
        <rFont val="Times New Roman"/>
        <family val="1"/>
      </rPr>
      <t>0</t>
    </r>
    <r>
      <rPr>
        <sz val="11"/>
        <rFont val="ＭＳ 明朝"/>
        <family val="1"/>
      </rPr>
      <t>，ただし，</t>
    </r>
    <r>
      <rPr>
        <sz val="11"/>
        <rFont val="Times New Roman"/>
        <family val="1"/>
      </rPr>
      <t>1</t>
    </r>
    <r>
      <rPr>
        <sz val="11"/>
        <rFont val="ＭＳ 明朝"/>
        <family val="1"/>
      </rPr>
      <t>≦</t>
    </r>
    <r>
      <rPr>
        <i/>
        <sz val="11"/>
        <rFont val="Times New Roman"/>
        <family val="1"/>
      </rPr>
      <t>c</t>
    </r>
    <r>
      <rPr>
        <sz val="11"/>
        <rFont val="Times New Roman"/>
        <family val="1"/>
      </rPr>
      <t>*</t>
    </r>
    <r>
      <rPr>
        <sz val="11"/>
        <rFont val="ＭＳ 明朝"/>
        <family val="1"/>
      </rPr>
      <t>≦</t>
    </r>
    <r>
      <rPr>
        <sz val="11"/>
        <rFont val="Times New Roman"/>
        <family val="1"/>
      </rPr>
      <t>10</t>
    </r>
    <r>
      <rPr>
        <sz val="11"/>
        <rFont val="ＭＳ 明朝"/>
        <family val="1"/>
      </rPr>
      <t>，</t>
    </r>
    <r>
      <rPr>
        <i/>
        <sz val="11"/>
        <rFont val="Times New Roman"/>
        <family val="1"/>
      </rPr>
      <t>c</t>
    </r>
    <r>
      <rPr>
        <vertAlign val="subscript"/>
        <sz val="11"/>
        <rFont val="Times New Roman"/>
        <family val="1"/>
      </rPr>
      <t>0</t>
    </r>
    <r>
      <rPr>
        <sz val="11"/>
        <rFont val="Times New Roman"/>
        <family val="1"/>
      </rPr>
      <t>=10(kN/m2)</t>
    </r>
  </si>
  <si>
    <r>
      <t>B</t>
    </r>
    <r>
      <rPr>
        <sz val="11"/>
        <rFont val="Times New Roman"/>
        <family val="1"/>
      </rPr>
      <t>*</t>
    </r>
    <r>
      <rPr>
        <sz val="11"/>
        <rFont val="ＭＳ 明朝"/>
        <family val="1"/>
      </rPr>
      <t>：</t>
    </r>
    <r>
      <rPr>
        <i/>
        <sz val="11"/>
        <rFont val="Times New Roman"/>
        <family val="1"/>
      </rPr>
      <t>B</t>
    </r>
    <r>
      <rPr>
        <sz val="11"/>
        <rFont val="Times New Roman"/>
        <family val="1"/>
      </rPr>
      <t>*=</t>
    </r>
    <r>
      <rPr>
        <i/>
        <sz val="11"/>
        <rFont val="Times New Roman"/>
        <family val="1"/>
      </rPr>
      <t>B</t>
    </r>
    <r>
      <rPr>
        <i/>
        <vertAlign val="subscript"/>
        <sz val="11"/>
        <rFont val="Times New Roman"/>
        <family val="1"/>
      </rPr>
      <t>e</t>
    </r>
    <r>
      <rPr>
        <sz val="11"/>
        <rFont val="Times New Roman"/>
        <family val="1"/>
      </rPr>
      <t>/</t>
    </r>
    <r>
      <rPr>
        <i/>
        <sz val="11"/>
        <rFont val="Times New Roman"/>
        <family val="1"/>
      </rPr>
      <t>B</t>
    </r>
    <r>
      <rPr>
        <vertAlign val="subscript"/>
        <sz val="11"/>
        <rFont val="Times New Roman"/>
        <family val="1"/>
      </rPr>
      <t>0</t>
    </r>
    <r>
      <rPr>
        <sz val="11"/>
        <rFont val="ＭＳ 明朝"/>
        <family val="1"/>
      </rPr>
      <t>，ただし，</t>
    </r>
    <r>
      <rPr>
        <sz val="11"/>
        <rFont val="Times New Roman"/>
        <family val="1"/>
      </rPr>
      <t>1</t>
    </r>
    <r>
      <rPr>
        <sz val="11"/>
        <rFont val="ＭＳ 明朝"/>
        <family val="1"/>
      </rPr>
      <t>≦</t>
    </r>
    <r>
      <rPr>
        <i/>
        <sz val="11"/>
        <rFont val="Times New Roman"/>
        <family val="1"/>
      </rPr>
      <t>B</t>
    </r>
    <r>
      <rPr>
        <sz val="11"/>
        <rFont val="Times New Roman"/>
        <family val="1"/>
      </rPr>
      <t>*</t>
    </r>
    <r>
      <rPr>
        <sz val="11"/>
        <rFont val="ＭＳ 明朝"/>
        <family val="1"/>
      </rPr>
      <t>，</t>
    </r>
    <r>
      <rPr>
        <i/>
        <sz val="11"/>
        <rFont val="Times New Roman"/>
        <family val="1"/>
      </rPr>
      <t>B</t>
    </r>
    <r>
      <rPr>
        <vertAlign val="subscript"/>
        <sz val="11"/>
        <rFont val="Times New Roman"/>
        <family val="1"/>
      </rPr>
      <t>0</t>
    </r>
    <r>
      <rPr>
        <sz val="11"/>
        <rFont val="Times New Roman"/>
        <family val="1"/>
      </rPr>
      <t>=1(m)</t>
    </r>
  </si>
  <si>
    <t>３．　支持力の計算</t>
  </si>
  <si>
    <r>
      <t>(</t>
    </r>
    <r>
      <rPr>
        <sz val="11"/>
        <rFont val="ＭＳ Ｐ明朝"/>
        <family val="1"/>
      </rPr>
      <t>注1)すべり面が適切に描かれていることを確認して下さい．</t>
    </r>
  </si>
  <si>
    <r>
      <t>(</t>
    </r>
    <r>
      <rPr>
        <sz val="11"/>
        <rFont val="ＭＳ Ｐ明朝"/>
        <family val="1"/>
      </rPr>
      <t>注2)データ入力後必ずソルバーを実行して下さい．</t>
    </r>
  </si>
  <si>
    <r>
      <t>(</t>
    </r>
    <r>
      <rPr>
        <sz val="11"/>
        <rFont val="ＭＳ Ｐ明朝"/>
        <family val="1"/>
      </rPr>
      <t>注3)c，φが小さすぎると支持力が求まりません．</t>
    </r>
  </si>
  <si>
    <r>
      <t>(</t>
    </r>
    <r>
      <rPr>
        <sz val="11"/>
        <rFont val="ＭＳ Ｐ明朝"/>
        <family val="1"/>
      </rPr>
      <t>注</t>
    </r>
    <r>
      <rPr>
        <sz val="11"/>
        <rFont val="Times New Roman"/>
        <family val="1"/>
      </rPr>
      <t>4</t>
    </r>
    <r>
      <rPr>
        <sz val="11"/>
        <rFont val="ＭＳ Ｐ明朝"/>
        <family val="1"/>
      </rPr>
      <t>)すべり角の初期値が不適切であれば正解が求まらないことがあります．</t>
    </r>
  </si>
  <si>
    <r>
      <t>(</t>
    </r>
    <r>
      <rPr>
        <sz val="11"/>
        <rFont val="ＭＳ Ｐ明朝"/>
        <family val="1"/>
      </rPr>
      <t>速度場法)</t>
    </r>
  </si>
  <si>
    <r>
      <t>極限荷重の縮尺</t>
    </r>
    <r>
      <rPr>
        <sz val="11"/>
        <rFont val="Times New Roman"/>
        <family val="1"/>
      </rPr>
      <t>1:</t>
    </r>
  </si>
  <si>
    <t>　傾斜地盤支持力</t>
  </si>
  <si>
    <r>
      <t>N</t>
    </r>
    <r>
      <rPr>
        <i/>
        <vertAlign val="subscript"/>
        <sz val="11"/>
        <rFont val="Times New Roman"/>
        <family val="1"/>
      </rPr>
      <t>c</t>
    </r>
    <r>
      <rPr>
        <sz val="11"/>
        <rFont val="ＭＳ 明朝"/>
        <family val="1"/>
      </rPr>
      <t>，</t>
    </r>
    <r>
      <rPr>
        <i/>
        <sz val="11"/>
        <rFont val="Times New Roman"/>
        <family val="1"/>
      </rPr>
      <t>Nq</t>
    </r>
    <r>
      <rPr>
        <sz val="11"/>
        <rFont val="ＭＳ 明朝"/>
        <family val="1"/>
      </rPr>
      <t>，</t>
    </r>
    <r>
      <rPr>
        <i/>
        <sz val="11"/>
        <rFont val="Times New Roman"/>
        <family val="1"/>
      </rPr>
      <t>N</t>
    </r>
    <r>
      <rPr>
        <vertAlign val="subscript"/>
        <sz val="11"/>
        <rFont val="ＭＳ 明朝"/>
        <family val="1"/>
      </rPr>
      <t>γ</t>
    </r>
    <r>
      <rPr>
        <sz val="11"/>
        <rFont val="ＭＳ 明朝"/>
        <family val="1"/>
      </rPr>
      <t>：荷重の傾斜を考慮した支持力係数</t>
    </r>
  </si>
  <si>
    <t>上載荷重</t>
  </si>
  <si>
    <t>λ，ν，μ：寸法効果の程度を表す係数</t>
  </si>
  <si>
    <r>
      <t>λ</t>
    </r>
    <r>
      <rPr>
        <sz val="11"/>
        <rFont val="Times New Roman"/>
        <family val="1"/>
      </rPr>
      <t>=</t>
    </r>
    <r>
      <rPr>
        <sz val="11"/>
        <rFont val="ＭＳ 明朝"/>
        <family val="1"/>
      </rPr>
      <t>ν</t>
    </r>
    <r>
      <rPr>
        <sz val="11"/>
        <rFont val="Times New Roman"/>
        <family val="1"/>
      </rPr>
      <t>=</t>
    </r>
    <r>
      <rPr>
        <sz val="11"/>
        <rFont val="ＭＳ 明朝"/>
        <family val="1"/>
      </rPr>
      <t>μ</t>
    </r>
    <r>
      <rPr>
        <sz val="11"/>
        <rFont val="Times New Roman"/>
        <family val="1"/>
      </rPr>
      <t>=</t>
    </r>
    <r>
      <rPr>
        <sz val="11"/>
        <rFont val="ＭＳ 明朝"/>
        <family val="1"/>
      </rPr>
      <t>－</t>
    </r>
    <r>
      <rPr>
        <sz val="11"/>
        <rFont val="Times New Roman"/>
        <family val="1"/>
      </rPr>
      <t>1/3</t>
    </r>
  </si>
  <si>
    <r>
      <t>q</t>
    </r>
    <r>
      <rPr>
        <sz val="11"/>
        <rFont val="Times New Roman"/>
        <family val="1"/>
      </rPr>
      <t>*</t>
    </r>
    <r>
      <rPr>
        <sz val="11"/>
        <rFont val="ＭＳ 明朝"/>
        <family val="1"/>
      </rPr>
      <t>：</t>
    </r>
    <r>
      <rPr>
        <i/>
        <sz val="11"/>
        <rFont val="Times New Roman"/>
        <family val="1"/>
      </rPr>
      <t>q</t>
    </r>
    <r>
      <rPr>
        <sz val="11"/>
        <rFont val="Times New Roman"/>
        <family val="1"/>
      </rPr>
      <t>*=</t>
    </r>
    <r>
      <rPr>
        <i/>
        <sz val="11"/>
        <rFont val="Times New Roman"/>
        <family val="1"/>
      </rPr>
      <t>q</t>
    </r>
    <r>
      <rPr>
        <sz val="11"/>
        <rFont val="Times New Roman"/>
        <family val="1"/>
      </rPr>
      <t>/</t>
    </r>
    <r>
      <rPr>
        <i/>
        <sz val="11"/>
        <rFont val="Times New Roman"/>
        <family val="1"/>
      </rPr>
      <t>q</t>
    </r>
    <r>
      <rPr>
        <vertAlign val="subscript"/>
        <sz val="11"/>
        <rFont val="Times New Roman"/>
        <family val="1"/>
      </rPr>
      <t>0</t>
    </r>
    <r>
      <rPr>
        <sz val="11"/>
        <rFont val="ＭＳ 明朝"/>
        <family val="1"/>
      </rPr>
      <t>，ただし，</t>
    </r>
    <r>
      <rPr>
        <sz val="11"/>
        <rFont val="Times New Roman"/>
        <family val="1"/>
      </rPr>
      <t>1</t>
    </r>
    <r>
      <rPr>
        <sz val="11"/>
        <rFont val="ＭＳ 明朝"/>
        <family val="1"/>
      </rPr>
      <t>≦</t>
    </r>
    <r>
      <rPr>
        <i/>
        <sz val="11"/>
        <rFont val="Times New Roman"/>
        <family val="1"/>
      </rPr>
      <t>q</t>
    </r>
    <r>
      <rPr>
        <sz val="11"/>
        <rFont val="Times New Roman"/>
        <family val="1"/>
      </rPr>
      <t>*</t>
    </r>
    <r>
      <rPr>
        <sz val="11"/>
        <rFont val="ＭＳ 明朝"/>
        <family val="1"/>
      </rPr>
      <t>≦</t>
    </r>
    <r>
      <rPr>
        <sz val="11"/>
        <rFont val="Times New Roman"/>
        <family val="1"/>
      </rPr>
      <t>10</t>
    </r>
    <r>
      <rPr>
        <sz val="11"/>
        <rFont val="ＭＳ 明朝"/>
        <family val="1"/>
      </rPr>
      <t>，</t>
    </r>
    <r>
      <rPr>
        <i/>
        <sz val="11"/>
        <rFont val="Times New Roman"/>
        <family val="1"/>
      </rPr>
      <t>q</t>
    </r>
    <r>
      <rPr>
        <vertAlign val="subscript"/>
        <sz val="11"/>
        <rFont val="Times New Roman"/>
        <family val="1"/>
      </rPr>
      <t>0</t>
    </r>
    <r>
      <rPr>
        <sz val="11"/>
        <rFont val="Times New Roman"/>
        <family val="1"/>
      </rPr>
      <t>=10(kN/m2)</t>
    </r>
  </si>
  <si>
    <r>
      <t>q</t>
    </r>
    <r>
      <rPr>
        <sz val="11"/>
        <rFont val="ＭＳ 明朝"/>
        <family val="1"/>
      </rPr>
      <t>：上載荷重</t>
    </r>
    <r>
      <rPr>
        <sz val="11"/>
        <rFont val="Times New Roman"/>
        <family val="1"/>
      </rPr>
      <t xml:space="preserve">(kN/m2) </t>
    </r>
  </si>
  <si>
    <r>
      <t>N</t>
    </r>
    <r>
      <rPr>
        <i/>
        <vertAlign val="subscript"/>
        <sz val="11"/>
        <rFont val="Times New Roman"/>
        <family val="1"/>
      </rPr>
      <t>q</t>
    </r>
    <r>
      <rPr>
        <i/>
        <sz val="11"/>
        <rFont val="Times New Roman"/>
        <family val="1"/>
      </rPr>
      <t>=</t>
    </r>
  </si>
  <si>
    <t>Sq=</t>
  </si>
  <si>
    <t>qd=</t>
  </si>
  <si>
    <t>初期値</t>
  </si>
  <si>
    <t>■ソルバーの実行</t>
  </si>
  <si>
    <t>　このプログラムはデータを入力しただけでは計算されません．データ入力後に必ずソルバーを実行して下さい．</t>
  </si>
  <si>
    <t>　メニューバーの中のツール(T)をクリックすると，図－１のようにドロップダウンリストが現れます。</t>
  </si>
  <si>
    <t>　その中のソルバー(V)をクリックして下さい．</t>
  </si>
  <si>
    <t>図－１</t>
  </si>
  <si>
    <t>ツールのドロップダウンリスト</t>
  </si>
  <si>
    <t>　図－２のように「ソルバー：パラメータ設定」と書かれたダイアログボックスが現れます。</t>
  </si>
  <si>
    <t>「実行(S)」ボタンをクリックして下さい。</t>
  </si>
  <si>
    <t>図－２　ソルバーのダイアログボックス</t>
  </si>
  <si>
    <t>　「実行(S)」ボタンをクリックすると．「ソルバー：探索結果」のダイアログボックスが現れます</t>
  </si>
  <si>
    <t>　「OK」ボタンをクリックして下さい．</t>
  </si>
  <si>
    <t>図－３　ソルバー探索結果のダイアログボックス</t>
  </si>
  <si>
    <t>■ドロップダウンリストにソルバーがない場合</t>
  </si>
  <si>
    <t>　メニューバーの中のツール(T)をクリックすると，図－４のようにドロップダウンリストが現れます。</t>
  </si>
  <si>
    <t>　その中のアドイン(I)をクリックして下さい．</t>
  </si>
  <si>
    <t>図－４</t>
  </si>
  <si>
    <t>アドインのダイアログボックスの中のソルバーにレ印を入れて下さい。</t>
  </si>
  <si>
    <t>図－５</t>
  </si>
  <si>
    <t>アドインのドロップダウンリスト</t>
  </si>
  <si>
    <t>傾斜地盤の支持力</t>
  </si>
  <si>
    <r>
      <t xml:space="preserve"> </t>
    </r>
    <r>
      <rPr>
        <i/>
        <sz val="11"/>
        <rFont val="Times New Roman"/>
        <family val="1"/>
      </rPr>
      <t>S</t>
    </r>
    <r>
      <rPr>
        <i/>
        <vertAlign val="subscript"/>
        <sz val="11"/>
        <rFont val="Times New Roman"/>
        <family val="1"/>
      </rPr>
      <t>c</t>
    </r>
    <r>
      <rPr>
        <sz val="11"/>
        <rFont val="ＭＳ 明朝"/>
        <family val="1"/>
      </rPr>
      <t>，</t>
    </r>
    <r>
      <rPr>
        <i/>
        <sz val="11"/>
        <rFont val="Times New Roman"/>
        <family val="1"/>
      </rPr>
      <t>S</t>
    </r>
    <r>
      <rPr>
        <i/>
        <vertAlign val="subscript"/>
        <sz val="11"/>
        <rFont val="Times New Roman"/>
        <family val="1"/>
      </rPr>
      <t>q</t>
    </r>
    <r>
      <rPr>
        <sz val="11"/>
        <rFont val="ＭＳ 明朝"/>
        <family val="1"/>
      </rPr>
      <t>，</t>
    </r>
    <r>
      <rPr>
        <i/>
        <sz val="11"/>
        <rFont val="Times New Roman"/>
        <family val="1"/>
      </rPr>
      <t>S</t>
    </r>
    <r>
      <rPr>
        <vertAlign val="subscript"/>
        <sz val="11"/>
        <rFont val="ＭＳ 明朝"/>
        <family val="1"/>
      </rPr>
      <t>γ</t>
    </r>
    <r>
      <rPr>
        <sz val="11"/>
        <rFont val="ＭＳ 明朝"/>
        <family val="1"/>
      </rPr>
      <t>：支持力係数の寸法効果に対する補正係数</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</si>
</sst>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000000"/>
    <numFmt numFmtId="181" formatCode="0.0000000"/>
    <numFmt numFmtId="182" formatCode="0.000000"/>
    <numFmt numFmtId="183" formatCode="0.00_);[Red]\(0.00\)"/>
    <numFmt numFmtId="184" formatCode="0.0_);[Red]\(0.0\)"/>
    <numFmt numFmtId="185" formatCode="0.0_ "/>
    <numFmt numFmtId="186" formatCode="0.00000000000000_);[Red]\(0.00000000000000\)"/>
    <numFmt numFmtId="187" formatCode="0.0000000000000_);[Red]\(0.0000000000000\)"/>
    <numFmt numFmtId="188" formatCode="0.000000000000_);[Red]\(0.000000000000\)"/>
    <numFmt numFmtId="189" formatCode="0.00000000000_);[Red]\(0.00000000000\)"/>
    <numFmt numFmtId="190" formatCode="0.0000000000_);[Red]\(0.0000000000\)"/>
    <numFmt numFmtId="191" formatCode="0.000000000_);[Red]\(0.000000000\)"/>
    <numFmt numFmtId="192" formatCode="0.00000000_);[Red]\(0.00000000\)"/>
    <numFmt numFmtId="193" formatCode="0.0000000_);[Red]\(0.0000000\)"/>
    <numFmt numFmtId="194" formatCode="0.000000_);[Red]\(0.000000\)"/>
  </numFmts>
  <fonts count="68">
    <font>
      <sz val="11"/>
      <name val="ＭＳ 明朝"/>
      <family val="1"/>
    </font>
    <font>
      <sz val="6"/>
      <name val="ＭＳ 明朝"/>
      <family val="1"/>
    </font>
    <font>
      <sz val="11"/>
      <color indexed="10"/>
      <name val="ＭＳ 明朝"/>
      <family val="1"/>
    </font>
    <font>
      <sz val="11"/>
      <name val="Times New Roman"/>
      <family val="1"/>
    </font>
    <font>
      <sz val="11"/>
      <name val="ＭＳ Ｐ明朝"/>
      <family val="1"/>
    </font>
    <font>
      <i/>
      <sz val="11"/>
      <name val="Times New Roman"/>
      <family val="1"/>
    </font>
    <font>
      <i/>
      <sz val="11"/>
      <name val="ＭＳ Ｐ明朝"/>
      <family val="1"/>
    </font>
    <font>
      <vertAlign val="superscript"/>
      <sz val="11"/>
      <name val="Times New Roman"/>
      <family val="1"/>
    </font>
    <font>
      <vertAlign val="subscript"/>
      <sz val="11"/>
      <name val="Times New Roman"/>
      <family val="1"/>
    </font>
    <font>
      <i/>
      <vertAlign val="subscript"/>
      <sz val="11"/>
      <name val="Times New Roman"/>
      <family val="1"/>
    </font>
    <font>
      <sz val="11"/>
      <color indexed="10"/>
      <name val="ＭＳ Ｐ明朝"/>
      <family val="1"/>
    </font>
    <font>
      <sz val="11"/>
      <color indexed="8"/>
      <name val="ＭＳ Ｐ明朝"/>
      <family val="1"/>
    </font>
    <font>
      <u val="single"/>
      <sz val="11"/>
      <color indexed="8"/>
      <name val="ＭＳ Ｐ明朝"/>
      <family val="1"/>
    </font>
    <font>
      <b/>
      <sz val="11"/>
      <color indexed="17"/>
      <name val="ＭＳ 明朝"/>
      <family val="1"/>
    </font>
    <font>
      <u val="single"/>
      <sz val="11"/>
      <color indexed="12"/>
      <name val="ＭＳ 明朝"/>
      <family val="1"/>
    </font>
    <font>
      <u val="single"/>
      <sz val="11"/>
      <color indexed="36"/>
      <name val="ＭＳ 明朝"/>
      <family val="1"/>
    </font>
    <font>
      <i/>
      <sz val="11"/>
      <name val="ＭＳ 明朝"/>
      <family val="1"/>
    </font>
    <font>
      <sz val="11"/>
      <name val="ＭＳ Ｐゴシック"/>
      <family val="3"/>
    </font>
    <font>
      <sz val="6"/>
      <name val="ＭＳ Ｐゴシック"/>
      <family val="3"/>
    </font>
    <font>
      <sz val="12"/>
      <name val="ＭＳ Ｐゴシック"/>
      <family val="3"/>
    </font>
    <font>
      <sz val="6"/>
      <name val="ＭＳ Ｐ明朝"/>
      <family val="1"/>
    </font>
    <font>
      <sz val="11"/>
      <color indexed="42"/>
      <name val="ＭＳ 明朝"/>
      <family val="1"/>
    </font>
    <font>
      <sz val="11"/>
      <color indexed="42"/>
      <name val="Times New Roman"/>
      <family val="1"/>
    </font>
    <font>
      <vertAlign val="subscript"/>
      <sz val="11"/>
      <name val="ＭＳ 明朝"/>
      <family val="1"/>
    </font>
    <font>
      <sz val="10"/>
      <name val="ＭＳ 明朝"/>
      <family val="1"/>
    </font>
    <font>
      <b/>
      <sz val="11"/>
      <name val="ＭＳ Ｐゴシック"/>
      <family val="3"/>
    </font>
    <font>
      <sz val="14"/>
      <color indexed="61"/>
      <name val="ＭＳ Ｐゴシック"/>
      <family val="3"/>
    </font>
    <font>
      <sz val="9"/>
      <name val="ＭＳ Ｐゴシック"/>
      <family val="3"/>
    </font>
    <font>
      <b/>
      <sz val="12"/>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indexed="8"/>
      <name val="Times New Roman"/>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pplyNumberFormat="0" applyFill="0" applyBorder="0" applyAlignment="0" applyProtection="0"/>
    <xf numFmtId="0" fontId="66"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right"/>
    </xf>
    <xf numFmtId="0" fontId="3" fillId="0" borderId="0" xfId="0" applyFont="1" applyFill="1" applyAlignment="1">
      <alignment/>
    </xf>
    <xf numFmtId="0" fontId="0" fillId="0" borderId="0" xfId="0" applyFont="1" applyFill="1" applyAlignment="1">
      <alignment horizontal="right"/>
    </xf>
    <xf numFmtId="2" fontId="3" fillId="0" borderId="0" xfId="0" applyNumberFormat="1" applyFont="1" applyAlignment="1">
      <alignment/>
    </xf>
    <xf numFmtId="179" fontId="3" fillId="0" borderId="0" xfId="0" applyNumberFormat="1" applyFont="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Alignment="1">
      <alignment horizontal="center"/>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center"/>
    </xf>
    <xf numFmtId="0" fontId="5" fillId="33" borderId="0" xfId="0" applyFont="1" applyFill="1" applyAlignment="1">
      <alignment horizontal="right"/>
    </xf>
    <xf numFmtId="0" fontId="6" fillId="33" borderId="0" xfId="0" applyFont="1" applyFill="1" applyAlignment="1">
      <alignment horizontal="right"/>
    </xf>
    <xf numFmtId="0" fontId="0" fillId="33" borderId="0" xfId="0" applyFont="1" applyFill="1" applyAlignment="1">
      <alignment horizontal="right"/>
    </xf>
    <xf numFmtId="0" fontId="3" fillId="33" borderId="0" xfId="0" applyFont="1" applyFill="1" applyAlignment="1">
      <alignment horizontal="right"/>
    </xf>
    <xf numFmtId="0" fontId="4" fillId="33" borderId="0" xfId="0" applyFont="1" applyFill="1" applyAlignment="1">
      <alignment horizontal="right"/>
    </xf>
    <xf numFmtId="2" fontId="3" fillId="33" borderId="0" xfId="0" applyNumberFormat="1" applyFont="1" applyFill="1" applyAlignment="1">
      <alignment/>
    </xf>
    <xf numFmtId="0" fontId="10" fillId="33" borderId="0" xfId="0" applyFont="1" applyFill="1" applyAlignment="1">
      <alignment/>
    </xf>
    <xf numFmtId="0" fontId="11" fillId="33" borderId="0" xfId="0" applyFont="1" applyFill="1" applyAlignment="1">
      <alignment/>
    </xf>
    <xf numFmtId="0" fontId="13" fillId="33" borderId="0" xfId="0" applyFont="1" applyFill="1" applyAlignment="1">
      <alignment/>
    </xf>
    <xf numFmtId="0" fontId="0" fillId="33" borderId="0" xfId="0" applyFont="1" applyFill="1" applyAlignment="1">
      <alignment shrinkToFit="1"/>
    </xf>
    <xf numFmtId="0" fontId="4" fillId="0" borderId="0" xfId="0" applyFont="1" applyFill="1" applyAlignment="1">
      <alignment/>
    </xf>
    <xf numFmtId="0" fontId="3" fillId="33" borderId="0" xfId="0" applyFont="1" applyFill="1" applyBorder="1" applyAlignment="1">
      <alignment/>
    </xf>
    <xf numFmtId="0" fontId="17"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Fill="1" applyAlignment="1">
      <alignment horizontal="center"/>
    </xf>
    <xf numFmtId="0" fontId="19" fillId="0" borderId="0" xfId="0" applyFont="1" applyAlignment="1">
      <alignment/>
    </xf>
    <xf numFmtId="0" fontId="17" fillId="0" borderId="0" xfId="0" applyFont="1" applyAlignment="1">
      <alignment/>
    </xf>
    <xf numFmtId="0" fontId="0" fillId="0" borderId="0" xfId="0" applyFill="1" applyAlignment="1">
      <alignment horizontal="right"/>
    </xf>
    <xf numFmtId="0" fontId="4" fillId="0" borderId="0" xfId="0" applyFont="1" applyAlignment="1">
      <alignment/>
    </xf>
    <xf numFmtId="0" fontId="0" fillId="0" borderId="0" xfId="0" applyFont="1" applyFill="1" applyAlignment="1">
      <alignment horizontal="left"/>
    </xf>
    <xf numFmtId="0" fontId="0" fillId="0" borderId="0" xfId="0" applyFont="1" applyAlignment="1">
      <alignment vertical="center" shrinkToFit="1"/>
    </xf>
    <xf numFmtId="0" fontId="0" fillId="33" borderId="0" xfId="0" applyFill="1" applyAlignment="1">
      <alignment horizontal="right"/>
    </xf>
    <xf numFmtId="0" fontId="4" fillId="33" borderId="0" xfId="0" applyFont="1" applyFill="1" applyAlignment="1">
      <alignment horizontal="center"/>
    </xf>
    <xf numFmtId="2" fontId="3" fillId="33" borderId="0" xfId="0" applyNumberFormat="1" applyFont="1" applyFill="1" applyAlignment="1">
      <alignment horizontal="center"/>
    </xf>
    <xf numFmtId="2" fontId="3" fillId="0" borderId="0" xfId="0" applyNumberFormat="1" applyFont="1" applyFill="1" applyBorder="1" applyAlignment="1">
      <alignment horizontal="center"/>
    </xf>
    <xf numFmtId="0" fontId="3" fillId="0" borderId="10" xfId="0" applyFont="1" applyBorder="1" applyAlignment="1">
      <alignment/>
    </xf>
    <xf numFmtId="0" fontId="3" fillId="0" borderId="1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3" xfId="0" applyFont="1" applyBorder="1" applyAlignment="1">
      <alignment/>
    </xf>
    <xf numFmtId="0" fontId="0" fillId="0" borderId="0" xfId="0" applyFont="1" applyBorder="1" applyAlignment="1">
      <alignment vertical="center" shrinkToFit="1"/>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xf>
    <xf numFmtId="0" fontId="3" fillId="0" borderId="16" xfId="0" applyFont="1" applyBorder="1" applyAlignment="1">
      <alignment vertical="center"/>
    </xf>
    <xf numFmtId="0" fontId="3"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xf>
    <xf numFmtId="0" fontId="5" fillId="0" borderId="0" xfId="0" applyFont="1" applyAlignment="1">
      <alignment horizontal="right" vertical="center"/>
    </xf>
    <xf numFmtId="2" fontId="3" fillId="0" borderId="0" xfId="0" applyNumberFormat="1"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17" fillId="33" borderId="0" xfId="0" applyFont="1" applyFill="1" applyAlignment="1">
      <alignment/>
    </xf>
    <xf numFmtId="176" fontId="3" fillId="0" borderId="0" xfId="0" applyNumberFormat="1" applyFont="1" applyFill="1" applyAlignment="1">
      <alignment/>
    </xf>
    <xf numFmtId="0" fontId="22" fillId="33" borderId="0" xfId="0" applyFont="1" applyFill="1" applyAlignment="1">
      <alignment/>
    </xf>
    <xf numFmtId="2" fontId="0" fillId="33" borderId="0" xfId="0" applyNumberFormat="1" applyFont="1" applyFill="1" applyAlignment="1">
      <alignment horizontal="left" shrinkToFit="1"/>
    </xf>
    <xf numFmtId="0" fontId="21" fillId="33" borderId="0" xfId="0" applyFont="1" applyFill="1" applyAlignment="1">
      <alignment shrinkToFit="1"/>
    </xf>
    <xf numFmtId="0" fontId="3" fillId="33" borderId="0" xfId="0" applyFont="1" applyFill="1" applyAlignment="1">
      <alignment shrinkToFit="1"/>
    </xf>
    <xf numFmtId="0" fontId="0" fillId="33" borderId="0" xfId="0" applyFont="1" applyFill="1" applyAlignment="1">
      <alignment horizontal="left" shrinkToFit="1"/>
    </xf>
    <xf numFmtId="0" fontId="0" fillId="33" borderId="0" xfId="0" applyFont="1" applyFill="1" applyAlignment="1">
      <alignment horizontal="right"/>
    </xf>
    <xf numFmtId="0" fontId="0" fillId="33" borderId="0" xfId="0" applyFont="1" applyFill="1" applyAlignment="1">
      <alignment/>
    </xf>
    <xf numFmtId="0" fontId="0" fillId="33" borderId="0" xfId="0" applyFont="1" applyFill="1" applyAlignment="1">
      <alignment horizontal="right"/>
    </xf>
    <xf numFmtId="0" fontId="5" fillId="0" borderId="0" xfId="0" applyFont="1" applyAlignment="1">
      <alignment horizontal="center" vertical="center"/>
    </xf>
    <xf numFmtId="0" fontId="5" fillId="0" borderId="0" xfId="0" applyFont="1" applyFill="1" applyAlignment="1">
      <alignment horizontal="center"/>
    </xf>
    <xf numFmtId="0" fontId="5" fillId="0" borderId="0" xfId="0" applyFont="1" applyAlignment="1">
      <alignment vertical="center"/>
    </xf>
    <xf numFmtId="0" fontId="3" fillId="33" borderId="0" xfId="0" applyFont="1" applyFill="1" applyAlignment="1" applyProtection="1">
      <alignment horizontal="right"/>
      <protection locked="0"/>
    </xf>
    <xf numFmtId="179" fontId="3" fillId="33" borderId="0" xfId="0" applyNumberFormat="1" applyFont="1" applyFill="1" applyAlignment="1" applyProtection="1">
      <alignment/>
      <protection locked="0"/>
    </xf>
    <xf numFmtId="0" fontId="3" fillId="33" borderId="0" xfId="0" applyFont="1" applyFill="1" applyAlignment="1" applyProtection="1">
      <alignment horizontal="center"/>
      <protection locked="0"/>
    </xf>
    <xf numFmtId="176" fontId="3" fillId="33" borderId="0" xfId="0" applyNumberFormat="1" applyFont="1" applyFill="1" applyAlignment="1" applyProtection="1">
      <alignment horizontal="center"/>
      <protection locked="0"/>
    </xf>
    <xf numFmtId="2" fontId="3" fillId="33" borderId="0" xfId="0" applyNumberFormat="1" applyFont="1" applyFill="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shrinkToFit="1"/>
      <protection locked="0"/>
    </xf>
    <xf numFmtId="0" fontId="3" fillId="33" borderId="0" xfId="0" applyFont="1" applyFill="1" applyAlignment="1" applyProtection="1">
      <alignment horizontal="center" shrinkToFit="1"/>
      <protection locked="0"/>
    </xf>
    <xf numFmtId="0" fontId="16" fillId="33" borderId="0" xfId="0" applyFont="1" applyFill="1" applyAlignment="1" applyProtection="1">
      <alignment horizontal="right" shrinkToFit="1"/>
      <protection locked="0"/>
    </xf>
    <xf numFmtId="2" fontId="0" fillId="33" borderId="0" xfId="0" applyNumberFormat="1" applyFont="1" applyFill="1" applyAlignment="1" applyProtection="1">
      <alignment horizontal="left" shrinkToFit="1"/>
      <protection locked="0"/>
    </xf>
    <xf numFmtId="0" fontId="0" fillId="33" borderId="0" xfId="0" applyFont="1" applyFill="1" applyAlignment="1" applyProtection="1">
      <alignment shrinkToFit="1"/>
      <protection locked="0"/>
    </xf>
    <xf numFmtId="0" fontId="0" fillId="33" borderId="0" xfId="0" applyFont="1" applyFill="1" applyAlignment="1" applyProtection="1">
      <alignment horizontal="center" shrinkToFit="1"/>
      <protection locked="0"/>
    </xf>
    <xf numFmtId="0" fontId="4" fillId="33" borderId="0" xfId="0" applyFont="1" applyFill="1" applyAlignment="1" applyProtection="1">
      <alignment/>
      <protection locked="0"/>
    </xf>
    <xf numFmtId="2" fontId="3" fillId="0" borderId="17" xfId="0" applyNumberFormat="1" applyFont="1" applyFill="1" applyBorder="1" applyAlignment="1" applyProtection="1">
      <alignment horizontal="center"/>
      <protection locked="0"/>
    </xf>
    <xf numFmtId="2" fontId="3" fillId="0" borderId="17" xfId="0" applyNumberFormat="1" applyFont="1" applyBorder="1" applyAlignment="1" applyProtection="1">
      <alignment horizontal="center"/>
      <protection locked="0"/>
    </xf>
    <xf numFmtId="0" fontId="3" fillId="0" borderId="17" xfId="0" applyFont="1" applyFill="1" applyBorder="1" applyAlignment="1" applyProtection="1">
      <alignment horizontal="center"/>
      <protection locked="0"/>
    </xf>
    <xf numFmtId="0" fontId="0" fillId="33" borderId="0" xfId="0" applyFill="1" applyBorder="1" applyAlignment="1">
      <alignment/>
    </xf>
    <xf numFmtId="176" fontId="3" fillId="33" borderId="0" xfId="0" applyNumberFormat="1" applyFont="1" applyFill="1" applyBorder="1" applyAlignment="1">
      <alignment/>
    </xf>
    <xf numFmtId="0" fontId="3" fillId="0" borderId="0" xfId="0" applyFont="1" applyAlignment="1">
      <alignment shrinkToFit="1"/>
    </xf>
    <xf numFmtId="0" fontId="4" fillId="33" borderId="0" xfId="0" applyFont="1" applyFill="1" applyAlignment="1">
      <alignment/>
    </xf>
    <xf numFmtId="194" fontId="3" fillId="33" borderId="0" xfId="0" applyNumberFormat="1" applyFont="1" applyFill="1" applyAlignment="1">
      <alignment/>
    </xf>
    <xf numFmtId="2" fontId="3" fillId="34" borderId="17" xfId="0" applyNumberFormat="1" applyFont="1" applyFill="1" applyBorder="1" applyAlignment="1">
      <alignment horizontal="center"/>
    </xf>
    <xf numFmtId="2" fontId="3" fillId="0" borderId="0" xfId="0" applyNumberFormat="1" applyFont="1" applyFill="1" applyAlignment="1">
      <alignment horizontal="center"/>
    </xf>
    <xf numFmtId="0" fontId="3" fillId="33" borderId="0" xfId="0" applyFont="1" applyFill="1" applyAlignment="1" applyProtection="1">
      <alignment horizontal="left"/>
      <protection locked="0"/>
    </xf>
    <xf numFmtId="2" fontId="3" fillId="0" borderId="0" xfId="0" applyNumberFormat="1" applyFont="1" applyAlignment="1">
      <alignment horizontal="left"/>
    </xf>
    <xf numFmtId="1" fontId="3" fillId="33" borderId="0" xfId="0" applyNumberFormat="1" applyFont="1" applyFill="1" applyAlignment="1">
      <alignment horizontal="center"/>
    </xf>
    <xf numFmtId="0" fontId="0" fillId="33" borderId="0" xfId="0" applyFill="1" applyAlignment="1">
      <alignment vertical="center"/>
    </xf>
    <xf numFmtId="0" fontId="28" fillId="33" borderId="0" xfId="0" applyFont="1" applyFill="1" applyAlignment="1">
      <alignment/>
    </xf>
    <xf numFmtId="0" fontId="24" fillId="33" borderId="0" xfId="0" applyFont="1" applyFill="1" applyAlignment="1">
      <alignment horizontal="center" vertical="center" wrapText="1"/>
    </xf>
    <xf numFmtId="0" fontId="24" fillId="0" borderId="0" xfId="0" applyFont="1" applyAlignment="1">
      <alignment horizontal="center" vertical="center" wrapText="1"/>
    </xf>
    <xf numFmtId="0" fontId="5" fillId="0" borderId="0" xfId="0" applyFont="1" applyAlignment="1">
      <alignment shrinkToFit="1"/>
    </xf>
    <xf numFmtId="0" fontId="3" fillId="0" borderId="0" xfId="0" applyFont="1" applyAlignment="1">
      <alignment shrinkToFit="1"/>
    </xf>
    <xf numFmtId="0" fontId="3" fillId="35" borderId="0" xfId="0" applyFont="1" applyFill="1" applyBorder="1" applyAlignment="1">
      <alignment/>
    </xf>
    <xf numFmtId="0" fontId="0" fillId="35" borderId="0" xfId="0" applyFill="1" applyBorder="1" applyAlignment="1">
      <alignment vertical="center" shrinkToFit="1"/>
    </xf>
    <xf numFmtId="0" fontId="25" fillId="35" borderId="0" xfId="0" applyFont="1" applyFill="1" applyBorder="1" applyAlignment="1" applyProtection="1">
      <alignment vertical="center"/>
      <protection/>
    </xf>
    <xf numFmtId="0" fontId="0" fillId="35" borderId="0" xfId="0" applyFill="1" applyBorder="1" applyAlignment="1">
      <alignment/>
    </xf>
    <xf numFmtId="0" fontId="0" fillId="35" borderId="0" xfId="0" applyFill="1" applyBorder="1" applyAlignment="1" applyProtection="1">
      <alignment vertical="center"/>
      <protection/>
    </xf>
    <xf numFmtId="0" fontId="0" fillId="35" borderId="0" xfId="0" applyFill="1" applyBorder="1" applyAlignment="1">
      <alignment vertical="center" wrapText="1"/>
    </xf>
    <xf numFmtId="0" fontId="0" fillId="35" borderId="0" xfId="0" applyFill="1" applyBorder="1" applyAlignment="1">
      <alignment vertical="center"/>
    </xf>
    <xf numFmtId="0" fontId="17" fillId="35" borderId="0" xfId="0" applyFont="1" applyFill="1" applyBorder="1" applyAlignment="1">
      <alignment vertical="center" shrinkToFit="1"/>
    </xf>
    <xf numFmtId="49" fontId="26" fillId="35" borderId="0"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315"/>
          <c:w val="0.9315"/>
          <c:h val="0.914"/>
        </c:manualLayout>
      </c:layout>
      <c:scatterChart>
        <c:scatterStyle val="lineMarker"/>
        <c:varyColors val="0"/>
        <c:ser>
          <c:idx val="0"/>
          <c:order val="0"/>
          <c:tx>
            <c:strRef>
              <c:f>'計算'!$G$45</c:f>
              <c:strCache>
                <c:ptCount val="1"/>
                <c:pt idx="0">
                  <c:v>ﾗﾝｷﾝ場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'計算'!$G$46:$G$76</c:f>
              <c:numCache>
                <c:ptCount val="31"/>
                <c:pt idx="0">
                  <c:v>0</c:v>
                </c:pt>
                <c:pt idx="1">
                  <c:v>-1.2551146373920348</c:v>
                </c:pt>
                <c:pt idx="2">
                  <c:v>0</c:v>
                </c:pt>
                <c:pt idx="3">
                  <c:v>-1.5449137839307556</c:v>
                </c:pt>
                <c:pt idx="4">
                  <c:v>-2.1851746117274784</c:v>
                </c:pt>
              </c:numCache>
            </c:numRef>
          </c:yVal>
          <c:smooth val="0"/>
        </c:ser>
        <c:ser>
          <c:idx val="1"/>
          <c:order val="1"/>
          <c:tx>
            <c:strRef>
              <c:f>'計算'!$H$45</c:f>
              <c:strCache>
                <c:ptCount val="1"/>
                <c:pt idx="0">
                  <c:v>遷移場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'計算'!$H$46:$H$76</c:f>
              <c:numCache>
                <c:ptCount val="31"/>
                <c:pt idx="7">
                  <c:v>-1.2551146373920348</c:v>
                </c:pt>
                <c:pt idx="8">
                  <c:v>-1.2890649896615967</c:v>
                </c:pt>
                <c:pt idx="9">
                  <c:v>-1.3222141534101524</c:v>
                </c:pt>
                <c:pt idx="10">
                  <c:v>-1.3544548616762455</c:v>
                </c:pt>
                <c:pt idx="11">
                  <c:v>-1.3856760981607308</c:v>
                </c:pt>
                <c:pt idx="12">
                  <c:v>-1.4157631234970818</c:v>
                </c:pt>
                <c:pt idx="13">
                  <c:v>-1.4445975102711437</c:v>
                </c:pt>
                <c:pt idx="14">
                  <c:v>-1.4720571871737147</c:v>
                </c:pt>
                <c:pt idx="15">
                  <c:v>-1.4980164926710646</c:v>
                </c:pt>
                <c:pt idx="16">
                  <c:v>-1.5223462385795428</c:v>
                </c:pt>
                <c:pt idx="17">
                  <c:v>-1.5449137839307558</c:v>
                </c:pt>
              </c:numCache>
            </c:numRef>
          </c:yVal>
          <c:smooth val="0"/>
        </c:ser>
        <c:ser>
          <c:idx val="2"/>
          <c:order val="2"/>
          <c:tx>
            <c:strRef>
              <c:f>'計算'!$I$45</c:f>
              <c:strCache>
                <c:ptCount val="1"/>
                <c:pt idx="0">
                  <c:v>地表面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'計算'!$I$46:$I$76</c:f>
              <c:numCache>
                <c:ptCount val="31"/>
                <c:pt idx="18">
                  <c:v>0</c:v>
                </c:pt>
                <c:pt idx="19">
                  <c:v>0</c:v>
                </c:pt>
                <c:pt idx="20">
                  <c:v>-3.4131571990095524</c:v>
                </c:pt>
              </c:numCache>
            </c:numRef>
          </c:yVal>
          <c:smooth val="0"/>
        </c:ser>
        <c:ser>
          <c:idx val="3"/>
          <c:order val="3"/>
          <c:tx>
            <c:strRef>
              <c:f>'計算'!$J$45</c:f>
              <c:strCache>
                <c:ptCount val="1"/>
                <c:pt idx="0">
                  <c:v>荷重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'計算'!$J$46:$J$76</c:f>
              <c:numCache>
                <c:ptCount val="31"/>
                <c:pt idx="21">
                  <c:v>0</c:v>
                </c:pt>
                <c:pt idx="22">
                  <c:v>2.3056</c:v>
                </c:pt>
                <c:pt idx="23">
                  <c:v>2.3056</c:v>
                </c:pt>
                <c:pt idx="24">
                  <c:v>0</c:v>
                </c:pt>
              </c:numCache>
            </c:numRef>
          </c:yVal>
          <c:smooth val="0"/>
        </c:ser>
        <c:ser>
          <c:idx val="4"/>
          <c:order val="4"/>
          <c:tx>
            <c:strRef>
              <c:f>'計算'!$K$45</c:f>
              <c:strCache>
                <c:ptCount val="1"/>
                <c:pt idx="0">
                  <c:v>載荷重</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'計算'!$K$46:$K$76</c:f>
              <c:numCache>
                <c:ptCount val="31"/>
                <c:pt idx="25">
                  <c:v>0</c:v>
                </c:pt>
                <c:pt idx="26">
                  <c:v>0</c:v>
                </c:pt>
                <c:pt idx="27">
                  <c:v>0</c:v>
                </c:pt>
                <c:pt idx="28">
                  <c:v>0</c:v>
                </c:pt>
              </c:numCache>
            </c:numRef>
          </c:yVal>
          <c:smooth val="0"/>
        </c:ser>
        <c:ser>
          <c:idx val="5"/>
          <c:order val="5"/>
          <c:tx>
            <c:strRef>
              <c:f>'計算'!$L$45</c:f>
              <c:strCache>
                <c:ptCount val="1"/>
                <c:pt idx="0">
                  <c:v>ﾗﾝｷﾝ場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ptCount val="31"/>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'計算'!$L$46:$L$76</c:f>
              <c:numCache>
                <c:ptCount val="31"/>
                <c:pt idx="5">
                  <c:v>0</c:v>
                </c:pt>
                <c:pt idx="6">
                  <c:v>-1.7220772269208633</c:v>
                </c:pt>
              </c:numCache>
            </c:numRef>
          </c:yVal>
          <c:smooth val="0"/>
        </c:ser>
        <c:axId val="1095768"/>
        <c:axId val="9861913"/>
      </c:scatterChart>
      <c:valAx>
        <c:axId val="1095768"/>
        <c:scaling>
          <c:orientation val="minMax"/>
        </c:scaling>
        <c:axPos val="b"/>
        <c:delete val="0"/>
        <c:numFmt formatCode="General" sourceLinked="1"/>
        <c:majorTickMark val="in"/>
        <c:minorTickMark val="none"/>
        <c:tickLblPos val="nextTo"/>
        <c:spPr>
          <a:ln w="3175">
            <a:solidFill>
              <a:srgbClr val="000000"/>
            </a:solidFill>
          </a:ln>
        </c:spPr>
        <c:crossAx val="9861913"/>
        <c:crosses val="autoZero"/>
        <c:crossBetween val="midCat"/>
        <c:dispUnits/>
      </c:valAx>
      <c:valAx>
        <c:axId val="9861913"/>
        <c:scaling>
          <c:orientation val="minMax"/>
        </c:scaling>
        <c:axPos val="l"/>
        <c:delete val="0"/>
        <c:numFmt formatCode="General" sourceLinked="1"/>
        <c:majorTickMark val="in"/>
        <c:minorTickMark val="none"/>
        <c:tickLblPos val="nextTo"/>
        <c:spPr>
          <a:ln w="3175">
            <a:solidFill>
              <a:srgbClr val="000000"/>
            </a:solidFill>
          </a:ln>
        </c:spPr>
        <c:crossAx val="1095768"/>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
          <c:w val="0.9565"/>
          <c:h val="0.97625"/>
        </c:manualLayout>
      </c:layout>
      <c:scatterChart>
        <c:scatterStyle val="lineMarker"/>
        <c:varyColors val="0"/>
        <c:ser>
          <c:idx val="4"/>
          <c:order val="0"/>
          <c:tx>
            <c:strRef>
              <c:f>'計算'!$K$45</c:f>
              <c:strCache>
                <c:ptCount val="1"/>
                <c:pt idx="0">
                  <c:v>載荷重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'計算'!$K$46:$K$77</c:f>
              <c:numCache>
                <c:ptCount val="32"/>
                <c:pt idx="25">
                  <c:v>0</c:v>
                </c:pt>
                <c:pt idx="26">
                  <c:v>0</c:v>
                </c:pt>
                <c:pt idx="27">
                  <c:v>0</c:v>
                </c:pt>
                <c:pt idx="28">
                  <c:v>0</c:v>
                </c:pt>
              </c:numCache>
            </c:numRef>
          </c:yVal>
          <c:smooth val="0"/>
        </c:ser>
        <c:ser>
          <c:idx val="3"/>
          <c:order val="1"/>
          <c:tx>
            <c:strRef>
              <c:f>'計算'!$J$45</c:f>
              <c:strCache>
                <c:ptCount val="1"/>
                <c:pt idx="0">
                  <c:v>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'計算'!$J$46:$J$77</c:f>
              <c:numCache>
                <c:ptCount val="32"/>
                <c:pt idx="21">
                  <c:v>0</c:v>
                </c:pt>
                <c:pt idx="22">
                  <c:v>2.3056</c:v>
                </c:pt>
                <c:pt idx="23">
                  <c:v>2.3056</c:v>
                </c:pt>
                <c:pt idx="24">
                  <c:v>0</c:v>
                </c:pt>
              </c:numCache>
            </c:numRef>
          </c:yVal>
          <c:smooth val="0"/>
        </c:ser>
        <c:ser>
          <c:idx val="0"/>
          <c:order val="2"/>
          <c:tx>
            <c:strRef>
              <c:f>'計算'!$G$45</c:f>
              <c:strCache>
                <c:ptCount val="1"/>
                <c:pt idx="0">
                  <c:v>ﾗﾝｷﾝ場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'計算'!$G$46:$G$77</c:f>
              <c:numCache>
                <c:ptCount val="32"/>
                <c:pt idx="0">
                  <c:v>0</c:v>
                </c:pt>
                <c:pt idx="1">
                  <c:v>-1.2551146373920348</c:v>
                </c:pt>
                <c:pt idx="2">
                  <c:v>0</c:v>
                </c:pt>
                <c:pt idx="3">
                  <c:v>-1.5449137839307556</c:v>
                </c:pt>
                <c:pt idx="4">
                  <c:v>-2.1851746117274784</c:v>
                </c:pt>
              </c:numCache>
            </c:numRef>
          </c:yVal>
          <c:smooth val="0"/>
        </c:ser>
        <c:ser>
          <c:idx val="1"/>
          <c:order val="3"/>
          <c:tx>
            <c:strRef>
              <c:f>'計算'!$H$45</c:f>
              <c:strCache>
                <c:ptCount val="1"/>
                <c:pt idx="0">
                  <c:v>遷移場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'計算'!$H$46:$H$77</c:f>
              <c:numCache>
                <c:ptCount val="32"/>
                <c:pt idx="7">
                  <c:v>-1.2551146373920348</c:v>
                </c:pt>
                <c:pt idx="8">
                  <c:v>-1.2890649896615967</c:v>
                </c:pt>
                <c:pt idx="9">
                  <c:v>-1.3222141534101524</c:v>
                </c:pt>
                <c:pt idx="10">
                  <c:v>-1.3544548616762455</c:v>
                </c:pt>
                <c:pt idx="11">
                  <c:v>-1.3856760981607308</c:v>
                </c:pt>
                <c:pt idx="12">
                  <c:v>-1.4157631234970818</c:v>
                </c:pt>
                <c:pt idx="13">
                  <c:v>-1.4445975102711437</c:v>
                </c:pt>
                <c:pt idx="14">
                  <c:v>-1.4720571871737147</c:v>
                </c:pt>
                <c:pt idx="15">
                  <c:v>-1.4980164926710646</c:v>
                </c:pt>
                <c:pt idx="16">
                  <c:v>-1.5223462385795428</c:v>
                </c:pt>
                <c:pt idx="17">
                  <c:v>-1.5449137839307558</c:v>
                </c:pt>
              </c:numCache>
            </c:numRef>
          </c:yVal>
          <c:smooth val="0"/>
        </c:ser>
        <c:ser>
          <c:idx val="2"/>
          <c:order val="4"/>
          <c:tx>
            <c:strRef>
              <c:f>'計算'!$I$45</c:f>
              <c:strCache>
                <c:ptCount val="1"/>
                <c:pt idx="0">
                  <c:v>地表面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'計算'!$F$46:$F$77</c:f>
              <c:numCache>
                <c:ptCount val="32"/>
                <c:pt idx="0">
                  <c:v>0</c:v>
                </c:pt>
                <c:pt idx="1">
                  <c:v>1.5866127539899222</c:v>
                </c:pt>
                <c:pt idx="2">
                  <c:v>1.66</c:v>
                </c:pt>
                <c:pt idx="3">
                  <c:v>2.1412400327470777</c:v>
                </c:pt>
                <c:pt idx="4">
                  <c:v>4.147658858136802</c:v>
                </c:pt>
                <c:pt idx="5">
                  <c:v>2.16</c:v>
                </c:pt>
                <c:pt idx="6">
                  <c:v>2.6964263751779285</c:v>
                </c:pt>
                <c:pt idx="7">
                  <c:v>1.5866127539899222</c:v>
                </c:pt>
                <c:pt idx="8">
                  <c:v>1.6311635406311389</c:v>
                </c:pt>
                <c:pt idx="9">
                  <c:v>1.6780776434932414</c:v>
                </c:pt>
                <c:pt idx="10">
                  <c:v>1.7273842788815637</c:v>
                </c:pt>
                <c:pt idx="11">
                  <c:v>1.77910942668215</c:v>
                </c:pt>
                <c:pt idx="12">
                  <c:v>1.8332756112697277</c:v>
                </c:pt>
                <c:pt idx="13">
                  <c:v>1.8899016779333826</c:v>
                </c:pt>
                <c:pt idx="14">
                  <c:v>1.9490025650316831</c:v>
                </c:pt>
                <c:pt idx="15">
                  <c:v>2.0105890721084223</c:v>
                </c:pt>
                <c:pt idx="16">
                  <c:v>2.0746676242201363</c:v>
                </c:pt>
                <c:pt idx="17">
                  <c:v>2.141240032747077</c:v>
                </c:pt>
                <c:pt idx="18">
                  <c:v>0</c:v>
                </c:pt>
                <c:pt idx="19">
                  <c:v>2.16</c:v>
                </c:pt>
                <c:pt idx="20">
                  <c:v>5.264645324183739</c:v>
                </c:pt>
                <c:pt idx="21">
                  <c:v>0</c:v>
                </c:pt>
                <c:pt idx="22">
                  <c:v>-1.004577679974851</c:v>
                </c:pt>
                <c:pt idx="23">
                  <c:v>0.655422320025149</c:v>
                </c:pt>
                <c:pt idx="24">
                  <c:v>1.66</c:v>
                </c:pt>
                <c:pt idx="25">
                  <c:v>1.66</c:v>
                </c:pt>
                <c:pt idx="26">
                  <c:v>1.66</c:v>
                </c:pt>
                <c:pt idx="27">
                  <c:v>2.16</c:v>
                </c:pt>
                <c:pt idx="28">
                  <c:v>2.16</c:v>
                </c:pt>
              </c:numCache>
            </c:numRef>
          </c:xVal>
          <c:yVal>
            <c:numRef>
              <c:f>'計算'!$I$46:$I$77</c:f>
              <c:numCache>
                <c:ptCount val="32"/>
                <c:pt idx="18">
                  <c:v>0</c:v>
                </c:pt>
                <c:pt idx="19">
                  <c:v>0</c:v>
                </c:pt>
                <c:pt idx="20">
                  <c:v>-3.4131571990095524</c:v>
                </c:pt>
              </c:numCache>
            </c:numRef>
          </c:yVal>
          <c:smooth val="0"/>
        </c:ser>
        <c:axId val="21648354"/>
        <c:axId val="60617459"/>
      </c:scatterChart>
      <c:valAx>
        <c:axId val="21648354"/>
        <c:scaling>
          <c:orientation val="minMax"/>
        </c:scaling>
        <c:axPos val="b"/>
        <c:delete val="1"/>
        <c:majorTickMark val="out"/>
        <c:minorTickMark val="none"/>
        <c:tickLblPos val="nextTo"/>
        <c:crossAx val="60617459"/>
        <c:crosses val="autoZero"/>
        <c:crossBetween val="midCat"/>
        <c:dispUnits/>
      </c:valAx>
      <c:valAx>
        <c:axId val="60617459"/>
        <c:scaling>
          <c:orientation val="minMax"/>
        </c:scaling>
        <c:axPos val="l"/>
        <c:delete val="1"/>
        <c:majorTickMark val="out"/>
        <c:minorTickMark val="none"/>
        <c:tickLblPos val="nextTo"/>
        <c:crossAx val="21648354"/>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025"/>
          <c:w val="0.94825"/>
          <c:h val="0.9395"/>
        </c:manualLayout>
      </c:layout>
      <c:scatterChart>
        <c:scatterStyle val="lineMarker"/>
        <c:varyColors val="0"/>
        <c:ser>
          <c:idx val="0"/>
          <c:order val="0"/>
          <c:tx>
            <c:strRef>
              <c:f>'計算'!$G$45</c:f>
              <c:strCache>
                <c:ptCount val="1"/>
                <c:pt idx="0">
                  <c:v>ﾗﾝｷﾝ場</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'計算'!$G$46:$G$76</c:f>
              <c:numCache/>
            </c:numRef>
          </c:yVal>
          <c:smooth val="0"/>
        </c:ser>
        <c:ser>
          <c:idx val="1"/>
          <c:order val="1"/>
          <c:tx>
            <c:strRef>
              <c:f>'計算'!$H$45</c:f>
              <c:strCache>
                <c:ptCount val="1"/>
                <c:pt idx="0">
                  <c:v>遷移場</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'計算'!$H$46:$H$76</c:f>
              <c:numCache/>
            </c:numRef>
          </c:yVal>
          <c:smooth val="0"/>
        </c:ser>
        <c:ser>
          <c:idx val="2"/>
          <c:order val="2"/>
          <c:tx>
            <c:strRef>
              <c:f>'計算'!$I$45</c:f>
              <c:strCache>
                <c:ptCount val="1"/>
                <c:pt idx="0">
                  <c:v>地表面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'計算'!$I$46:$I$76</c:f>
              <c:numCache/>
            </c:numRef>
          </c:yVal>
          <c:smooth val="0"/>
        </c:ser>
        <c:ser>
          <c:idx val="3"/>
          <c:order val="3"/>
          <c:tx>
            <c:strRef>
              <c:f>'計算'!$J$45</c:f>
              <c:strCache>
                <c:ptCount val="1"/>
                <c:pt idx="0">
                  <c:v>荷重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'計算'!$J$46:$J$76</c:f>
              <c:numCache/>
            </c:numRef>
          </c:yVal>
          <c:smooth val="0"/>
        </c:ser>
        <c:ser>
          <c:idx val="4"/>
          <c:order val="4"/>
          <c:tx>
            <c:strRef>
              <c:f>'計算'!$K$45</c:f>
              <c:strCache>
                <c:ptCount val="1"/>
                <c:pt idx="0">
                  <c:v>載荷重</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'計算'!$K$46:$K$76</c:f>
              <c:numCache/>
            </c:numRef>
          </c:yVal>
          <c:smooth val="0"/>
        </c:ser>
        <c:ser>
          <c:idx val="5"/>
          <c:order val="5"/>
          <c:tx>
            <c:strRef>
              <c:f>'計算'!$L$45</c:f>
              <c:strCache>
                <c:ptCount val="1"/>
                <c:pt idx="0">
                  <c:v>ﾗﾝｷﾝ場</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'計算'!$F$46:$F$76</c:f>
              <c:numCache/>
            </c:numRef>
          </c:xVal>
          <c:yVal>
            <c:numRef>
              <c:f>'計算'!$L$46:$L$76</c:f>
              <c:numCache/>
            </c:numRef>
          </c:yVal>
          <c:smooth val="0"/>
        </c:ser>
        <c:axId val="8686220"/>
        <c:axId val="11067117"/>
      </c:scatterChart>
      <c:valAx>
        <c:axId val="8686220"/>
        <c:scaling>
          <c:orientation val="minMax"/>
        </c:scaling>
        <c:axPos val="b"/>
        <c:delete val="0"/>
        <c:numFmt formatCode="General" sourceLinked="1"/>
        <c:majorTickMark val="in"/>
        <c:minorTickMark val="none"/>
        <c:tickLblPos val="nextTo"/>
        <c:spPr>
          <a:ln w="3175">
            <a:solidFill>
              <a:srgbClr val="000000"/>
            </a:solidFill>
          </a:ln>
        </c:spPr>
        <c:crossAx val="11067117"/>
        <c:crosses val="autoZero"/>
        <c:crossBetween val="midCat"/>
        <c:dispUnits/>
      </c:valAx>
      <c:valAx>
        <c:axId val="11067117"/>
        <c:scaling>
          <c:orientation val="minMax"/>
        </c:scaling>
        <c:axPos val="l"/>
        <c:delete val="0"/>
        <c:numFmt formatCode="General" sourceLinked="1"/>
        <c:majorTickMark val="in"/>
        <c:minorTickMark val="none"/>
        <c:tickLblPos val="nextTo"/>
        <c:spPr>
          <a:ln w="3175">
            <a:solidFill>
              <a:srgbClr val="000000"/>
            </a:solidFill>
          </a:ln>
        </c:spPr>
        <c:crossAx val="8686220"/>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image" Target="../media/image16.emf" /><Relationship Id="rId11" Type="http://schemas.openxmlformats.org/officeDocument/2006/relationships/image" Target="../media/image17.emf" /><Relationship Id="rId12" Type="http://schemas.openxmlformats.org/officeDocument/2006/relationships/chart" Target="/xl/charts/chart2.xml"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20.emf" /><Relationship Id="rId16" Type="http://schemas.openxmlformats.org/officeDocument/2006/relationships/image" Target="../media/image21.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24.emf" /><Relationship Id="rId20"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647700</xdr:colOff>
      <xdr:row>20</xdr:row>
      <xdr:rowOff>85725</xdr:rowOff>
    </xdr:from>
    <xdr:ext cx="1666875" cy="219075"/>
    <xdr:sp>
      <xdr:nvSpPr>
        <xdr:cNvPr id="1" name="Text Box 55"/>
        <xdr:cNvSpPr txBox="1">
          <a:spLocks noChangeArrowheads="1"/>
        </xdr:cNvSpPr>
      </xdr:nvSpPr>
      <xdr:spPr>
        <a:xfrm>
          <a:off x="647700" y="3905250"/>
          <a:ext cx="1666875" cy="219075"/>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明朝"/>
              <a:ea typeface="ＭＳ 明朝"/>
              <a:cs typeface="ＭＳ 明朝"/>
            </a:rPr>
            <a:t>すべり角の初期値</a:t>
          </a:r>
        </a:p>
      </xdr:txBody>
    </xdr:sp>
    <xdr:clientData/>
  </xdr:oneCellAnchor>
  <xdr:twoCellAnchor>
    <xdr:from>
      <xdr:col>6</xdr:col>
      <xdr:colOff>209550</xdr:colOff>
      <xdr:row>1</xdr:row>
      <xdr:rowOff>76200</xdr:rowOff>
    </xdr:from>
    <xdr:to>
      <xdr:col>11</xdr:col>
      <xdr:colOff>942975</xdr:colOff>
      <xdr:row>12</xdr:row>
      <xdr:rowOff>38100</xdr:rowOff>
    </xdr:to>
    <xdr:grpSp>
      <xdr:nvGrpSpPr>
        <xdr:cNvPr id="2" name="Group 93"/>
        <xdr:cNvGrpSpPr>
          <a:grpSpLocks/>
        </xdr:cNvGrpSpPr>
      </xdr:nvGrpSpPr>
      <xdr:grpSpPr>
        <a:xfrm>
          <a:off x="5353050" y="276225"/>
          <a:ext cx="5019675" cy="2057400"/>
          <a:chOff x="450" y="29"/>
          <a:chExt cx="421" cy="216"/>
        </a:xfrm>
        <a:solidFill>
          <a:srgbClr val="FFFFFF"/>
        </a:solidFill>
      </xdr:grpSpPr>
      <xdr:sp>
        <xdr:nvSpPr>
          <xdr:cNvPr id="3" name="Freeform 66"/>
          <xdr:cNvSpPr>
            <a:spLocks/>
          </xdr:cNvSpPr>
        </xdr:nvSpPr>
        <xdr:spPr>
          <a:xfrm>
            <a:off x="493" y="45"/>
            <a:ext cx="169" cy="91"/>
          </a:xfrm>
          <a:custGeom>
            <a:pathLst>
              <a:path h="91" w="169">
                <a:moveTo>
                  <a:pt x="60" y="0"/>
                </a:moveTo>
                <a:lnTo>
                  <a:pt x="60" y="57"/>
                </a:lnTo>
                <a:lnTo>
                  <a:pt x="0" y="57"/>
                </a:lnTo>
                <a:lnTo>
                  <a:pt x="0" y="91"/>
                </a:lnTo>
                <a:lnTo>
                  <a:pt x="169" y="91"/>
                </a:lnTo>
                <a:lnTo>
                  <a:pt x="169" y="57"/>
                </a:lnTo>
                <a:lnTo>
                  <a:pt x="110" y="57"/>
                </a:lnTo>
                <a:lnTo>
                  <a:pt x="110"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67"/>
          <xdr:cNvSpPr>
            <a:spLocks/>
          </xdr:cNvSpPr>
        </xdr:nvSpPr>
        <xdr:spPr>
          <a:xfrm>
            <a:off x="578" y="29"/>
            <a:ext cx="0" cy="152"/>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Freeform 68"/>
          <xdr:cNvSpPr>
            <a:spLocks/>
          </xdr:cNvSpPr>
        </xdr:nvSpPr>
        <xdr:spPr>
          <a:xfrm>
            <a:off x="450" y="136"/>
            <a:ext cx="421" cy="109"/>
          </a:xfrm>
          <a:custGeom>
            <a:pathLst>
              <a:path h="109" w="421">
                <a:moveTo>
                  <a:pt x="0" y="0"/>
                </a:moveTo>
                <a:lnTo>
                  <a:pt x="304" y="0"/>
                </a:lnTo>
                <a:lnTo>
                  <a:pt x="421" y="109"/>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Line 69"/>
          <xdr:cNvSpPr>
            <a:spLocks/>
          </xdr:cNvSpPr>
        </xdr:nvSpPr>
        <xdr:spPr>
          <a:xfrm>
            <a:off x="752" y="136"/>
            <a:ext cx="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70"/>
          <xdr:cNvSpPr>
            <a:spLocks/>
          </xdr:cNvSpPr>
        </xdr:nvSpPr>
        <xdr:spPr>
          <a:xfrm>
            <a:off x="493" y="137"/>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71"/>
          <xdr:cNvSpPr>
            <a:spLocks/>
          </xdr:cNvSpPr>
        </xdr:nvSpPr>
        <xdr:spPr>
          <a:xfrm>
            <a:off x="662" y="138"/>
            <a:ext cx="0"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72"/>
          <xdr:cNvSpPr>
            <a:spLocks/>
          </xdr:cNvSpPr>
        </xdr:nvSpPr>
        <xdr:spPr>
          <a:xfrm>
            <a:off x="753" y="136"/>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73"/>
          <xdr:cNvSpPr>
            <a:spLocks/>
          </xdr:cNvSpPr>
        </xdr:nvSpPr>
        <xdr:spPr>
          <a:xfrm>
            <a:off x="493" y="201"/>
            <a:ext cx="16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1" name="Line 74"/>
          <xdr:cNvSpPr>
            <a:spLocks/>
          </xdr:cNvSpPr>
        </xdr:nvSpPr>
        <xdr:spPr>
          <a:xfrm>
            <a:off x="662" y="201"/>
            <a:ext cx="9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2" name="Line 75"/>
          <xdr:cNvSpPr>
            <a:spLocks/>
          </xdr:cNvSpPr>
        </xdr:nvSpPr>
        <xdr:spPr>
          <a:xfrm flipH="1">
            <a:off x="579" y="90"/>
            <a:ext cx="3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3" name="Line 76"/>
          <xdr:cNvSpPr>
            <a:spLocks/>
          </xdr:cNvSpPr>
        </xdr:nvSpPr>
        <xdr:spPr>
          <a:xfrm>
            <a:off x="611" y="71"/>
            <a:ext cx="0" cy="6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4" name="Line 77"/>
          <xdr:cNvSpPr>
            <a:spLocks/>
          </xdr:cNvSpPr>
        </xdr:nvSpPr>
        <xdr:spPr>
          <a:xfrm>
            <a:off x="573" y="134"/>
            <a:ext cx="37"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5" name="Arc 78"/>
          <xdr:cNvSpPr>
            <a:spLocks/>
          </xdr:cNvSpPr>
        </xdr:nvSpPr>
        <xdr:spPr>
          <a:xfrm>
            <a:off x="751" y="135"/>
            <a:ext cx="60" cy="40"/>
          </a:xfrm>
          <a:custGeom>
            <a:pathLst>
              <a:path fill="none" h="14465" w="21600">
                <a:moveTo>
                  <a:pt x="21595" y="-1"/>
                </a:moveTo>
                <a:cubicBezTo>
                  <a:pt x="21598" y="152"/>
                  <a:pt x="21600" y="305"/>
                  <a:pt x="21600" y="459"/>
                </a:cubicBezTo>
                <a:cubicBezTo>
                  <a:pt x="21600" y="5592"/>
                  <a:pt x="19771" y="10557"/>
                  <a:pt x="16443" y="14465"/>
                </a:cubicBezTo>
              </a:path>
              <a:path stroke="0" h="14465" w="21600">
                <a:moveTo>
                  <a:pt x="21595" y="-1"/>
                </a:moveTo>
                <a:cubicBezTo>
                  <a:pt x="21598" y="152"/>
                  <a:pt x="21600" y="305"/>
                  <a:pt x="21600" y="459"/>
                </a:cubicBezTo>
                <a:cubicBezTo>
                  <a:pt x="21600" y="5592"/>
                  <a:pt x="19771" y="10557"/>
                  <a:pt x="16443" y="14465"/>
                </a:cubicBezTo>
                <a:lnTo>
                  <a:pt x="0" y="459"/>
                </a:lnTo>
                <a:lnTo>
                  <a:pt x="21595" y="-1"/>
                </a:lnTo>
                <a:close/>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6" name="Line 79"/>
          <xdr:cNvSpPr>
            <a:spLocks/>
          </xdr:cNvSpPr>
        </xdr:nvSpPr>
        <xdr:spPr>
          <a:xfrm>
            <a:off x="677" y="115"/>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7" name="Line 80"/>
          <xdr:cNvSpPr>
            <a:spLocks/>
          </xdr:cNvSpPr>
        </xdr:nvSpPr>
        <xdr:spPr>
          <a:xfrm>
            <a:off x="691"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8" name="Line 81"/>
          <xdr:cNvSpPr>
            <a:spLocks/>
          </xdr:cNvSpPr>
        </xdr:nvSpPr>
        <xdr:spPr>
          <a:xfrm>
            <a:off x="705"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19" name="Line 82"/>
          <xdr:cNvSpPr>
            <a:spLocks/>
          </xdr:cNvSpPr>
        </xdr:nvSpPr>
        <xdr:spPr>
          <a:xfrm>
            <a:off x="717"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0" name="Line 83"/>
          <xdr:cNvSpPr>
            <a:spLocks/>
          </xdr:cNvSpPr>
        </xdr:nvSpPr>
        <xdr:spPr>
          <a:xfrm>
            <a:off x="729"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1" name="Line 84"/>
          <xdr:cNvSpPr>
            <a:spLocks/>
          </xdr:cNvSpPr>
        </xdr:nvSpPr>
        <xdr:spPr>
          <a:xfrm>
            <a:off x="742"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22" name="Line 85"/>
          <xdr:cNvSpPr>
            <a:spLocks/>
          </xdr:cNvSpPr>
        </xdr:nvSpPr>
        <xdr:spPr>
          <a:xfrm>
            <a:off x="753"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11</xdr:col>
      <xdr:colOff>257175</xdr:colOff>
      <xdr:row>7</xdr:row>
      <xdr:rowOff>19050</xdr:rowOff>
    </xdr:from>
    <xdr:to>
      <xdr:col>11</xdr:col>
      <xdr:colOff>1123950</xdr:colOff>
      <xdr:row>8</xdr:row>
      <xdr:rowOff>66675</xdr:rowOff>
    </xdr:to>
    <xdr:sp textlink="$AW$6">
      <xdr:nvSpPr>
        <xdr:cNvPr id="23" name="Text Box 86"/>
        <xdr:cNvSpPr txBox="1">
          <a:spLocks noChangeArrowheads="1"/>
        </xdr:cNvSpPr>
      </xdr:nvSpPr>
      <xdr:spPr>
        <a:xfrm>
          <a:off x="9686925" y="1362075"/>
          <a:ext cx="866775" cy="238125"/>
        </a:xfrm>
        <a:prstGeom prst="rect">
          <a:avLst/>
        </a:prstGeom>
        <a:noFill/>
        <a:ln w="9525" cmpd="sng">
          <a:noFill/>
        </a:ln>
      </xdr:spPr>
      <xdr:txBody>
        <a:bodyPr vertOverflow="clip" wrap="square" lIns="36576" tIns="27432" rIns="0" bIns="0"/>
        <a:p>
          <a:pPr algn="l">
            <a:defRPr/>
          </a:pPr>
          <a:fld id="{0bcd4798-df8a-4b83-b3ae-05a20a757520}" type="TxLink">
            <a:rPr lang="en-US" cap="none" sz="1100" b="0" i="0" u="none" baseline="0">
              <a:solidFill>
                <a:srgbClr val="000000"/>
              </a:solidFill>
              <a:latin typeface="Times New Roman"/>
              <a:ea typeface="Times New Roman"/>
              <a:cs typeface="Times New Roman"/>
            </a:rPr>
            <a:t>β=47.71</a:t>
          </a:fld>
          <a:fld id="{b4c037d5-4c2e-4347-ac1f-6893202e20d7}" type="TxLink">
            <a:rPr lang="en-US" cap="none" sz="1100" b="0" i="0" u="none" baseline="0">
              <a:solidFill>
                <a:srgbClr val="000000"/>
              </a:solidFill>
              <a:latin typeface="ＭＳ Ｐゴシック"/>
              <a:ea typeface="ＭＳ Ｐゴシック"/>
              <a:cs typeface="ＭＳ Ｐゴシック"/>
            </a:rPr>
            <a:t>゜</a:t>
          </a:fld>
        </a:p>
      </xdr:txBody>
    </xdr:sp>
    <xdr:clientData/>
  </xdr:twoCellAnchor>
  <xdr:twoCellAnchor>
    <xdr:from>
      <xdr:col>9</xdr:col>
      <xdr:colOff>400050</xdr:colOff>
      <xdr:row>4</xdr:row>
      <xdr:rowOff>28575</xdr:rowOff>
    </xdr:from>
    <xdr:to>
      <xdr:col>10</xdr:col>
      <xdr:colOff>552450</xdr:colOff>
      <xdr:row>5</xdr:row>
      <xdr:rowOff>76200</xdr:rowOff>
    </xdr:to>
    <xdr:sp textlink="$AW$12">
      <xdr:nvSpPr>
        <xdr:cNvPr id="24" name="Text Box 87"/>
        <xdr:cNvSpPr txBox="1">
          <a:spLocks noChangeArrowheads="1"/>
        </xdr:cNvSpPr>
      </xdr:nvSpPr>
      <xdr:spPr>
        <a:xfrm>
          <a:off x="8115300" y="800100"/>
          <a:ext cx="1009650" cy="238125"/>
        </a:xfrm>
        <a:prstGeom prst="rect">
          <a:avLst/>
        </a:prstGeom>
        <a:noFill/>
        <a:ln w="9525" cmpd="sng">
          <a:noFill/>
        </a:ln>
      </xdr:spPr>
      <xdr:txBody>
        <a:bodyPr vertOverflow="clip" wrap="square" lIns="36576" tIns="27432" rIns="0" bIns="0"/>
        <a:p>
          <a:pPr algn="l">
            <a:defRPr/>
          </a:pPr>
          <a:fld id="{b0db0218-a0e7-4837-b1d0-d55b39d605e3}" type="TxLink">
            <a:rPr lang="en-US" cap="none" sz="1100" b="0" i="0" u="none" baseline="0">
              <a:solidFill>
                <a:srgbClr val="000000"/>
              </a:solidFill>
            </a:rPr>
            <a:t>q=0kN/m2</a:t>
          </a:fld>
        </a:p>
      </xdr:txBody>
    </xdr:sp>
    <xdr:clientData/>
  </xdr:twoCellAnchor>
  <xdr:twoCellAnchor>
    <xdr:from>
      <xdr:col>7</xdr:col>
      <xdr:colOff>438150</xdr:colOff>
      <xdr:row>9</xdr:row>
      <xdr:rowOff>9525</xdr:rowOff>
    </xdr:from>
    <xdr:to>
      <xdr:col>8</xdr:col>
      <xdr:colOff>447675</xdr:colOff>
      <xdr:row>10</xdr:row>
      <xdr:rowOff>57150</xdr:rowOff>
    </xdr:to>
    <xdr:sp textlink="$AW$3">
      <xdr:nvSpPr>
        <xdr:cNvPr id="25" name="Text Box 88"/>
        <xdr:cNvSpPr txBox="1">
          <a:spLocks noChangeArrowheads="1"/>
        </xdr:cNvSpPr>
      </xdr:nvSpPr>
      <xdr:spPr>
        <a:xfrm>
          <a:off x="6438900" y="1733550"/>
          <a:ext cx="866775" cy="238125"/>
        </a:xfrm>
        <a:prstGeom prst="rect">
          <a:avLst/>
        </a:prstGeom>
        <a:noFill/>
        <a:ln w="9525" cmpd="sng">
          <a:noFill/>
        </a:ln>
      </xdr:spPr>
      <xdr:txBody>
        <a:bodyPr vertOverflow="clip" wrap="square" lIns="36576" tIns="27432" rIns="0" bIns="0"/>
        <a:p>
          <a:pPr algn="l">
            <a:defRPr/>
          </a:pPr>
          <a:fld id="{d04fe419-1b6d-4691-94c7-b25d8c4ea28b}" type="TxLink">
            <a:rPr lang="en-US" cap="none" sz="1100" b="0" i="0" u="none" baseline="0">
              <a:solidFill>
                <a:srgbClr val="000000"/>
              </a:solidFill>
            </a:rPr>
            <a:t>B=3m</a:t>
          </a:fld>
        </a:p>
      </xdr:txBody>
    </xdr:sp>
    <xdr:clientData/>
  </xdr:twoCellAnchor>
  <xdr:twoCellAnchor>
    <xdr:from>
      <xdr:col>9</xdr:col>
      <xdr:colOff>295275</xdr:colOff>
      <xdr:row>8</xdr:row>
      <xdr:rowOff>180975</xdr:rowOff>
    </xdr:from>
    <xdr:to>
      <xdr:col>10</xdr:col>
      <xdr:colOff>304800</xdr:colOff>
      <xdr:row>10</xdr:row>
      <xdr:rowOff>38100</xdr:rowOff>
    </xdr:to>
    <xdr:sp textlink="$AW$5">
      <xdr:nvSpPr>
        <xdr:cNvPr id="26" name="Text Box 89"/>
        <xdr:cNvSpPr txBox="1">
          <a:spLocks noChangeArrowheads="1"/>
        </xdr:cNvSpPr>
      </xdr:nvSpPr>
      <xdr:spPr>
        <a:xfrm>
          <a:off x="8010525" y="1714500"/>
          <a:ext cx="866775" cy="238125"/>
        </a:xfrm>
        <a:prstGeom prst="rect">
          <a:avLst/>
        </a:prstGeom>
        <a:noFill/>
        <a:ln w="9525" cmpd="sng">
          <a:noFill/>
        </a:ln>
      </xdr:spPr>
      <xdr:txBody>
        <a:bodyPr vertOverflow="clip" wrap="square" lIns="36576" tIns="27432" rIns="0" bIns="0"/>
        <a:p>
          <a:pPr algn="l">
            <a:defRPr/>
          </a:pPr>
          <a:fld id="{1f11d149-6ecc-4c5e-9ee4-a4afa67a7099}" type="TxLink">
            <a:rPr lang="en-US" cap="none" sz="1100" b="0" i="0" u="none" baseline="0">
              <a:solidFill>
                <a:srgbClr val="000000"/>
              </a:solidFill>
            </a:rPr>
            <a:t>S=0.5m</a:t>
          </a:fld>
        </a:p>
      </xdr:txBody>
    </xdr:sp>
    <xdr:clientData/>
  </xdr:twoCellAnchor>
  <xdr:twoCellAnchor>
    <xdr:from>
      <xdr:col>8</xdr:col>
      <xdr:colOff>409575</xdr:colOff>
      <xdr:row>2</xdr:row>
      <xdr:rowOff>142875</xdr:rowOff>
    </xdr:from>
    <xdr:to>
      <xdr:col>9</xdr:col>
      <xdr:colOff>438150</xdr:colOff>
      <xdr:row>4</xdr:row>
      <xdr:rowOff>0</xdr:rowOff>
    </xdr:to>
    <xdr:sp textlink="$AW$9">
      <xdr:nvSpPr>
        <xdr:cNvPr id="27" name="Text Box 90"/>
        <xdr:cNvSpPr txBox="1">
          <a:spLocks noChangeArrowheads="1"/>
        </xdr:cNvSpPr>
      </xdr:nvSpPr>
      <xdr:spPr>
        <a:xfrm>
          <a:off x="7267575" y="533400"/>
          <a:ext cx="885825" cy="238125"/>
        </a:xfrm>
        <a:prstGeom prst="rect">
          <a:avLst/>
        </a:prstGeom>
        <a:noFill/>
        <a:ln w="9525" cmpd="sng">
          <a:noFill/>
        </a:ln>
      </xdr:spPr>
      <xdr:txBody>
        <a:bodyPr vertOverflow="clip" wrap="square" lIns="36576" tIns="27432" rIns="0" bIns="0"/>
        <a:p>
          <a:pPr algn="l">
            <a:defRPr/>
          </a:pPr>
          <a:fld id="{32400e18-5cad-45cd-ae65-b3fa8c0574f0}" type="TxLink">
            <a:rPr lang="en-US" cap="none" sz="1100" b="0" i="0" u="none" baseline="0">
              <a:solidFill>
                <a:srgbClr val="000000"/>
              </a:solidFill>
            </a:rPr>
            <a:t>V=3181kN</a:t>
          </a:fld>
        </a:p>
      </xdr:txBody>
    </xdr:sp>
    <xdr:clientData/>
  </xdr:twoCellAnchor>
  <xdr:twoCellAnchor>
    <xdr:from>
      <xdr:col>7</xdr:col>
      <xdr:colOff>581025</xdr:colOff>
      <xdr:row>3</xdr:row>
      <xdr:rowOff>66675</xdr:rowOff>
    </xdr:from>
    <xdr:to>
      <xdr:col>8</xdr:col>
      <xdr:colOff>590550</xdr:colOff>
      <xdr:row>4</xdr:row>
      <xdr:rowOff>114300</xdr:rowOff>
    </xdr:to>
    <xdr:sp textlink="$AW$11">
      <xdr:nvSpPr>
        <xdr:cNvPr id="28" name="Text Box 91"/>
        <xdr:cNvSpPr txBox="1">
          <a:spLocks noChangeArrowheads="1"/>
        </xdr:cNvSpPr>
      </xdr:nvSpPr>
      <xdr:spPr>
        <a:xfrm>
          <a:off x="6581775" y="647700"/>
          <a:ext cx="866775" cy="238125"/>
        </a:xfrm>
        <a:prstGeom prst="rect">
          <a:avLst/>
        </a:prstGeom>
        <a:noFill/>
        <a:ln w="9525" cmpd="sng">
          <a:noFill/>
        </a:ln>
      </xdr:spPr>
      <xdr:txBody>
        <a:bodyPr vertOverflow="clip" wrap="square" lIns="36576" tIns="27432" rIns="0" bIns="0"/>
        <a:p>
          <a:pPr algn="l">
            <a:defRPr/>
          </a:pPr>
          <a:fld id="{ddc059c4-53d9-4ed1-90a6-4245a6ca236c}" type="TxLink">
            <a:rPr lang="en-US" cap="none" sz="1100" b="0" i="0" u="none" baseline="0">
              <a:solidFill>
                <a:srgbClr val="000000"/>
              </a:solidFill>
            </a:rPr>
            <a:t>e=0.67m</a:t>
          </a:fld>
        </a:p>
      </xdr:txBody>
    </xdr:sp>
    <xdr:clientData/>
  </xdr:twoCellAnchor>
  <xdr:twoCellAnchor>
    <xdr:from>
      <xdr:col>7</xdr:col>
      <xdr:colOff>200025</xdr:colOff>
      <xdr:row>5</xdr:row>
      <xdr:rowOff>123825</xdr:rowOff>
    </xdr:from>
    <xdr:to>
      <xdr:col>8</xdr:col>
      <xdr:colOff>209550</xdr:colOff>
      <xdr:row>6</xdr:row>
      <xdr:rowOff>171450</xdr:rowOff>
    </xdr:to>
    <xdr:sp textlink="$AW$10">
      <xdr:nvSpPr>
        <xdr:cNvPr id="29" name="Text Box 92"/>
        <xdr:cNvSpPr txBox="1">
          <a:spLocks noChangeArrowheads="1"/>
        </xdr:cNvSpPr>
      </xdr:nvSpPr>
      <xdr:spPr>
        <a:xfrm>
          <a:off x="6200775" y="1085850"/>
          <a:ext cx="866775" cy="238125"/>
        </a:xfrm>
        <a:prstGeom prst="rect">
          <a:avLst/>
        </a:prstGeom>
        <a:noFill/>
        <a:ln w="9525" cmpd="sng">
          <a:noFill/>
        </a:ln>
      </xdr:spPr>
      <xdr:txBody>
        <a:bodyPr vertOverflow="clip" wrap="square" lIns="36576" tIns="27432" rIns="0" bIns="0"/>
        <a:p>
          <a:pPr algn="l">
            <a:defRPr/>
          </a:pPr>
          <a:fld id="{ae478e04-94ce-4885-a9fd-b481ba1026d7}" type="TxLink">
            <a:rPr lang="en-US" cap="none" sz="1100" b="0" i="0" u="none" baseline="0">
              <a:solidFill>
                <a:srgbClr val="000000"/>
              </a:solidFill>
            </a:rPr>
            <a:t>H=1386kN</a:t>
          </a:fld>
        </a:p>
      </xdr:txBody>
    </xdr:sp>
    <xdr:clientData/>
  </xdr:twoCellAnchor>
  <xdr:twoCellAnchor>
    <xdr:from>
      <xdr:col>6</xdr:col>
      <xdr:colOff>571500</xdr:colOff>
      <xdr:row>15</xdr:row>
      <xdr:rowOff>47625</xdr:rowOff>
    </xdr:from>
    <xdr:to>
      <xdr:col>11</xdr:col>
      <xdr:colOff>504825</xdr:colOff>
      <xdr:row>28</xdr:row>
      <xdr:rowOff>152400</xdr:rowOff>
    </xdr:to>
    <xdr:graphicFrame>
      <xdr:nvGraphicFramePr>
        <xdr:cNvPr id="30" name="グラフ 94"/>
        <xdr:cNvGraphicFramePr/>
      </xdr:nvGraphicFramePr>
      <xdr:xfrm>
        <a:off x="5715000" y="2933700"/>
        <a:ext cx="4219575" cy="247650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83</xdr:row>
      <xdr:rowOff>171450</xdr:rowOff>
    </xdr:from>
    <xdr:to>
      <xdr:col>5</xdr:col>
      <xdr:colOff>381000</xdr:colOff>
      <xdr:row>91</xdr:row>
      <xdr:rowOff>47625</xdr:rowOff>
    </xdr:to>
    <xdr:grpSp>
      <xdr:nvGrpSpPr>
        <xdr:cNvPr id="31" name="Group 114"/>
        <xdr:cNvGrpSpPr>
          <a:grpSpLocks/>
        </xdr:cNvGrpSpPr>
      </xdr:nvGrpSpPr>
      <xdr:grpSpPr>
        <a:xfrm>
          <a:off x="323850" y="15563850"/>
          <a:ext cx="4343400" cy="1400175"/>
          <a:chOff x="28" y="1701"/>
          <a:chExt cx="364" cy="147"/>
        </a:xfrm>
        <a:solidFill>
          <a:srgbClr val="FFFFFF"/>
        </a:solidFill>
      </xdr:grpSpPr>
      <xdr:pic>
        <xdr:nvPicPr>
          <xdr:cNvPr id="32" name="Picture 101"/>
          <xdr:cNvPicPr preferRelativeResize="1">
            <a:picLocks noChangeAspect="1"/>
          </xdr:cNvPicPr>
        </xdr:nvPicPr>
        <xdr:blipFill>
          <a:blip r:embed="rId2"/>
          <a:stretch>
            <a:fillRect/>
          </a:stretch>
        </xdr:blipFill>
        <xdr:spPr>
          <a:xfrm>
            <a:off x="28" y="1701"/>
            <a:ext cx="364" cy="147"/>
          </a:xfrm>
          <a:prstGeom prst="rect">
            <a:avLst/>
          </a:prstGeom>
          <a:noFill/>
          <a:ln w="9525" cmpd="sng">
            <a:noFill/>
          </a:ln>
        </xdr:spPr>
      </xdr:pic>
      <xdr:sp>
        <xdr:nvSpPr>
          <xdr:cNvPr id="33" name="Oval 102"/>
          <xdr:cNvSpPr>
            <a:spLocks/>
          </xdr:cNvSpPr>
        </xdr:nvSpPr>
        <xdr:spPr>
          <a:xfrm>
            <a:off x="49" y="1814"/>
            <a:ext cx="56" cy="27"/>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66675</xdr:colOff>
      <xdr:row>43</xdr:row>
      <xdr:rowOff>104775</xdr:rowOff>
    </xdr:from>
    <xdr:to>
      <xdr:col>6</xdr:col>
      <xdr:colOff>85725</xdr:colOff>
      <xdr:row>61</xdr:row>
      <xdr:rowOff>104775</xdr:rowOff>
    </xdr:to>
    <xdr:grpSp>
      <xdr:nvGrpSpPr>
        <xdr:cNvPr id="34" name="Group 112"/>
        <xdr:cNvGrpSpPr>
          <a:grpSpLocks/>
        </xdr:cNvGrpSpPr>
      </xdr:nvGrpSpPr>
      <xdr:grpSpPr>
        <a:xfrm>
          <a:off x="66675" y="8029575"/>
          <a:ext cx="5162550" cy="3429000"/>
          <a:chOff x="5" y="894"/>
          <a:chExt cx="434" cy="360"/>
        </a:xfrm>
        <a:solidFill>
          <a:srgbClr val="FFFFFF"/>
        </a:solidFill>
      </xdr:grpSpPr>
      <xdr:pic>
        <xdr:nvPicPr>
          <xdr:cNvPr id="35" name="Picture 109"/>
          <xdr:cNvPicPr preferRelativeResize="1">
            <a:picLocks noChangeAspect="1"/>
          </xdr:cNvPicPr>
        </xdr:nvPicPr>
        <xdr:blipFill>
          <a:blip r:embed="rId3"/>
          <a:stretch>
            <a:fillRect/>
          </a:stretch>
        </xdr:blipFill>
        <xdr:spPr>
          <a:xfrm>
            <a:off x="5" y="894"/>
            <a:ext cx="433" cy="360"/>
          </a:xfrm>
          <a:prstGeom prst="rect">
            <a:avLst/>
          </a:prstGeom>
          <a:noFill/>
          <a:ln w="9525" cmpd="sng">
            <a:noFill/>
          </a:ln>
        </xdr:spPr>
      </xdr:pic>
      <xdr:sp>
        <xdr:nvSpPr>
          <xdr:cNvPr id="36" name="Oval 99"/>
          <xdr:cNvSpPr>
            <a:spLocks/>
          </xdr:cNvSpPr>
        </xdr:nvSpPr>
        <xdr:spPr>
          <a:xfrm>
            <a:off x="270" y="918"/>
            <a:ext cx="56" cy="14"/>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Oval 103"/>
          <xdr:cNvSpPr>
            <a:spLocks/>
          </xdr:cNvSpPr>
        </xdr:nvSpPr>
        <xdr:spPr>
          <a:xfrm>
            <a:off x="262" y="1114"/>
            <a:ext cx="177" cy="3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0</xdr:colOff>
      <xdr:row>66</xdr:row>
      <xdr:rowOff>104775</xdr:rowOff>
    </xdr:from>
    <xdr:to>
      <xdr:col>5</xdr:col>
      <xdr:colOff>695325</xdr:colOff>
      <xdr:row>78</xdr:row>
      <xdr:rowOff>19050</xdr:rowOff>
    </xdr:to>
    <xdr:grpSp>
      <xdr:nvGrpSpPr>
        <xdr:cNvPr id="38" name="Group 113"/>
        <xdr:cNvGrpSpPr>
          <a:grpSpLocks/>
        </xdr:cNvGrpSpPr>
      </xdr:nvGrpSpPr>
      <xdr:grpSpPr>
        <a:xfrm>
          <a:off x="0" y="12334875"/>
          <a:ext cx="4981575" cy="2200275"/>
          <a:chOff x="0" y="1354"/>
          <a:chExt cx="419" cy="231"/>
        </a:xfrm>
        <a:solidFill>
          <a:srgbClr val="FFFFFF"/>
        </a:solidFill>
      </xdr:grpSpPr>
      <xdr:pic>
        <xdr:nvPicPr>
          <xdr:cNvPr id="39" name="Picture 110"/>
          <xdr:cNvPicPr preferRelativeResize="1">
            <a:picLocks noChangeAspect="1"/>
          </xdr:cNvPicPr>
        </xdr:nvPicPr>
        <xdr:blipFill>
          <a:blip r:embed="rId4"/>
          <a:stretch>
            <a:fillRect/>
          </a:stretch>
        </xdr:blipFill>
        <xdr:spPr>
          <a:xfrm>
            <a:off x="0" y="1354"/>
            <a:ext cx="419" cy="231"/>
          </a:xfrm>
          <a:prstGeom prst="rect">
            <a:avLst/>
          </a:prstGeom>
          <a:noFill/>
          <a:ln w="9525" cmpd="sng">
            <a:noFill/>
          </a:ln>
        </xdr:spPr>
      </xdr:pic>
      <xdr:sp>
        <xdr:nvSpPr>
          <xdr:cNvPr id="40" name="Oval 100"/>
          <xdr:cNvSpPr>
            <a:spLocks/>
          </xdr:cNvSpPr>
        </xdr:nvSpPr>
        <xdr:spPr>
          <a:xfrm>
            <a:off x="335" y="1381"/>
            <a:ext cx="83" cy="1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171450</xdr:colOff>
      <xdr:row>100</xdr:row>
      <xdr:rowOff>133350</xdr:rowOff>
    </xdr:from>
    <xdr:to>
      <xdr:col>6</xdr:col>
      <xdr:colOff>123825</xdr:colOff>
      <xdr:row>118</xdr:row>
      <xdr:rowOff>85725</xdr:rowOff>
    </xdr:to>
    <xdr:grpSp>
      <xdr:nvGrpSpPr>
        <xdr:cNvPr id="41" name="Group 115"/>
        <xdr:cNvGrpSpPr>
          <a:grpSpLocks/>
        </xdr:cNvGrpSpPr>
      </xdr:nvGrpSpPr>
      <xdr:grpSpPr>
        <a:xfrm>
          <a:off x="171450" y="18611850"/>
          <a:ext cx="5095875" cy="3381375"/>
          <a:chOff x="14" y="2037"/>
          <a:chExt cx="429" cy="355"/>
        </a:xfrm>
        <a:solidFill>
          <a:srgbClr val="FFFFFF"/>
        </a:solidFill>
      </xdr:grpSpPr>
      <xdr:pic>
        <xdr:nvPicPr>
          <xdr:cNvPr id="42" name="Picture 111"/>
          <xdr:cNvPicPr preferRelativeResize="1">
            <a:picLocks noChangeAspect="1"/>
          </xdr:cNvPicPr>
        </xdr:nvPicPr>
        <xdr:blipFill>
          <a:blip r:embed="rId5"/>
          <a:stretch>
            <a:fillRect/>
          </a:stretch>
        </xdr:blipFill>
        <xdr:spPr>
          <a:xfrm>
            <a:off x="14" y="2037"/>
            <a:ext cx="429" cy="355"/>
          </a:xfrm>
          <a:prstGeom prst="rect">
            <a:avLst/>
          </a:prstGeom>
          <a:noFill/>
          <a:ln w="9525" cmpd="sng">
            <a:noFill/>
          </a:ln>
        </xdr:spPr>
      </xdr:pic>
      <xdr:sp>
        <xdr:nvSpPr>
          <xdr:cNvPr id="43" name="Oval 107"/>
          <xdr:cNvSpPr>
            <a:spLocks/>
          </xdr:cNvSpPr>
        </xdr:nvSpPr>
        <xdr:spPr>
          <a:xfrm>
            <a:off x="275" y="2054"/>
            <a:ext cx="63" cy="3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657225</xdr:colOff>
      <xdr:row>114</xdr:row>
      <xdr:rowOff>19050</xdr:rowOff>
    </xdr:from>
    <xdr:to>
      <xdr:col>6</xdr:col>
      <xdr:colOff>190500</xdr:colOff>
      <xdr:row>115</xdr:row>
      <xdr:rowOff>66675</xdr:rowOff>
    </xdr:to>
    <xdr:sp>
      <xdr:nvSpPr>
        <xdr:cNvPr id="44" name="Oval 108"/>
        <xdr:cNvSpPr>
          <a:spLocks/>
        </xdr:cNvSpPr>
      </xdr:nvSpPr>
      <xdr:spPr>
        <a:xfrm>
          <a:off x="3228975" y="21164550"/>
          <a:ext cx="210502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495300</xdr:colOff>
      <xdr:row>122</xdr:row>
      <xdr:rowOff>133350</xdr:rowOff>
    </xdr:from>
    <xdr:to>
      <xdr:col>5</xdr:col>
      <xdr:colOff>171450</xdr:colOff>
      <xdr:row>134</xdr:row>
      <xdr:rowOff>142875</xdr:rowOff>
    </xdr:to>
    <xdr:grpSp>
      <xdr:nvGrpSpPr>
        <xdr:cNvPr id="45" name="Group 116"/>
        <xdr:cNvGrpSpPr>
          <a:grpSpLocks/>
        </xdr:cNvGrpSpPr>
      </xdr:nvGrpSpPr>
      <xdr:grpSpPr>
        <a:xfrm>
          <a:off x="495300" y="22745700"/>
          <a:ext cx="3962400" cy="2295525"/>
          <a:chOff x="42" y="2477"/>
          <a:chExt cx="332" cy="241"/>
        </a:xfrm>
        <a:solidFill>
          <a:srgbClr val="FFFFFF"/>
        </a:solidFill>
      </xdr:grpSpPr>
      <xdr:pic>
        <xdr:nvPicPr>
          <xdr:cNvPr id="46" name="Picture 104"/>
          <xdr:cNvPicPr preferRelativeResize="1">
            <a:picLocks noChangeAspect="1"/>
          </xdr:cNvPicPr>
        </xdr:nvPicPr>
        <xdr:blipFill>
          <a:blip r:embed="rId6"/>
          <a:stretch>
            <a:fillRect/>
          </a:stretch>
        </xdr:blipFill>
        <xdr:spPr>
          <a:xfrm>
            <a:off x="45" y="2477"/>
            <a:ext cx="329" cy="241"/>
          </a:xfrm>
          <a:prstGeom prst="rect">
            <a:avLst/>
          </a:prstGeom>
          <a:noFill/>
          <a:ln w="9525" cmpd="sng">
            <a:noFill/>
          </a:ln>
        </xdr:spPr>
      </xdr:pic>
      <xdr:sp>
        <xdr:nvSpPr>
          <xdr:cNvPr id="47" name="Oval 105"/>
          <xdr:cNvSpPr>
            <a:spLocks/>
          </xdr:cNvSpPr>
        </xdr:nvSpPr>
        <xdr:spPr>
          <a:xfrm>
            <a:off x="42" y="2555"/>
            <a:ext cx="52" cy="2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71</xdr:row>
      <xdr:rowOff>76200</xdr:rowOff>
    </xdr:from>
    <xdr:to>
      <xdr:col>5</xdr:col>
      <xdr:colOff>400050</xdr:colOff>
      <xdr:row>74</xdr:row>
      <xdr:rowOff>38100</xdr:rowOff>
    </xdr:to>
    <xdr:pic>
      <xdr:nvPicPr>
        <xdr:cNvPr id="1" name="Picture 3"/>
        <xdr:cNvPicPr preferRelativeResize="1">
          <a:picLocks noChangeAspect="1"/>
        </xdr:cNvPicPr>
      </xdr:nvPicPr>
      <xdr:blipFill>
        <a:blip r:embed="rId1"/>
        <a:stretch>
          <a:fillRect/>
        </a:stretch>
      </xdr:blipFill>
      <xdr:spPr>
        <a:xfrm>
          <a:off x="495300" y="13211175"/>
          <a:ext cx="4143375" cy="514350"/>
        </a:xfrm>
        <a:prstGeom prst="rect">
          <a:avLst/>
        </a:prstGeom>
        <a:noFill/>
        <a:ln w="9525" cmpd="sng">
          <a:noFill/>
        </a:ln>
      </xdr:spPr>
    </xdr:pic>
    <xdr:clientData/>
  </xdr:twoCellAnchor>
  <xdr:twoCellAnchor editAs="oneCell">
    <xdr:from>
      <xdr:col>0</xdr:col>
      <xdr:colOff>457200</xdr:colOff>
      <xdr:row>77</xdr:row>
      <xdr:rowOff>123825</xdr:rowOff>
    </xdr:from>
    <xdr:to>
      <xdr:col>7</xdr:col>
      <xdr:colOff>647700</xdr:colOff>
      <xdr:row>83</xdr:row>
      <xdr:rowOff>9525</xdr:rowOff>
    </xdr:to>
    <xdr:pic>
      <xdr:nvPicPr>
        <xdr:cNvPr id="2" name="Picture 6"/>
        <xdr:cNvPicPr preferRelativeResize="1">
          <a:picLocks noChangeAspect="1"/>
        </xdr:cNvPicPr>
      </xdr:nvPicPr>
      <xdr:blipFill>
        <a:blip r:embed="rId2"/>
        <a:stretch>
          <a:fillRect/>
        </a:stretch>
      </xdr:blipFill>
      <xdr:spPr>
        <a:xfrm>
          <a:off x="457200" y="14363700"/>
          <a:ext cx="6124575" cy="1000125"/>
        </a:xfrm>
        <a:prstGeom prst="rect">
          <a:avLst/>
        </a:prstGeom>
        <a:noFill/>
        <a:ln w="9525" cmpd="sng">
          <a:noFill/>
        </a:ln>
      </xdr:spPr>
    </xdr:pic>
    <xdr:clientData/>
  </xdr:twoCellAnchor>
  <xdr:twoCellAnchor editAs="oneCell">
    <xdr:from>
      <xdr:col>1</xdr:col>
      <xdr:colOff>9525</xdr:colOff>
      <xdr:row>84</xdr:row>
      <xdr:rowOff>95250</xdr:rowOff>
    </xdr:from>
    <xdr:to>
      <xdr:col>4</xdr:col>
      <xdr:colOff>485775</xdr:colOff>
      <xdr:row>86</xdr:row>
      <xdr:rowOff>123825</xdr:rowOff>
    </xdr:to>
    <xdr:pic>
      <xdr:nvPicPr>
        <xdr:cNvPr id="3" name="Picture 7"/>
        <xdr:cNvPicPr preferRelativeResize="1">
          <a:picLocks noChangeAspect="1"/>
        </xdr:cNvPicPr>
      </xdr:nvPicPr>
      <xdr:blipFill>
        <a:blip r:embed="rId3"/>
        <a:stretch>
          <a:fillRect/>
        </a:stretch>
      </xdr:blipFill>
      <xdr:spPr>
        <a:xfrm>
          <a:off x="857250" y="15640050"/>
          <a:ext cx="3019425" cy="400050"/>
        </a:xfrm>
        <a:prstGeom prst="rect">
          <a:avLst/>
        </a:prstGeom>
        <a:noFill/>
        <a:ln w="9525" cmpd="sng">
          <a:noFill/>
        </a:ln>
      </xdr:spPr>
    </xdr:pic>
    <xdr:clientData/>
  </xdr:twoCellAnchor>
  <xdr:twoCellAnchor editAs="oneCell">
    <xdr:from>
      <xdr:col>0</xdr:col>
      <xdr:colOff>742950</xdr:colOff>
      <xdr:row>87</xdr:row>
      <xdr:rowOff>95250</xdr:rowOff>
    </xdr:from>
    <xdr:to>
      <xdr:col>7</xdr:col>
      <xdr:colOff>733425</xdr:colOff>
      <xdr:row>89</xdr:row>
      <xdr:rowOff>123825</xdr:rowOff>
    </xdr:to>
    <xdr:pic>
      <xdr:nvPicPr>
        <xdr:cNvPr id="4" name="Picture 8"/>
        <xdr:cNvPicPr preferRelativeResize="1">
          <a:picLocks noChangeAspect="1"/>
        </xdr:cNvPicPr>
      </xdr:nvPicPr>
      <xdr:blipFill>
        <a:blip r:embed="rId4"/>
        <a:stretch>
          <a:fillRect/>
        </a:stretch>
      </xdr:blipFill>
      <xdr:spPr>
        <a:xfrm>
          <a:off x="742950" y="16192500"/>
          <a:ext cx="5924550" cy="400050"/>
        </a:xfrm>
        <a:prstGeom prst="rect">
          <a:avLst/>
        </a:prstGeom>
        <a:noFill/>
        <a:ln w="9525" cmpd="sng">
          <a:noFill/>
        </a:ln>
      </xdr:spPr>
    </xdr:pic>
    <xdr:clientData/>
  </xdr:twoCellAnchor>
  <xdr:twoCellAnchor editAs="oneCell">
    <xdr:from>
      <xdr:col>2</xdr:col>
      <xdr:colOff>781050</xdr:colOff>
      <xdr:row>90</xdr:row>
      <xdr:rowOff>95250</xdr:rowOff>
    </xdr:from>
    <xdr:to>
      <xdr:col>3</xdr:col>
      <xdr:colOff>828675</xdr:colOff>
      <xdr:row>91</xdr:row>
      <xdr:rowOff>152400</xdr:rowOff>
    </xdr:to>
    <xdr:pic>
      <xdr:nvPicPr>
        <xdr:cNvPr id="5" name="Picture 11"/>
        <xdr:cNvPicPr preferRelativeResize="1">
          <a:picLocks noChangeAspect="1"/>
        </xdr:cNvPicPr>
      </xdr:nvPicPr>
      <xdr:blipFill>
        <a:blip r:embed="rId5"/>
        <a:stretch>
          <a:fillRect/>
        </a:stretch>
      </xdr:blipFill>
      <xdr:spPr>
        <a:xfrm>
          <a:off x="2476500" y="16744950"/>
          <a:ext cx="895350" cy="238125"/>
        </a:xfrm>
        <a:prstGeom prst="rect">
          <a:avLst/>
        </a:prstGeom>
        <a:noFill/>
        <a:ln w="9525" cmpd="sng">
          <a:noFill/>
        </a:ln>
      </xdr:spPr>
    </xdr:pic>
    <xdr:clientData/>
  </xdr:twoCellAnchor>
  <xdr:twoCellAnchor editAs="oneCell">
    <xdr:from>
      <xdr:col>1</xdr:col>
      <xdr:colOff>66675</xdr:colOff>
      <xdr:row>93</xdr:row>
      <xdr:rowOff>66675</xdr:rowOff>
    </xdr:from>
    <xdr:to>
      <xdr:col>2</xdr:col>
      <xdr:colOff>200025</xdr:colOff>
      <xdr:row>95</xdr:row>
      <xdr:rowOff>114300</xdr:rowOff>
    </xdr:to>
    <xdr:pic>
      <xdr:nvPicPr>
        <xdr:cNvPr id="6" name="Picture 12"/>
        <xdr:cNvPicPr preferRelativeResize="1">
          <a:picLocks noChangeAspect="1"/>
        </xdr:cNvPicPr>
      </xdr:nvPicPr>
      <xdr:blipFill>
        <a:blip r:embed="rId6"/>
        <a:stretch>
          <a:fillRect/>
        </a:stretch>
      </xdr:blipFill>
      <xdr:spPr>
        <a:xfrm>
          <a:off x="914400" y="17268825"/>
          <a:ext cx="981075" cy="419100"/>
        </a:xfrm>
        <a:prstGeom prst="rect">
          <a:avLst/>
        </a:prstGeom>
        <a:noFill/>
        <a:ln w="9525" cmpd="sng">
          <a:noFill/>
        </a:ln>
      </xdr:spPr>
    </xdr:pic>
    <xdr:clientData/>
  </xdr:twoCellAnchor>
  <xdr:twoCellAnchor editAs="oneCell">
    <xdr:from>
      <xdr:col>3</xdr:col>
      <xdr:colOff>0</xdr:colOff>
      <xdr:row>93</xdr:row>
      <xdr:rowOff>95250</xdr:rowOff>
    </xdr:from>
    <xdr:to>
      <xdr:col>4</xdr:col>
      <xdr:colOff>180975</xdr:colOff>
      <xdr:row>95</xdr:row>
      <xdr:rowOff>161925</xdr:rowOff>
    </xdr:to>
    <xdr:pic>
      <xdr:nvPicPr>
        <xdr:cNvPr id="7" name="Picture 13"/>
        <xdr:cNvPicPr preferRelativeResize="1">
          <a:picLocks noChangeAspect="1"/>
        </xdr:cNvPicPr>
      </xdr:nvPicPr>
      <xdr:blipFill>
        <a:blip r:embed="rId7"/>
        <a:stretch>
          <a:fillRect/>
        </a:stretch>
      </xdr:blipFill>
      <xdr:spPr>
        <a:xfrm>
          <a:off x="2543175" y="17297400"/>
          <a:ext cx="1028700" cy="438150"/>
        </a:xfrm>
        <a:prstGeom prst="rect">
          <a:avLst/>
        </a:prstGeom>
        <a:noFill/>
        <a:ln w="9525" cmpd="sng">
          <a:noFill/>
        </a:ln>
      </xdr:spPr>
    </xdr:pic>
    <xdr:clientData/>
  </xdr:twoCellAnchor>
  <xdr:twoCellAnchor editAs="oneCell">
    <xdr:from>
      <xdr:col>4</xdr:col>
      <xdr:colOff>542925</xdr:colOff>
      <xdr:row>93</xdr:row>
      <xdr:rowOff>133350</xdr:rowOff>
    </xdr:from>
    <xdr:to>
      <xdr:col>7</xdr:col>
      <xdr:colOff>352425</xdr:colOff>
      <xdr:row>95</xdr:row>
      <xdr:rowOff>19050</xdr:rowOff>
    </xdr:to>
    <xdr:pic>
      <xdr:nvPicPr>
        <xdr:cNvPr id="8" name="Picture 14"/>
        <xdr:cNvPicPr preferRelativeResize="1">
          <a:picLocks noChangeAspect="1"/>
        </xdr:cNvPicPr>
      </xdr:nvPicPr>
      <xdr:blipFill>
        <a:blip r:embed="rId8"/>
        <a:stretch>
          <a:fillRect/>
        </a:stretch>
      </xdr:blipFill>
      <xdr:spPr>
        <a:xfrm>
          <a:off x="3933825" y="17335500"/>
          <a:ext cx="2352675" cy="257175"/>
        </a:xfrm>
        <a:prstGeom prst="rect">
          <a:avLst/>
        </a:prstGeom>
        <a:noFill/>
        <a:ln w="9525" cmpd="sng">
          <a:noFill/>
        </a:ln>
      </xdr:spPr>
    </xdr:pic>
    <xdr:clientData/>
  </xdr:twoCellAnchor>
  <xdr:twoCellAnchor editAs="oneCell">
    <xdr:from>
      <xdr:col>1</xdr:col>
      <xdr:colOff>28575</xdr:colOff>
      <xdr:row>96</xdr:row>
      <xdr:rowOff>19050</xdr:rowOff>
    </xdr:from>
    <xdr:to>
      <xdr:col>2</xdr:col>
      <xdr:colOff>247650</xdr:colOff>
      <xdr:row>98</xdr:row>
      <xdr:rowOff>95250</xdr:rowOff>
    </xdr:to>
    <xdr:pic>
      <xdr:nvPicPr>
        <xdr:cNvPr id="9" name="Picture 15"/>
        <xdr:cNvPicPr preferRelativeResize="1">
          <a:picLocks noChangeAspect="1"/>
        </xdr:cNvPicPr>
      </xdr:nvPicPr>
      <xdr:blipFill>
        <a:blip r:embed="rId9"/>
        <a:stretch>
          <a:fillRect/>
        </a:stretch>
      </xdr:blipFill>
      <xdr:spPr>
        <a:xfrm>
          <a:off x="876300" y="17773650"/>
          <a:ext cx="1066800" cy="447675"/>
        </a:xfrm>
        <a:prstGeom prst="rect">
          <a:avLst/>
        </a:prstGeom>
        <a:noFill/>
        <a:ln w="9525" cmpd="sng">
          <a:noFill/>
        </a:ln>
      </xdr:spPr>
    </xdr:pic>
    <xdr:clientData/>
  </xdr:twoCellAnchor>
  <xdr:twoCellAnchor editAs="oneCell">
    <xdr:from>
      <xdr:col>2</xdr:col>
      <xdr:colOff>781050</xdr:colOff>
      <xdr:row>96</xdr:row>
      <xdr:rowOff>66675</xdr:rowOff>
    </xdr:from>
    <xdr:to>
      <xdr:col>4</xdr:col>
      <xdr:colOff>476250</xdr:colOff>
      <xdr:row>98</xdr:row>
      <xdr:rowOff>142875</xdr:rowOff>
    </xdr:to>
    <xdr:pic>
      <xdr:nvPicPr>
        <xdr:cNvPr id="10" name="Picture 16"/>
        <xdr:cNvPicPr preferRelativeResize="1">
          <a:picLocks noChangeAspect="1"/>
        </xdr:cNvPicPr>
      </xdr:nvPicPr>
      <xdr:blipFill>
        <a:blip r:embed="rId10"/>
        <a:stretch>
          <a:fillRect/>
        </a:stretch>
      </xdr:blipFill>
      <xdr:spPr>
        <a:xfrm>
          <a:off x="2476500" y="17821275"/>
          <a:ext cx="1390650" cy="447675"/>
        </a:xfrm>
        <a:prstGeom prst="rect">
          <a:avLst/>
        </a:prstGeom>
        <a:noFill/>
        <a:ln w="9525" cmpd="sng">
          <a:noFill/>
        </a:ln>
      </xdr:spPr>
    </xdr:pic>
    <xdr:clientData/>
  </xdr:twoCellAnchor>
  <xdr:twoCellAnchor editAs="oneCell">
    <xdr:from>
      <xdr:col>1</xdr:col>
      <xdr:colOff>0</xdr:colOff>
      <xdr:row>100</xdr:row>
      <xdr:rowOff>114300</xdr:rowOff>
    </xdr:from>
    <xdr:to>
      <xdr:col>2</xdr:col>
      <xdr:colOff>685800</xdr:colOff>
      <xdr:row>102</xdr:row>
      <xdr:rowOff>133350</xdr:rowOff>
    </xdr:to>
    <xdr:pic>
      <xdr:nvPicPr>
        <xdr:cNvPr id="11" name="Picture 17"/>
        <xdr:cNvPicPr preferRelativeResize="1">
          <a:picLocks noChangeAspect="1"/>
        </xdr:cNvPicPr>
      </xdr:nvPicPr>
      <xdr:blipFill>
        <a:blip r:embed="rId11"/>
        <a:stretch>
          <a:fillRect/>
        </a:stretch>
      </xdr:blipFill>
      <xdr:spPr>
        <a:xfrm>
          <a:off x="847725" y="18602325"/>
          <a:ext cx="1533525" cy="390525"/>
        </a:xfrm>
        <a:prstGeom prst="rect">
          <a:avLst/>
        </a:prstGeom>
        <a:noFill/>
        <a:ln w="9525" cmpd="sng">
          <a:noFill/>
        </a:ln>
      </xdr:spPr>
    </xdr:pic>
    <xdr:clientData/>
  </xdr:twoCellAnchor>
  <xdr:twoCellAnchor>
    <xdr:from>
      <xdr:col>0</xdr:col>
      <xdr:colOff>657225</xdr:colOff>
      <xdr:row>147</xdr:row>
      <xdr:rowOff>38100</xdr:rowOff>
    </xdr:from>
    <xdr:to>
      <xdr:col>7</xdr:col>
      <xdr:colOff>742950</xdr:colOff>
      <xdr:row>157</xdr:row>
      <xdr:rowOff>47625</xdr:rowOff>
    </xdr:to>
    <xdr:graphicFrame>
      <xdr:nvGraphicFramePr>
        <xdr:cNvPr id="12" name="グラフ 21"/>
        <xdr:cNvGraphicFramePr/>
      </xdr:nvGraphicFramePr>
      <xdr:xfrm>
        <a:off x="657225" y="26955750"/>
        <a:ext cx="6019800" cy="1781175"/>
      </xdr:xfrm>
      <a:graphic>
        <a:graphicData uri="http://schemas.openxmlformats.org/drawingml/2006/chart">
          <c:chart xmlns:c="http://schemas.openxmlformats.org/drawingml/2006/chart" r:id="rId12"/>
        </a:graphicData>
      </a:graphic>
    </xdr:graphicFrame>
    <xdr:clientData/>
  </xdr:twoCellAnchor>
  <xdr:twoCellAnchor>
    <xdr:from>
      <xdr:col>2</xdr:col>
      <xdr:colOff>781050</xdr:colOff>
      <xdr:row>18</xdr:row>
      <xdr:rowOff>152400</xdr:rowOff>
    </xdr:from>
    <xdr:to>
      <xdr:col>4</xdr:col>
      <xdr:colOff>209550</xdr:colOff>
      <xdr:row>20</xdr:row>
      <xdr:rowOff>28575</xdr:rowOff>
    </xdr:to>
    <xdr:sp textlink="$R$12">
      <xdr:nvSpPr>
        <xdr:cNvPr id="13" name="Text Box 36"/>
        <xdr:cNvSpPr txBox="1">
          <a:spLocks noChangeArrowheads="1"/>
        </xdr:cNvSpPr>
      </xdr:nvSpPr>
      <xdr:spPr>
        <a:xfrm>
          <a:off x="2476500" y="3419475"/>
          <a:ext cx="1123950" cy="257175"/>
        </a:xfrm>
        <a:prstGeom prst="rect">
          <a:avLst/>
        </a:prstGeom>
        <a:noFill/>
        <a:ln w="9525" cmpd="sng">
          <a:noFill/>
        </a:ln>
      </xdr:spPr>
      <xdr:txBody>
        <a:bodyPr vertOverflow="clip" wrap="square" lIns="36576" tIns="27432" rIns="0" bIns="0"/>
        <a:p>
          <a:pPr algn="l">
            <a:defRPr/>
          </a:pPr>
          <a:fld id="{dbae8ce9-9ced-4419-b189-b47038eb0a1d}" type="TxLink">
            <a:rPr lang="en-US" cap="none" sz="1100" b="0" i="0" u="none" baseline="0">
              <a:solidFill>
                <a:srgbClr val="000000"/>
              </a:solidFill>
            </a:rPr>
            <a:t>V=3181kN</a:t>
          </a:fld>
        </a:p>
      </xdr:txBody>
    </xdr:sp>
    <xdr:clientData/>
  </xdr:twoCellAnchor>
  <xdr:twoCellAnchor>
    <xdr:from>
      <xdr:col>1</xdr:col>
      <xdr:colOff>276225</xdr:colOff>
      <xdr:row>21</xdr:row>
      <xdr:rowOff>47625</xdr:rowOff>
    </xdr:from>
    <xdr:to>
      <xdr:col>2</xdr:col>
      <xdr:colOff>552450</xdr:colOff>
      <xdr:row>22</xdr:row>
      <xdr:rowOff>76200</xdr:rowOff>
    </xdr:to>
    <xdr:sp textlink="$R$13">
      <xdr:nvSpPr>
        <xdr:cNvPr id="14" name="Text Box 37"/>
        <xdr:cNvSpPr txBox="1">
          <a:spLocks noChangeArrowheads="1"/>
        </xdr:cNvSpPr>
      </xdr:nvSpPr>
      <xdr:spPr>
        <a:xfrm>
          <a:off x="1123950" y="3886200"/>
          <a:ext cx="1123950" cy="209550"/>
        </a:xfrm>
        <a:prstGeom prst="rect">
          <a:avLst/>
        </a:prstGeom>
        <a:noFill/>
        <a:ln w="9525" cmpd="sng">
          <a:noFill/>
        </a:ln>
      </xdr:spPr>
      <xdr:txBody>
        <a:bodyPr vertOverflow="clip" wrap="square" lIns="36576" tIns="27432" rIns="0" bIns="0"/>
        <a:p>
          <a:pPr algn="l">
            <a:defRPr/>
          </a:pPr>
          <a:fld id="{fb8ad736-58e4-4a96-b07a-a45854394bda}" type="TxLink">
            <a:rPr lang="en-US" cap="none" sz="1100" b="0" i="0" u="none" baseline="0">
              <a:solidFill>
                <a:srgbClr val="000000"/>
              </a:solidFill>
            </a:rPr>
            <a:t>H=1386kN</a:t>
          </a:fld>
        </a:p>
      </xdr:txBody>
    </xdr:sp>
    <xdr:clientData/>
  </xdr:twoCellAnchor>
  <xdr:twoCellAnchor>
    <xdr:from>
      <xdr:col>1</xdr:col>
      <xdr:colOff>676275</xdr:colOff>
      <xdr:row>24</xdr:row>
      <xdr:rowOff>95250</xdr:rowOff>
    </xdr:from>
    <xdr:to>
      <xdr:col>3</xdr:col>
      <xdr:colOff>104775</xdr:colOff>
      <xdr:row>25</xdr:row>
      <xdr:rowOff>123825</xdr:rowOff>
    </xdr:to>
    <xdr:sp textlink="$R$5">
      <xdr:nvSpPr>
        <xdr:cNvPr id="15" name="Text Box 38"/>
        <xdr:cNvSpPr txBox="1">
          <a:spLocks noChangeArrowheads="1"/>
        </xdr:cNvSpPr>
      </xdr:nvSpPr>
      <xdr:spPr>
        <a:xfrm>
          <a:off x="1524000" y="4476750"/>
          <a:ext cx="1123950" cy="209550"/>
        </a:xfrm>
        <a:prstGeom prst="rect">
          <a:avLst/>
        </a:prstGeom>
        <a:noFill/>
        <a:ln w="9525" cmpd="sng">
          <a:noFill/>
        </a:ln>
      </xdr:spPr>
      <xdr:txBody>
        <a:bodyPr vertOverflow="clip" wrap="square" lIns="36576" tIns="27432" rIns="0" bIns="0"/>
        <a:p>
          <a:pPr algn="l">
            <a:defRPr/>
          </a:pPr>
          <a:fld id="{932b3050-7286-47ff-9325-5c5d69e3cbaa}" type="TxLink">
            <a:rPr lang="en-US" cap="none" sz="1100" b="0" i="0" u="none" baseline="0">
              <a:solidFill>
                <a:srgbClr val="000000"/>
              </a:solidFill>
            </a:rPr>
            <a:t>B=3m</a:t>
          </a:fld>
        </a:p>
      </xdr:txBody>
    </xdr:sp>
    <xdr:clientData/>
  </xdr:twoCellAnchor>
  <xdr:twoCellAnchor>
    <xdr:from>
      <xdr:col>3</xdr:col>
      <xdr:colOff>609600</xdr:colOff>
      <xdr:row>24</xdr:row>
      <xdr:rowOff>66675</xdr:rowOff>
    </xdr:from>
    <xdr:to>
      <xdr:col>5</xdr:col>
      <xdr:colOff>28575</xdr:colOff>
      <xdr:row>25</xdr:row>
      <xdr:rowOff>114300</xdr:rowOff>
    </xdr:to>
    <xdr:sp textlink="$R$9">
      <xdr:nvSpPr>
        <xdr:cNvPr id="16" name="Text Box 39"/>
        <xdr:cNvSpPr txBox="1">
          <a:spLocks noChangeArrowheads="1"/>
        </xdr:cNvSpPr>
      </xdr:nvSpPr>
      <xdr:spPr>
        <a:xfrm>
          <a:off x="3152775" y="4448175"/>
          <a:ext cx="1114425" cy="228600"/>
        </a:xfrm>
        <a:prstGeom prst="rect">
          <a:avLst/>
        </a:prstGeom>
        <a:noFill/>
        <a:ln w="9525" cmpd="sng">
          <a:noFill/>
        </a:ln>
      </xdr:spPr>
      <xdr:txBody>
        <a:bodyPr vertOverflow="clip" wrap="square" lIns="36576" tIns="27432" rIns="0" bIns="0"/>
        <a:p>
          <a:pPr algn="l">
            <a:defRPr/>
          </a:pPr>
          <a:fld id="{30c57032-c588-4471-a9d9-e9afe3958bf0}" type="TxLink">
            <a:rPr lang="en-US" cap="none" sz="1100" b="0" i="0" u="none" baseline="0">
              <a:solidFill>
                <a:srgbClr val="000000"/>
              </a:solidFill>
            </a:rPr>
            <a:t>S=0.5m</a:t>
          </a:fld>
        </a:p>
      </xdr:txBody>
    </xdr:sp>
    <xdr:clientData/>
  </xdr:twoCellAnchor>
  <xdr:twoCellAnchor>
    <xdr:from>
      <xdr:col>5</xdr:col>
      <xdr:colOff>438150</xdr:colOff>
      <xdr:row>22</xdr:row>
      <xdr:rowOff>171450</xdr:rowOff>
    </xdr:from>
    <xdr:to>
      <xdr:col>6</xdr:col>
      <xdr:colOff>695325</xdr:colOff>
      <xdr:row>24</xdr:row>
      <xdr:rowOff>19050</xdr:rowOff>
    </xdr:to>
    <xdr:sp textlink="$R$10">
      <xdr:nvSpPr>
        <xdr:cNvPr id="17" name="Text Box 40"/>
        <xdr:cNvSpPr txBox="1">
          <a:spLocks noChangeArrowheads="1"/>
        </xdr:cNvSpPr>
      </xdr:nvSpPr>
      <xdr:spPr>
        <a:xfrm>
          <a:off x="4676775" y="4191000"/>
          <a:ext cx="1104900" cy="209550"/>
        </a:xfrm>
        <a:prstGeom prst="rect">
          <a:avLst/>
        </a:prstGeom>
        <a:noFill/>
        <a:ln w="9525" cmpd="sng">
          <a:noFill/>
        </a:ln>
      </xdr:spPr>
      <xdr:txBody>
        <a:bodyPr vertOverflow="clip" wrap="square" lIns="36576" tIns="27432" rIns="0" bIns="0"/>
        <a:p>
          <a:pPr algn="l">
            <a:defRPr/>
          </a:pPr>
          <a:fld id="{25f8f52e-ee9c-4389-8996-b42634cf2613}" type="TxLink">
            <a:rPr lang="en-US" cap="none" sz="1100" b="0" i="0" u="none" baseline="0">
              <a:solidFill>
                <a:srgbClr val="000000"/>
              </a:solidFill>
              <a:latin typeface="Times New Roman"/>
              <a:ea typeface="Times New Roman"/>
              <a:cs typeface="Times New Roman"/>
            </a:rPr>
            <a:t>β=47.71</a:t>
          </a:fld>
          <a:fld id="{32c2b85f-5bbc-4a4b-9353-46aae49dfcf3}" type="TxLink">
            <a:rPr lang="en-US" cap="none" sz="1100" b="0" i="0" u="none" baseline="0">
              <a:solidFill>
                <a:srgbClr val="000000"/>
              </a:solidFill>
              <a:latin typeface="ＭＳ Ｐゴシック"/>
              <a:ea typeface="ＭＳ Ｐゴシック"/>
              <a:cs typeface="ＭＳ Ｐゴシック"/>
            </a:rPr>
            <a:t>度</a:t>
          </a:fld>
        </a:p>
      </xdr:txBody>
    </xdr:sp>
    <xdr:clientData/>
  </xdr:twoCellAnchor>
  <xdr:twoCellAnchor editAs="oneCell">
    <xdr:from>
      <xdr:col>1</xdr:col>
      <xdr:colOff>314325</xdr:colOff>
      <xdr:row>57</xdr:row>
      <xdr:rowOff>104775</xdr:rowOff>
    </xdr:from>
    <xdr:to>
      <xdr:col>2</xdr:col>
      <xdr:colOff>361950</xdr:colOff>
      <xdr:row>58</xdr:row>
      <xdr:rowOff>114300</xdr:rowOff>
    </xdr:to>
    <xdr:pic>
      <xdr:nvPicPr>
        <xdr:cNvPr id="18" name="Picture 43"/>
        <xdr:cNvPicPr preferRelativeResize="1">
          <a:picLocks noChangeAspect="1"/>
        </xdr:cNvPicPr>
      </xdr:nvPicPr>
      <xdr:blipFill>
        <a:blip r:embed="rId13"/>
        <a:stretch>
          <a:fillRect/>
        </a:stretch>
      </xdr:blipFill>
      <xdr:spPr>
        <a:xfrm>
          <a:off x="1162050" y="10639425"/>
          <a:ext cx="895350" cy="200025"/>
        </a:xfrm>
        <a:prstGeom prst="rect">
          <a:avLst/>
        </a:prstGeom>
        <a:noFill/>
        <a:ln w="9525" cmpd="sng">
          <a:noFill/>
        </a:ln>
      </xdr:spPr>
    </xdr:pic>
    <xdr:clientData/>
  </xdr:twoCellAnchor>
  <xdr:twoCellAnchor editAs="oneCell">
    <xdr:from>
      <xdr:col>2</xdr:col>
      <xdr:colOff>752475</xdr:colOff>
      <xdr:row>57</xdr:row>
      <xdr:rowOff>95250</xdr:rowOff>
    </xdr:from>
    <xdr:to>
      <xdr:col>3</xdr:col>
      <xdr:colOff>781050</xdr:colOff>
      <xdr:row>58</xdr:row>
      <xdr:rowOff>104775</xdr:rowOff>
    </xdr:to>
    <xdr:pic>
      <xdr:nvPicPr>
        <xdr:cNvPr id="19" name="Picture 44"/>
        <xdr:cNvPicPr preferRelativeResize="1">
          <a:picLocks noChangeAspect="1"/>
        </xdr:cNvPicPr>
      </xdr:nvPicPr>
      <xdr:blipFill>
        <a:blip r:embed="rId14"/>
        <a:stretch>
          <a:fillRect/>
        </a:stretch>
      </xdr:blipFill>
      <xdr:spPr>
        <a:xfrm>
          <a:off x="2447925" y="10629900"/>
          <a:ext cx="876300" cy="200025"/>
        </a:xfrm>
        <a:prstGeom prst="rect">
          <a:avLst/>
        </a:prstGeom>
        <a:noFill/>
        <a:ln w="9525" cmpd="sng">
          <a:noFill/>
        </a:ln>
      </xdr:spPr>
    </xdr:pic>
    <xdr:clientData/>
  </xdr:twoCellAnchor>
  <xdr:twoCellAnchor editAs="oneCell">
    <xdr:from>
      <xdr:col>1</xdr:col>
      <xdr:colOff>76200</xdr:colOff>
      <xdr:row>61</xdr:row>
      <xdr:rowOff>161925</xdr:rowOff>
    </xdr:from>
    <xdr:to>
      <xdr:col>7</xdr:col>
      <xdr:colOff>666750</xdr:colOff>
      <xdr:row>67</xdr:row>
      <xdr:rowOff>142875</xdr:rowOff>
    </xdr:to>
    <xdr:pic>
      <xdr:nvPicPr>
        <xdr:cNvPr id="20" name="Picture 45"/>
        <xdr:cNvPicPr preferRelativeResize="1">
          <a:picLocks noChangeAspect="1"/>
        </xdr:cNvPicPr>
      </xdr:nvPicPr>
      <xdr:blipFill>
        <a:blip r:embed="rId15"/>
        <a:stretch>
          <a:fillRect/>
        </a:stretch>
      </xdr:blipFill>
      <xdr:spPr>
        <a:xfrm>
          <a:off x="923925" y="11420475"/>
          <a:ext cx="5676900" cy="1123950"/>
        </a:xfrm>
        <a:prstGeom prst="rect">
          <a:avLst/>
        </a:prstGeom>
        <a:noFill/>
        <a:ln w="9525" cmpd="sng">
          <a:noFill/>
        </a:ln>
      </xdr:spPr>
    </xdr:pic>
    <xdr:clientData/>
  </xdr:twoCellAnchor>
  <xdr:twoCellAnchor>
    <xdr:from>
      <xdr:col>2</xdr:col>
      <xdr:colOff>0</xdr:colOff>
      <xdr:row>18</xdr:row>
      <xdr:rowOff>171450</xdr:rowOff>
    </xdr:from>
    <xdr:to>
      <xdr:col>3</xdr:col>
      <xdr:colOff>276225</xdr:colOff>
      <xdr:row>20</xdr:row>
      <xdr:rowOff>47625</xdr:rowOff>
    </xdr:to>
    <xdr:sp textlink="$R$14">
      <xdr:nvSpPr>
        <xdr:cNvPr id="21" name="Text Box 62"/>
        <xdr:cNvSpPr txBox="1">
          <a:spLocks noChangeArrowheads="1"/>
        </xdr:cNvSpPr>
      </xdr:nvSpPr>
      <xdr:spPr>
        <a:xfrm>
          <a:off x="1695450" y="3438525"/>
          <a:ext cx="1123950" cy="257175"/>
        </a:xfrm>
        <a:prstGeom prst="rect">
          <a:avLst/>
        </a:prstGeom>
        <a:noFill/>
        <a:ln w="9525" cmpd="sng">
          <a:noFill/>
        </a:ln>
      </xdr:spPr>
      <xdr:txBody>
        <a:bodyPr vertOverflow="clip" wrap="square" lIns="36576" tIns="27432" rIns="0" bIns="0"/>
        <a:p>
          <a:pPr algn="l">
            <a:defRPr/>
          </a:pPr>
          <a:fld id="{d16b3378-4120-467a-81d2-be6d5100854c}" type="TxLink">
            <a:rPr lang="en-US" cap="none" sz="1100" b="0" i="0" u="none" baseline="0">
              <a:solidFill>
                <a:srgbClr val="000000"/>
              </a:solidFill>
            </a:rPr>
            <a:t>eB=0.67m</a:t>
          </a:fld>
        </a:p>
      </xdr:txBody>
    </xdr:sp>
    <xdr:clientData/>
  </xdr:twoCellAnchor>
  <xdr:twoCellAnchor editAs="oneCell">
    <xdr:from>
      <xdr:col>1</xdr:col>
      <xdr:colOff>0</xdr:colOff>
      <xdr:row>46</xdr:row>
      <xdr:rowOff>0</xdr:rowOff>
    </xdr:from>
    <xdr:to>
      <xdr:col>4</xdr:col>
      <xdr:colOff>209550</xdr:colOff>
      <xdr:row>48</xdr:row>
      <xdr:rowOff>47625</xdr:rowOff>
    </xdr:to>
    <xdr:pic>
      <xdr:nvPicPr>
        <xdr:cNvPr id="22" name="Picture 71"/>
        <xdr:cNvPicPr preferRelativeResize="1">
          <a:picLocks noChangeAspect="1"/>
        </xdr:cNvPicPr>
      </xdr:nvPicPr>
      <xdr:blipFill>
        <a:blip r:embed="rId16"/>
        <a:stretch>
          <a:fillRect/>
        </a:stretch>
      </xdr:blipFill>
      <xdr:spPr>
        <a:xfrm>
          <a:off x="847725" y="8477250"/>
          <a:ext cx="2752725" cy="428625"/>
        </a:xfrm>
        <a:prstGeom prst="rect">
          <a:avLst/>
        </a:prstGeom>
        <a:noFill/>
        <a:ln w="9525" cmpd="sng">
          <a:noFill/>
        </a:ln>
      </xdr:spPr>
    </xdr:pic>
    <xdr:clientData/>
  </xdr:twoCellAnchor>
  <xdr:twoCellAnchor editAs="oneCell">
    <xdr:from>
      <xdr:col>1</xdr:col>
      <xdr:colOff>0</xdr:colOff>
      <xdr:row>29</xdr:row>
      <xdr:rowOff>0</xdr:rowOff>
    </xdr:from>
    <xdr:to>
      <xdr:col>8</xdr:col>
      <xdr:colOff>200025</xdr:colOff>
      <xdr:row>43</xdr:row>
      <xdr:rowOff>123825</xdr:rowOff>
    </xdr:to>
    <xdr:pic>
      <xdr:nvPicPr>
        <xdr:cNvPr id="23" name="Picture 72"/>
        <xdr:cNvPicPr preferRelativeResize="1">
          <a:picLocks noChangeAspect="1"/>
        </xdr:cNvPicPr>
      </xdr:nvPicPr>
      <xdr:blipFill>
        <a:blip r:embed="rId17"/>
        <a:stretch>
          <a:fillRect/>
        </a:stretch>
      </xdr:blipFill>
      <xdr:spPr>
        <a:xfrm>
          <a:off x="847725" y="5276850"/>
          <a:ext cx="6134100" cy="2790825"/>
        </a:xfrm>
        <a:prstGeom prst="rect">
          <a:avLst/>
        </a:prstGeom>
        <a:noFill/>
        <a:ln w="9525" cmpd="sng">
          <a:noFill/>
        </a:ln>
      </xdr:spPr>
    </xdr:pic>
    <xdr:clientData/>
  </xdr:twoCellAnchor>
  <xdr:twoCellAnchor editAs="oneCell">
    <xdr:from>
      <xdr:col>0</xdr:col>
      <xdr:colOff>561975</xdr:colOff>
      <xdr:row>75</xdr:row>
      <xdr:rowOff>0</xdr:rowOff>
    </xdr:from>
    <xdr:to>
      <xdr:col>2</xdr:col>
      <xdr:colOff>561975</xdr:colOff>
      <xdr:row>77</xdr:row>
      <xdr:rowOff>66675</xdr:rowOff>
    </xdr:to>
    <xdr:pic>
      <xdr:nvPicPr>
        <xdr:cNvPr id="24" name="Picture 73"/>
        <xdr:cNvPicPr preferRelativeResize="1">
          <a:picLocks noChangeAspect="1"/>
        </xdr:cNvPicPr>
      </xdr:nvPicPr>
      <xdr:blipFill>
        <a:blip r:embed="rId18"/>
        <a:stretch>
          <a:fillRect/>
        </a:stretch>
      </xdr:blipFill>
      <xdr:spPr>
        <a:xfrm>
          <a:off x="561975" y="13868400"/>
          <a:ext cx="1695450" cy="438150"/>
        </a:xfrm>
        <a:prstGeom prst="rect">
          <a:avLst/>
        </a:prstGeom>
        <a:noFill/>
        <a:ln w="9525" cmpd="sng">
          <a:noFill/>
        </a:ln>
      </xdr:spPr>
    </xdr:pic>
    <xdr:clientData/>
  </xdr:twoCellAnchor>
  <xdr:twoCellAnchor>
    <xdr:from>
      <xdr:col>0</xdr:col>
      <xdr:colOff>390525</xdr:colOff>
      <xdr:row>17</xdr:row>
      <xdr:rowOff>0</xdr:rowOff>
    </xdr:from>
    <xdr:to>
      <xdr:col>6</xdr:col>
      <xdr:colOff>342900</xdr:colOff>
      <xdr:row>27</xdr:row>
      <xdr:rowOff>142875</xdr:rowOff>
    </xdr:to>
    <xdr:grpSp>
      <xdr:nvGrpSpPr>
        <xdr:cNvPr id="25" name="Group 74"/>
        <xdr:cNvGrpSpPr>
          <a:grpSpLocks/>
        </xdr:cNvGrpSpPr>
      </xdr:nvGrpSpPr>
      <xdr:grpSpPr>
        <a:xfrm>
          <a:off x="390525" y="3076575"/>
          <a:ext cx="5038725" cy="1990725"/>
          <a:chOff x="450" y="29"/>
          <a:chExt cx="421" cy="216"/>
        </a:xfrm>
        <a:solidFill>
          <a:srgbClr val="FFFFFF"/>
        </a:solidFill>
      </xdr:grpSpPr>
      <xdr:sp>
        <xdr:nvSpPr>
          <xdr:cNvPr id="26" name="Freeform 75"/>
          <xdr:cNvSpPr>
            <a:spLocks/>
          </xdr:cNvSpPr>
        </xdr:nvSpPr>
        <xdr:spPr>
          <a:xfrm>
            <a:off x="493" y="45"/>
            <a:ext cx="169" cy="91"/>
          </a:xfrm>
          <a:custGeom>
            <a:pathLst>
              <a:path h="91" w="169">
                <a:moveTo>
                  <a:pt x="60" y="0"/>
                </a:moveTo>
                <a:lnTo>
                  <a:pt x="60" y="57"/>
                </a:lnTo>
                <a:lnTo>
                  <a:pt x="0" y="57"/>
                </a:lnTo>
                <a:lnTo>
                  <a:pt x="0" y="91"/>
                </a:lnTo>
                <a:lnTo>
                  <a:pt x="169" y="91"/>
                </a:lnTo>
                <a:lnTo>
                  <a:pt x="169" y="57"/>
                </a:lnTo>
                <a:lnTo>
                  <a:pt x="110" y="57"/>
                </a:lnTo>
                <a:lnTo>
                  <a:pt x="110"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76"/>
          <xdr:cNvSpPr>
            <a:spLocks/>
          </xdr:cNvSpPr>
        </xdr:nvSpPr>
        <xdr:spPr>
          <a:xfrm>
            <a:off x="578" y="29"/>
            <a:ext cx="0" cy="152"/>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Freeform 77"/>
          <xdr:cNvSpPr>
            <a:spLocks/>
          </xdr:cNvSpPr>
        </xdr:nvSpPr>
        <xdr:spPr>
          <a:xfrm>
            <a:off x="450" y="136"/>
            <a:ext cx="421" cy="109"/>
          </a:xfrm>
          <a:custGeom>
            <a:pathLst>
              <a:path h="109" w="421">
                <a:moveTo>
                  <a:pt x="0" y="0"/>
                </a:moveTo>
                <a:lnTo>
                  <a:pt x="304" y="0"/>
                </a:lnTo>
                <a:lnTo>
                  <a:pt x="421" y="109"/>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9" name="Line 78"/>
          <xdr:cNvSpPr>
            <a:spLocks/>
          </xdr:cNvSpPr>
        </xdr:nvSpPr>
        <xdr:spPr>
          <a:xfrm>
            <a:off x="752" y="136"/>
            <a:ext cx="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79"/>
          <xdr:cNvSpPr>
            <a:spLocks/>
          </xdr:cNvSpPr>
        </xdr:nvSpPr>
        <xdr:spPr>
          <a:xfrm>
            <a:off x="493" y="137"/>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Line 80"/>
          <xdr:cNvSpPr>
            <a:spLocks/>
          </xdr:cNvSpPr>
        </xdr:nvSpPr>
        <xdr:spPr>
          <a:xfrm>
            <a:off x="662" y="138"/>
            <a:ext cx="0" cy="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81"/>
          <xdr:cNvSpPr>
            <a:spLocks/>
          </xdr:cNvSpPr>
        </xdr:nvSpPr>
        <xdr:spPr>
          <a:xfrm>
            <a:off x="753" y="136"/>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82"/>
          <xdr:cNvSpPr>
            <a:spLocks/>
          </xdr:cNvSpPr>
        </xdr:nvSpPr>
        <xdr:spPr>
          <a:xfrm>
            <a:off x="493" y="201"/>
            <a:ext cx="169"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4" name="Line 83"/>
          <xdr:cNvSpPr>
            <a:spLocks/>
          </xdr:cNvSpPr>
        </xdr:nvSpPr>
        <xdr:spPr>
          <a:xfrm>
            <a:off x="662" y="201"/>
            <a:ext cx="9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5" name="Line 84"/>
          <xdr:cNvSpPr>
            <a:spLocks/>
          </xdr:cNvSpPr>
        </xdr:nvSpPr>
        <xdr:spPr>
          <a:xfrm flipH="1">
            <a:off x="579" y="90"/>
            <a:ext cx="3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6" name="Line 85"/>
          <xdr:cNvSpPr>
            <a:spLocks/>
          </xdr:cNvSpPr>
        </xdr:nvSpPr>
        <xdr:spPr>
          <a:xfrm>
            <a:off x="611" y="71"/>
            <a:ext cx="0" cy="6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7" name="Line 86"/>
          <xdr:cNvSpPr>
            <a:spLocks/>
          </xdr:cNvSpPr>
        </xdr:nvSpPr>
        <xdr:spPr>
          <a:xfrm>
            <a:off x="573" y="134"/>
            <a:ext cx="37"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8" name="Arc 87"/>
          <xdr:cNvSpPr>
            <a:spLocks/>
          </xdr:cNvSpPr>
        </xdr:nvSpPr>
        <xdr:spPr>
          <a:xfrm>
            <a:off x="751" y="135"/>
            <a:ext cx="60" cy="40"/>
          </a:xfrm>
          <a:custGeom>
            <a:pathLst>
              <a:path fill="none" h="14465" w="21600">
                <a:moveTo>
                  <a:pt x="21595" y="-1"/>
                </a:moveTo>
                <a:cubicBezTo>
                  <a:pt x="21598" y="152"/>
                  <a:pt x="21600" y="305"/>
                  <a:pt x="21600" y="459"/>
                </a:cubicBezTo>
                <a:cubicBezTo>
                  <a:pt x="21600" y="5592"/>
                  <a:pt x="19771" y="10557"/>
                  <a:pt x="16443" y="14465"/>
                </a:cubicBezTo>
              </a:path>
              <a:path stroke="0" h="14465" w="21600">
                <a:moveTo>
                  <a:pt x="21595" y="-1"/>
                </a:moveTo>
                <a:cubicBezTo>
                  <a:pt x="21598" y="152"/>
                  <a:pt x="21600" y="305"/>
                  <a:pt x="21600" y="459"/>
                </a:cubicBezTo>
                <a:cubicBezTo>
                  <a:pt x="21600" y="5592"/>
                  <a:pt x="19771" y="10557"/>
                  <a:pt x="16443" y="14465"/>
                </a:cubicBezTo>
                <a:lnTo>
                  <a:pt x="0" y="459"/>
                </a:lnTo>
                <a:lnTo>
                  <a:pt x="21595" y="-1"/>
                </a:lnTo>
                <a:close/>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9" name="Line 88"/>
          <xdr:cNvSpPr>
            <a:spLocks/>
          </xdr:cNvSpPr>
        </xdr:nvSpPr>
        <xdr:spPr>
          <a:xfrm>
            <a:off x="677" y="115"/>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0" name="Line 89"/>
          <xdr:cNvSpPr>
            <a:spLocks/>
          </xdr:cNvSpPr>
        </xdr:nvSpPr>
        <xdr:spPr>
          <a:xfrm>
            <a:off x="691"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1" name="Line 90"/>
          <xdr:cNvSpPr>
            <a:spLocks/>
          </xdr:cNvSpPr>
        </xdr:nvSpPr>
        <xdr:spPr>
          <a:xfrm>
            <a:off x="705"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2" name="Line 91"/>
          <xdr:cNvSpPr>
            <a:spLocks/>
          </xdr:cNvSpPr>
        </xdr:nvSpPr>
        <xdr:spPr>
          <a:xfrm>
            <a:off x="717"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3" name="Line 92"/>
          <xdr:cNvSpPr>
            <a:spLocks/>
          </xdr:cNvSpPr>
        </xdr:nvSpPr>
        <xdr:spPr>
          <a:xfrm>
            <a:off x="729"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4" name="Line 93"/>
          <xdr:cNvSpPr>
            <a:spLocks/>
          </xdr:cNvSpPr>
        </xdr:nvSpPr>
        <xdr:spPr>
          <a:xfrm>
            <a:off x="742"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45" name="Line 94"/>
          <xdr:cNvSpPr>
            <a:spLocks/>
          </xdr:cNvSpPr>
        </xdr:nvSpPr>
        <xdr:spPr>
          <a:xfrm>
            <a:off x="753" y="116"/>
            <a:ext cx="0" cy="2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723900</xdr:colOff>
      <xdr:row>19</xdr:row>
      <xdr:rowOff>133350</xdr:rowOff>
    </xdr:from>
    <xdr:to>
      <xdr:col>5</xdr:col>
      <xdr:colOff>152400</xdr:colOff>
      <xdr:row>20</xdr:row>
      <xdr:rowOff>171450</xdr:rowOff>
    </xdr:to>
    <xdr:sp textlink="$R$15">
      <xdr:nvSpPr>
        <xdr:cNvPr id="46" name="Text Box 95"/>
        <xdr:cNvSpPr txBox="1">
          <a:spLocks noChangeArrowheads="1"/>
        </xdr:cNvSpPr>
      </xdr:nvSpPr>
      <xdr:spPr>
        <a:xfrm>
          <a:off x="3267075" y="3590925"/>
          <a:ext cx="1123950" cy="228600"/>
        </a:xfrm>
        <a:prstGeom prst="rect">
          <a:avLst/>
        </a:prstGeom>
        <a:noFill/>
        <a:ln w="9525" cmpd="sng">
          <a:noFill/>
        </a:ln>
      </xdr:spPr>
      <xdr:txBody>
        <a:bodyPr vertOverflow="clip" wrap="square" lIns="36576" tIns="27432" rIns="0" bIns="0"/>
        <a:p>
          <a:pPr algn="l">
            <a:defRPr/>
          </a:pPr>
          <a:fld id="{a3bec3e5-805d-44a0-8872-aba70f2f0423}" type="TxLink">
            <a:rPr lang="en-US" cap="none" sz="1100" b="0" i="0" u="none" baseline="0">
              <a:solidFill>
                <a:srgbClr val="000000"/>
              </a:solidFill>
            </a:rPr>
            <a:t>q=0kN/m2</a:t>
          </a:fld>
        </a:p>
      </xdr:txBody>
    </xdr:sp>
    <xdr:clientData/>
  </xdr:twoCellAnchor>
  <xdr:twoCellAnchor editAs="oneCell">
    <xdr:from>
      <xdr:col>1</xdr:col>
      <xdr:colOff>104775</xdr:colOff>
      <xdr:row>106</xdr:row>
      <xdr:rowOff>9525</xdr:rowOff>
    </xdr:from>
    <xdr:to>
      <xdr:col>3</xdr:col>
      <xdr:colOff>57150</xdr:colOff>
      <xdr:row>113</xdr:row>
      <xdr:rowOff>38100</xdr:rowOff>
    </xdr:to>
    <xdr:pic>
      <xdr:nvPicPr>
        <xdr:cNvPr id="47" name="Picture 96"/>
        <xdr:cNvPicPr preferRelativeResize="1">
          <a:picLocks noChangeAspect="1"/>
        </xdr:cNvPicPr>
      </xdr:nvPicPr>
      <xdr:blipFill>
        <a:blip r:embed="rId19"/>
        <a:stretch>
          <a:fillRect/>
        </a:stretch>
      </xdr:blipFill>
      <xdr:spPr>
        <a:xfrm>
          <a:off x="952500" y="19602450"/>
          <a:ext cx="1647825" cy="1362075"/>
        </a:xfrm>
        <a:prstGeom prst="rect">
          <a:avLst/>
        </a:prstGeom>
        <a:noFill/>
        <a:ln w="9525" cmpd="sng">
          <a:noFill/>
        </a:ln>
      </xdr:spPr>
    </xdr:pic>
    <xdr:clientData/>
  </xdr:twoCellAnchor>
  <xdr:twoCellAnchor editAs="oneCell">
    <xdr:from>
      <xdr:col>1</xdr:col>
      <xdr:colOff>9525</xdr:colOff>
      <xdr:row>90</xdr:row>
      <xdr:rowOff>0</xdr:rowOff>
    </xdr:from>
    <xdr:to>
      <xdr:col>2</xdr:col>
      <xdr:colOff>114300</xdr:colOff>
      <xdr:row>92</xdr:row>
      <xdr:rowOff>47625</xdr:rowOff>
    </xdr:to>
    <xdr:pic>
      <xdr:nvPicPr>
        <xdr:cNvPr id="48" name="Picture 98"/>
        <xdr:cNvPicPr preferRelativeResize="1">
          <a:picLocks noChangeAspect="1"/>
        </xdr:cNvPicPr>
      </xdr:nvPicPr>
      <xdr:blipFill>
        <a:blip r:embed="rId20"/>
        <a:stretch>
          <a:fillRect/>
        </a:stretch>
      </xdr:blipFill>
      <xdr:spPr>
        <a:xfrm>
          <a:off x="857250" y="16649700"/>
          <a:ext cx="9525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20</xdr:row>
      <xdr:rowOff>95250</xdr:rowOff>
    </xdr:from>
    <xdr:to>
      <xdr:col>10</xdr:col>
      <xdr:colOff>419100</xdr:colOff>
      <xdr:row>37</xdr:row>
      <xdr:rowOff>76200</xdr:rowOff>
    </xdr:to>
    <xdr:graphicFrame>
      <xdr:nvGraphicFramePr>
        <xdr:cNvPr id="1" name="グラフ 3"/>
        <xdr:cNvGraphicFramePr/>
      </xdr:nvGraphicFramePr>
      <xdr:xfrm>
        <a:off x="4210050" y="3714750"/>
        <a:ext cx="4591050"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K161"/>
  <sheetViews>
    <sheetView showGridLines="0" showRowColHeaders="0" tabSelected="1" zoomScalePageLayoutView="0" workbookViewId="0" topLeftCell="A31">
      <selection activeCell="F35" sqref="F35"/>
    </sheetView>
  </sheetViews>
  <sheetFormatPr defaultColWidth="9" defaultRowHeight="14.25"/>
  <cols>
    <col min="1" max="11" width="9" style="15" customWidth="1"/>
    <col min="12" max="12" width="15.296875" style="15" bestFit="1" customWidth="1"/>
    <col min="13" max="30" width="9" style="15" customWidth="1"/>
    <col min="31" max="31" width="4.8984375" style="15" customWidth="1"/>
    <col min="32" max="32" width="8.69921875" style="17" customWidth="1"/>
    <col min="33" max="33" width="5.796875" style="15" customWidth="1"/>
    <col min="34" max="61" width="9" style="15" customWidth="1"/>
    <col min="62" max="62" width="13.09765625" style="15" customWidth="1"/>
    <col min="63" max="16384" width="9" style="15" customWidth="1"/>
  </cols>
  <sheetData>
    <row r="1" spans="1:62" ht="15.75">
      <c r="A1" s="103" t="s">
        <v>223</v>
      </c>
      <c r="B1" s="26"/>
      <c r="C1" s="15" t="s">
        <v>191</v>
      </c>
      <c r="AF1" s="15"/>
      <c r="AZ1" s="70"/>
      <c r="BA1" s="21" t="s">
        <v>116</v>
      </c>
      <c r="BB1" s="80">
        <f>D5</f>
        <v>3</v>
      </c>
      <c r="BC1" s="81" t="s">
        <v>88</v>
      </c>
      <c r="BD1" s="81"/>
      <c r="BE1" s="81"/>
      <c r="BF1" s="81"/>
      <c r="BG1" s="82"/>
      <c r="BH1" s="83"/>
      <c r="BI1" s="68"/>
      <c r="BJ1" s="68"/>
    </row>
    <row r="2" spans="32:62" ht="15">
      <c r="AF2" s="15"/>
      <c r="AZ2" s="71"/>
      <c r="BA2" s="21" t="s">
        <v>66</v>
      </c>
      <c r="BB2" s="80">
        <f>D7</f>
        <v>0.5</v>
      </c>
      <c r="BC2" s="81" t="s">
        <v>88</v>
      </c>
      <c r="BD2" s="81"/>
      <c r="BE2" s="81"/>
      <c r="BF2" s="81"/>
      <c r="BG2" s="84"/>
      <c r="BH2" s="85" t="str">
        <f>"B="&amp;D5&amp;"m"</f>
        <v>B=3m</v>
      </c>
      <c r="BI2" s="27"/>
      <c r="BJ2" s="66" t="str">
        <f>"V="&amp;D11&amp;"kN"</f>
        <v>V=3181kN</v>
      </c>
    </row>
    <row r="3" spans="1:62" ht="15">
      <c r="A3" s="63" t="s">
        <v>130</v>
      </c>
      <c r="AF3" s="15"/>
      <c r="AW3" s="15" t="str">
        <f>C5&amp;D5&amp;E5</f>
        <v>B=3m</v>
      </c>
      <c r="AZ3" s="72"/>
      <c r="BA3" s="21" t="s">
        <v>71</v>
      </c>
      <c r="BB3" s="80">
        <f>D14</f>
        <v>0</v>
      </c>
      <c r="BC3" s="81" t="s">
        <v>134</v>
      </c>
      <c r="BD3" s="81"/>
      <c r="BE3" s="81"/>
      <c r="BF3" s="81"/>
      <c r="BG3" s="84"/>
      <c r="BH3" s="85" t="str">
        <f>"S="&amp;D7&amp;"m"</f>
        <v>S=0.5m</v>
      </c>
      <c r="BI3" s="27"/>
      <c r="BJ3" s="66" t="str">
        <f>"H="&amp;D12&amp;"kN"</f>
        <v>H=1386kN</v>
      </c>
    </row>
    <row r="4" spans="1:62" ht="15">
      <c r="A4" s="15" t="s">
        <v>15</v>
      </c>
      <c r="AF4" s="15"/>
      <c r="AW4" s="15" t="str">
        <f>C6&amp;D6&amp;E6</f>
        <v>L=10.9m</v>
      </c>
      <c r="AZ4" s="72"/>
      <c r="BA4" s="22" t="s">
        <v>137</v>
      </c>
      <c r="BB4" s="81">
        <f>ATAN(D12/D11)*180/PI()</f>
        <v>23.54333673893446</v>
      </c>
      <c r="BC4" s="81" t="s">
        <v>138</v>
      </c>
      <c r="BD4" s="81">
        <f>BB4*PI()/180</f>
        <v>0.41090874300015096</v>
      </c>
      <c r="BE4" s="81" t="s">
        <v>115</v>
      </c>
      <c r="BF4" s="81"/>
      <c r="BG4" s="84"/>
      <c r="BH4" s="85" t="str">
        <f>"β="&amp;D8&amp;"゜"</f>
        <v>β=47.71゜</v>
      </c>
      <c r="BI4" s="27"/>
      <c r="BJ4" s="27"/>
    </row>
    <row r="5" spans="2:62" ht="15">
      <c r="B5" s="20" t="s">
        <v>16</v>
      </c>
      <c r="C5" s="17" t="s">
        <v>65</v>
      </c>
      <c r="D5" s="89">
        <v>3</v>
      </c>
      <c r="E5" s="15" t="s">
        <v>10</v>
      </c>
      <c r="AF5" s="15"/>
      <c r="AW5" s="15" t="str">
        <f>C7&amp;D7&amp;E7</f>
        <v>S=0.5m</v>
      </c>
      <c r="AZ5" s="72"/>
      <c r="BA5" s="22" t="s">
        <v>67</v>
      </c>
      <c r="BB5" s="80">
        <f>D8</f>
        <v>47.71</v>
      </c>
      <c r="BC5" s="81" t="s">
        <v>138</v>
      </c>
      <c r="BD5" s="81">
        <f>BB5*PI()/180</f>
        <v>0.8326965861264946</v>
      </c>
      <c r="BE5" s="81" t="s">
        <v>115</v>
      </c>
      <c r="BF5" s="81"/>
      <c r="BG5" s="84"/>
      <c r="BH5" s="85"/>
      <c r="BI5" s="27"/>
      <c r="BJ5" s="69" t="str">
        <f>"γ="&amp;D16&amp;"kN/m3"</f>
        <v>γ=22kN/m3</v>
      </c>
    </row>
    <row r="6" spans="2:62" ht="15">
      <c r="B6" s="22" t="s">
        <v>75</v>
      </c>
      <c r="C6" s="17" t="s">
        <v>87</v>
      </c>
      <c r="D6" s="89">
        <v>10.9</v>
      </c>
      <c r="E6" s="15" t="s">
        <v>88</v>
      </c>
      <c r="AF6" s="15"/>
      <c r="AW6" s="15" t="str">
        <f>C8&amp;D8&amp;"゜"</f>
        <v>β=47.71゜</v>
      </c>
      <c r="AZ6" s="72"/>
      <c r="BA6" s="22" t="s">
        <v>72</v>
      </c>
      <c r="BB6" s="81">
        <f>D16</f>
        <v>22</v>
      </c>
      <c r="BC6" s="81" t="s">
        <v>150</v>
      </c>
      <c r="BD6" s="81"/>
      <c r="BE6" s="81"/>
      <c r="BF6" s="81"/>
      <c r="BG6" s="84"/>
      <c r="BH6" s="86"/>
      <c r="BI6" s="27"/>
      <c r="BJ6" s="69" t="str">
        <f>"φ="&amp;D17&amp;"゜"</f>
        <v>φ=35゜</v>
      </c>
    </row>
    <row r="7" spans="2:62" ht="15">
      <c r="B7" s="20" t="s">
        <v>17</v>
      </c>
      <c r="C7" s="17" t="s">
        <v>66</v>
      </c>
      <c r="D7" s="89">
        <v>0.5</v>
      </c>
      <c r="E7" s="15" t="s">
        <v>18</v>
      </c>
      <c r="AF7" s="15"/>
      <c r="AW7" s="15">
        <f aca="true" t="shared" si="0" ref="AW7:AW12">C9&amp;D9&amp;E9</f>
      </c>
      <c r="AZ7" s="72"/>
      <c r="BA7" s="22" t="s">
        <v>12</v>
      </c>
      <c r="BB7" s="81">
        <f>D17</f>
        <v>35</v>
      </c>
      <c r="BC7" s="81" t="s">
        <v>138</v>
      </c>
      <c r="BD7" s="81">
        <f>BB7*PI()/180</f>
        <v>0.6108652381980153</v>
      </c>
      <c r="BE7" s="81" t="s">
        <v>115</v>
      </c>
      <c r="BF7" s="81"/>
      <c r="BG7" s="84"/>
      <c r="BH7" s="86"/>
      <c r="BI7" s="27"/>
      <c r="BJ7" s="69" t="str">
        <f>"c="&amp;D18&amp;"kN/m2"</f>
        <v>c=400kN/m2</v>
      </c>
    </row>
    <row r="8" spans="2:62" ht="15">
      <c r="B8" s="20" t="s">
        <v>19</v>
      </c>
      <c r="C8" s="42" t="s">
        <v>67</v>
      </c>
      <c r="D8" s="89">
        <v>47.71</v>
      </c>
      <c r="E8" s="15" t="s">
        <v>11</v>
      </c>
      <c r="AF8" s="15"/>
      <c r="AW8" s="15">
        <f t="shared" si="0"/>
      </c>
      <c r="AZ8" s="72"/>
      <c r="BA8" s="21" t="s">
        <v>73</v>
      </c>
      <c r="BB8" s="81">
        <f>D18</f>
        <v>400</v>
      </c>
      <c r="BC8" s="81" t="s">
        <v>134</v>
      </c>
      <c r="BD8" s="81"/>
      <c r="BE8" s="81"/>
      <c r="BF8" s="81"/>
      <c r="BG8" s="84"/>
      <c r="BH8" s="85" t="str">
        <f>"e="&amp;D13&amp;"m"</f>
        <v>e=0.67m</v>
      </c>
      <c r="BI8" s="27"/>
      <c r="BJ8" s="27"/>
    </row>
    <row r="9" spans="2:62" ht="15">
      <c r="B9" s="41" t="s">
        <v>89</v>
      </c>
      <c r="C9" s="42"/>
      <c r="D9" s="44"/>
      <c r="AF9" s="15"/>
      <c r="AW9" s="15" t="str">
        <f t="shared" si="0"/>
        <v>V=3181kN</v>
      </c>
      <c r="AZ9" s="72"/>
      <c r="BA9" s="22" t="s">
        <v>159</v>
      </c>
      <c r="BB9" s="81"/>
      <c r="BC9" s="81" t="s">
        <v>138</v>
      </c>
      <c r="BD9" s="81">
        <f>D21*PI()/180</f>
        <v>1.5123922713228704</v>
      </c>
      <c r="BE9" s="81" t="s">
        <v>115</v>
      </c>
      <c r="BF9" s="81"/>
      <c r="BG9" s="84"/>
      <c r="BH9" s="85" t="str">
        <f>"q="&amp;D14&amp;"kN/m2"</f>
        <v>q=0kN/m2</v>
      </c>
      <c r="BI9" s="27"/>
      <c r="BJ9" s="27"/>
    </row>
    <row r="10" spans="1:63" ht="15">
      <c r="A10" s="15" t="s">
        <v>20</v>
      </c>
      <c r="B10" s="21"/>
      <c r="C10" s="17"/>
      <c r="D10" s="43"/>
      <c r="AF10" s="15"/>
      <c r="AW10" s="15" t="str">
        <f t="shared" si="0"/>
        <v>H=1386kN</v>
      </c>
      <c r="BA10" s="22" t="s">
        <v>160</v>
      </c>
      <c r="BB10" s="81"/>
      <c r="BC10" s="81" t="s">
        <v>138</v>
      </c>
      <c r="BD10" s="81">
        <f>D22*PI()/180</f>
        <v>0.3603772721491916</v>
      </c>
      <c r="BE10" s="81" t="s">
        <v>115</v>
      </c>
      <c r="BF10" s="81"/>
      <c r="BG10" s="84"/>
      <c r="BH10" s="85"/>
      <c r="BI10" s="67"/>
      <c r="BJ10" s="67"/>
      <c r="BK10" s="65"/>
    </row>
    <row r="11" spans="2:63" ht="15">
      <c r="B11" s="20" t="s">
        <v>22</v>
      </c>
      <c r="C11" s="17" t="s">
        <v>68</v>
      </c>
      <c r="D11" s="89">
        <v>3181</v>
      </c>
      <c r="E11" s="15" t="s">
        <v>128</v>
      </c>
      <c r="AF11" s="15"/>
      <c r="AW11" s="15" t="str">
        <f t="shared" si="0"/>
        <v>e=0.67m</v>
      </c>
      <c r="BA11" s="22" t="s">
        <v>161</v>
      </c>
      <c r="BB11" s="81">
        <f>90-BB7</f>
        <v>55</v>
      </c>
      <c r="BC11" s="81" t="s">
        <v>138</v>
      </c>
      <c r="BD11" s="81">
        <f>BB11*PI()/180</f>
        <v>0.9599310885968813</v>
      </c>
      <c r="BE11" s="81" t="s">
        <v>115</v>
      </c>
      <c r="BF11" s="81"/>
      <c r="BG11" s="84"/>
      <c r="BH11" s="86"/>
      <c r="BI11" s="67"/>
      <c r="BJ11" s="67"/>
      <c r="BK11" s="65"/>
    </row>
    <row r="12" spans="2:63" ht="15">
      <c r="B12" s="20" t="s">
        <v>23</v>
      </c>
      <c r="C12" s="17" t="s">
        <v>69</v>
      </c>
      <c r="D12" s="89">
        <v>1386</v>
      </c>
      <c r="E12" s="15" t="s">
        <v>128</v>
      </c>
      <c r="AF12" s="15"/>
      <c r="AW12" s="15" t="str">
        <f t="shared" si="0"/>
        <v>q=0kN/m2</v>
      </c>
      <c r="BA12" s="22" t="s">
        <v>162</v>
      </c>
      <c r="BB12" s="81">
        <f>90+BB7</f>
        <v>125</v>
      </c>
      <c r="BC12" s="81" t="s">
        <v>138</v>
      </c>
      <c r="BD12" s="81">
        <f>BB12*PI()/180</f>
        <v>2.1816615649929116</v>
      </c>
      <c r="BE12" s="81" t="s">
        <v>115</v>
      </c>
      <c r="BF12" s="81"/>
      <c r="BG12" s="84"/>
      <c r="BH12" s="86"/>
      <c r="BI12" s="67"/>
      <c r="BJ12" s="67"/>
      <c r="BK12" s="65"/>
    </row>
    <row r="13" spans="2:63" ht="15">
      <c r="B13" s="20" t="s">
        <v>24</v>
      </c>
      <c r="C13" s="17" t="s">
        <v>70</v>
      </c>
      <c r="D13" s="89">
        <v>0.67</v>
      </c>
      <c r="E13" s="15" t="s">
        <v>21</v>
      </c>
      <c r="AF13" s="15"/>
      <c r="AV13" s="95" t="s">
        <v>203</v>
      </c>
      <c r="AW13" s="15">
        <f>90+45-90-D8+D17/2</f>
        <v>14.79</v>
      </c>
      <c r="BA13" s="22" t="s">
        <v>163</v>
      </c>
      <c r="BB13" s="81">
        <f>180-(D21+BB11)</f>
        <v>38.34630588499505</v>
      </c>
      <c r="BC13" s="81" t="s">
        <v>138</v>
      </c>
      <c r="BD13" s="81">
        <f>BB13*PI()/180</f>
        <v>0.6692692936700416</v>
      </c>
      <c r="BE13" s="81" t="s">
        <v>115</v>
      </c>
      <c r="BF13" s="81"/>
      <c r="BG13" s="84"/>
      <c r="BH13" s="86"/>
      <c r="BI13" s="67"/>
      <c r="BJ13" s="67"/>
      <c r="BK13" s="65"/>
    </row>
    <row r="14" spans="2:63" ht="18">
      <c r="B14" s="41" t="s">
        <v>195</v>
      </c>
      <c r="C14" s="17" t="s">
        <v>71</v>
      </c>
      <c r="D14" s="97">
        <v>0</v>
      </c>
      <c r="E14" s="15" t="s">
        <v>35</v>
      </c>
      <c r="AF14" s="15"/>
      <c r="BA14" s="22" t="s">
        <v>164</v>
      </c>
      <c r="BB14" s="81">
        <f>180-(D21+D22)</f>
        <v>72.69820915840889</v>
      </c>
      <c r="BC14" s="81" t="s">
        <v>138</v>
      </c>
      <c r="BD14" s="81">
        <f>BB14*PI()/180</f>
        <v>1.268823110117731</v>
      </c>
      <c r="BE14" s="81" t="s">
        <v>115</v>
      </c>
      <c r="BF14" s="81"/>
      <c r="BG14" s="86"/>
      <c r="BH14" s="87"/>
      <c r="BI14" s="67"/>
      <c r="BJ14" s="67"/>
      <c r="BK14" s="65"/>
    </row>
    <row r="15" spans="1:63" ht="13.5">
      <c r="A15" s="15" t="s">
        <v>27</v>
      </c>
      <c r="D15" s="43"/>
      <c r="J15" s="41" t="s">
        <v>192</v>
      </c>
      <c r="K15" s="91">
        <v>500</v>
      </c>
      <c r="AF15" s="15"/>
      <c r="BA15" s="22" t="s">
        <v>165</v>
      </c>
      <c r="BB15" s="81">
        <f>180-BB12-(BB14-BB5)</f>
        <v>30.011790841591115</v>
      </c>
      <c r="BC15" s="81" t="s">
        <v>138</v>
      </c>
      <c r="BD15" s="81">
        <f>BB15*PI()/180</f>
        <v>0.5238045646056448</v>
      </c>
      <c r="BE15" s="81" t="s">
        <v>115</v>
      </c>
      <c r="BF15" s="81"/>
      <c r="BG15" s="86"/>
      <c r="BH15" s="87"/>
      <c r="BI15" s="67"/>
      <c r="BJ15" s="67"/>
      <c r="BK15" s="65"/>
    </row>
    <row r="16" spans="2:63" ht="16.5">
      <c r="B16" s="20" t="s">
        <v>28</v>
      </c>
      <c r="C16" s="19" t="s">
        <v>29</v>
      </c>
      <c r="D16" s="89">
        <v>22</v>
      </c>
      <c r="E16" s="15" t="s">
        <v>30</v>
      </c>
      <c r="AF16" s="15"/>
      <c r="AZ16" s="72"/>
      <c r="BA16" s="21" t="s">
        <v>153</v>
      </c>
      <c r="BB16" s="81">
        <f>SIN(ε)/SIN(ρ)*Be</f>
        <v>1.2572583031631497</v>
      </c>
      <c r="BC16" s="81" t="s">
        <v>88</v>
      </c>
      <c r="BD16" s="81"/>
      <c r="BE16" s="81"/>
      <c r="BF16" s="81"/>
      <c r="BG16" s="86"/>
      <c r="BH16" s="87"/>
      <c r="BI16" s="67"/>
      <c r="BJ16" s="67"/>
      <c r="BK16" s="65"/>
    </row>
    <row r="17" spans="2:63" ht="13.5">
      <c r="B17" s="41" t="s">
        <v>86</v>
      </c>
      <c r="C17" s="19" t="s">
        <v>31</v>
      </c>
      <c r="D17" s="89">
        <v>35</v>
      </c>
      <c r="E17" s="15" t="s">
        <v>32</v>
      </c>
      <c r="AF17" s="15"/>
      <c r="BA17" s="21" t="s">
        <v>139</v>
      </c>
      <c r="BB17" s="81">
        <f>BB16*EXP(θ*tanφ)</f>
        <v>1.6181318144383832</v>
      </c>
      <c r="BC17" s="81" t="s">
        <v>88</v>
      </c>
      <c r="BD17" s="81"/>
      <c r="BE17" s="81"/>
      <c r="BF17" s="81"/>
      <c r="BG17" s="81"/>
      <c r="BH17" s="78"/>
      <c r="BI17" s="65"/>
      <c r="BJ17" s="65"/>
      <c r="BK17" s="65"/>
    </row>
    <row r="18" spans="1:60" ht="16.5">
      <c r="A18" s="29"/>
      <c r="B18" s="20" t="s">
        <v>33</v>
      </c>
      <c r="C18" s="18" t="s">
        <v>34</v>
      </c>
      <c r="D18" s="89">
        <v>400</v>
      </c>
      <c r="E18" s="15" t="s">
        <v>35</v>
      </c>
      <c r="AF18" s="15"/>
      <c r="BA18" s="21" t="s">
        <v>140</v>
      </c>
      <c r="BB18" s="81">
        <f>SIN(ω)/SIN(ε)*BB16</f>
        <v>2.0230305939652085</v>
      </c>
      <c r="BC18" s="81" t="s">
        <v>88</v>
      </c>
      <c r="BD18" s="81"/>
      <c r="BE18" s="81"/>
      <c r="BF18" s="81"/>
      <c r="BG18" s="81"/>
      <c r="BH18" s="78"/>
    </row>
    <row r="19" spans="4:60" ht="13.5">
      <c r="D19" s="43"/>
      <c r="AF19" s="15"/>
      <c r="BA19" s="21" t="s">
        <v>141</v>
      </c>
      <c r="BB19" s="81">
        <f>SIN(ζ)*S/COS(φ)</f>
        <v>0.5827681874929819</v>
      </c>
      <c r="BC19" s="81" t="s">
        <v>88</v>
      </c>
      <c r="BD19" s="81"/>
      <c r="BE19" s="81"/>
      <c r="BF19" s="81"/>
      <c r="BG19" s="81"/>
      <c r="BH19" s="78"/>
    </row>
    <row r="20" spans="1:60" ht="13.5">
      <c r="A20" s="63" t="s">
        <v>131</v>
      </c>
      <c r="D20" s="43"/>
      <c r="AF20" s="15"/>
      <c r="BA20" s="21" t="s">
        <v>142</v>
      </c>
      <c r="BB20" s="81">
        <f>BB17+S*(SIN(ζ)*tanφ-COS(ζ))</f>
        <v>1.8036915566321152</v>
      </c>
      <c r="BC20" s="81" t="s">
        <v>88</v>
      </c>
      <c r="BD20" s="81"/>
      <c r="BE20" s="81"/>
      <c r="BF20" s="81"/>
      <c r="BG20" s="81"/>
      <c r="BH20" s="78"/>
    </row>
    <row r="21" spans="2:60" ht="15">
      <c r="B21" s="104"/>
      <c r="C21" s="22" t="s">
        <v>14</v>
      </c>
      <c r="D21" s="90">
        <v>86.65369411500497</v>
      </c>
      <c r="E21" s="15" t="str">
        <f>"(初期値90deg)"</f>
        <v>(初期値90deg)</v>
      </c>
      <c r="AF21" s="15"/>
      <c r="BA21" s="21" t="s">
        <v>143</v>
      </c>
      <c r="BB21" s="81">
        <f>SIN(ψ)/SIN(η)*BB20</f>
        <v>2.953942419897184</v>
      </c>
      <c r="BC21" s="81" t="s">
        <v>88</v>
      </c>
      <c r="BD21" s="81"/>
      <c r="BE21" s="81"/>
      <c r="BF21" s="81"/>
      <c r="BG21" s="81"/>
      <c r="BH21" s="78"/>
    </row>
    <row r="22" spans="2:60" ht="15">
      <c r="B22" s="105"/>
      <c r="C22" s="22" t="s">
        <v>160</v>
      </c>
      <c r="D22" s="90">
        <v>20.648096726586143</v>
      </c>
      <c r="E22" s="15" t="str">
        <f>"(初期値"&amp;AW13&amp;"deg)"</f>
        <v>(初期値14.79deg)</v>
      </c>
      <c r="AF22" s="15"/>
      <c r="BA22" s="21" t="s">
        <v>144</v>
      </c>
      <c r="BB22" s="81">
        <f>SIN(ζ-β)/SIN(η)*BB20</f>
        <v>1.5233302030123674</v>
      </c>
      <c r="BC22" s="81" t="s">
        <v>88</v>
      </c>
      <c r="BD22" s="88" t="s">
        <v>151</v>
      </c>
      <c r="BE22" s="81">
        <f>'出力'!T114</f>
        <v>1</v>
      </c>
      <c r="BF22" s="81"/>
      <c r="BG22" s="81"/>
      <c r="BH22" s="78"/>
    </row>
    <row r="23" spans="2:60" ht="13.5">
      <c r="B23" s="20" t="s">
        <v>36</v>
      </c>
      <c r="C23" s="99" t="str">
        <f>"Nc= "&amp;'出力'!C160</f>
        <v>Nc= 6.17</v>
      </c>
      <c r="D23" s="77" t="str">
        <f>BA29&amp;ROUND(Nq,2)</f>
        <v>Nq=0.23</v>
      </c>
      <c r="AF23" s="15"/>
      <c r="AZ23" s="71"/>
      <c r="BA23" s="21" t="s">
        <v>166</v>
      </c>
      <c r="BB23" s="81">
        <f>TAN(φ)</f>
        <v>0.7002075382097097</v>
      </c>
      <c r="BC23" s="81"/>
      <c r="BD23" s="88" t="s">
        <v>154</v>
      </c>
      <c r="BE23" s="81">
        <f>'出力'!T115</f>
        <v>1</v>
      </c>
      <c r="BF23" s="81"/>
      <c r="BG23" s="81"/>
      <c r="BH23" s="78"/>
    </row>
    <row r="24" spans="3:60" ht="13.5">
      <c r="C24" s="76" t="str">
        <f>BA30&amp;ROUND(Nγ,2)</f>
        <v>Nγ=1.09</v>
      </c>
      <c r="D24" s="77"/>
      <c r="AF24" s="15"/>
      <c r="BA24" s="21" t="s">
        <v>145</v>
      </c>
      <c r="BB24" s="80">
        <f>SIN(ρ)/SIN(ε)*(SIN(ε-φ)+TAN(α)*COS(ε-φ))</f>
        <v>0.6513732223324635</v>
      </c>
      <c r="BC24" s="81"/>
      <c r="BD24" s="81" t="s">
        <v>116</v>
      </c>
      <c r="BE24" s="81">
        <f>Be</f>
        <v>1.66</v>
      </c>
      <c r="BF24" s="81"/>
      <c r="BG24" s="81"/>
      <c r="BH24" s="78"/>
    </row>
    <row r="25" spans="2:60" ht="13.5">
      <c r="B25" s="41" t="s">
        <v>132</v>
      </c>
      <c r="C25" s="76" t="s">
        <v>127</v>
      </c>
      <c r="D25" s="79" t="str">
        <f>'出力'!S156&amp;'出力'!T156</f>
        <v>20854.5kN</v>
      </c>
      <c r="BA25" s="21" t="s">
        <v>146</v>
      </c>
      <c r="BB25" s="81">
        <f>1/BB16^2*EXP(θ*tanφ)*COS(ζ)*((BB17+ef)*S*SIN(ζ)+eg*fg*SIN(η))</f>
        <v>0.9405700928208818</v>
      </c>
      <c r="BC25" s="81"/>
      <c r="BD25" s="81" t="s">
        <v>155</v>
      </c>
      <c r="BE25" s="81">
        <f>'出力'!U110</f>
        <v>18.09</v>
      </c>
      <c r="BF25" s="81"/>
      <c r="BG25" s="81"/>
      <c r="BH25" s="81"/>
    </row>
    <row r="26" spans="2:60" ht="15.75">
      <c r="B26" s="22" t="s">
        <v>135</v>
      </c>
      <c r="C26" s="76" t="s">
        <v>136</v>
      </c>
      <c r="D26" s="101">
        <f>BE22*cu*Nc*BE26+q*Nq*BE28+0.5*BE24*γ*Nγ*BE27</f>
        <v>1152.8176906982471</v>
      </c>
      <c r="E26" s="15" t="s">
        <v>134</v>
      </c>
      <c r="BA26" s="21" t="s">
        <v>147</v>
      </c>
      <c r="BB26" s="81">
        <f>SIN(ω)*SIN(ρ)*SIN(ε-φ)/SIN(ε)</f>
        <v>0.07693758239939068</v>
      </c>
      <c r="BC26" s="81"/>
      <c r="BD26" s="81" t="s">
        <v>156</v>
      </c>
      <c r="BE26" s="80">
        <f>'出力'!S153</f>
        <v>0.46</v>
      </c>
      <c r="BF26" s="81"/>
      <c r="BG26" s="81"/>
      <c r="BH26" s="81"/>
    </row>
    <row r="27" spans="2:60" ht="13.5">
      <c r="B27" s="16" t="s">
        <v>37</v>
      </c>
      <c r="C27" s="76" t="str">
        <f>'出力'!R157&amp;'出力'!S157</f>
        <v>Fs=6.6</v>
      </c>
      <c r="D27" s="80"/>
      <c r="BA27" s="21" t="s">
        <v>148</v>
      </c>
      <c r="BB27" s="81">
        <f>(EXP(3*θ*tanφ)*(SIN(ω+θ)+3*tanφ*COS(ω+θ))-SIN(ω)-3*tanφ*COS(ω))/(9*tanφ^2+1)</f>
        <v>-0.07710615086893294</v>
      </c>
      <c r="BC27" s="81"/>
      <c r="BD27" s="81" t="s">
        <v>158</v>
      </c>
      <c r="BE27" s="80">
        <f>'出力'!S155</f>
        <v>0.84</v>
      </c>
      <c r="BF27" s="81"/>
      <c r="BG27" s="81"/>
      <c r="BH27" s="81"/>
    </row>
    <row r="28" spans="52:60" ht="13.5">
      <c r="AZ28" s="71"/>
      <c r="BA28" s="21" t="s">
        <v>157</v>
      </c>
      <c r="BB28" s="81">
        <f>COS(φ)/X*(SIN(ω)/SIN(ε)+1/SIN(φ)*(EXP(2*θ*tanφ)-1)+(df+fg)/BB16*EXP(θ*tanφ))</f>
        <v>6.174129722724777</v>
      </c>
      <c r="BC28" s="81"/>
      <c r="BD28" s="81" t="s">
        <v>201</v>
      </c>
      <c r="BE28" s="81">
        <f>Sq</f>
        <v>1</v>
      </c>
      <c r="BF28" s="81"/>
      <c r="BG28" s="81"/>
      <c r="BH28" s="81"/>
    </row>
    <row r="29" spans="1:60" ht="13.5">
      <c r="A29" s="24" t="s">
        <v>38</v>
      </c>
      <c r="BA29" s="21" t="s">
        <v>149</v>
      </c>
      <c r="BB29" s="81">
        <f>EXP(θ*tanφ)*((S+0*COS(β))*COS(ζ)+0*SIN(β)*SIN(ζ))/(X*BB16)</f>
        <v>0.2336968325489069</v>
      </c>
      <c r="BC29" s="81"/>
      <c r="BD29" s="81"/>
      <c r="BE29" s="81"/>
      <c r="BF29" s="81"/>
      <c r="BG29" s="81"/>
      <c r="BH29" s="81"/>
    </row>
    <row r="30" spans="1:60" ht="13.5">
      <c r="A30" s="25" t="s">
        <v>39</v>
      </c>
      <c r="H30" s="15" t="s">
        <v>187</v>
      </c>
      <c r="BA30" s="21" t="s">
        <v>167</v>
      </c>
      <c r="BB30" s="81">
        <f>SIN(ε)/X/SIN(ρ)*(BB25-BB26-BB27)</f>
        <v>1.0938443199348218</v>
      </c>
      <c r="BC30" s="81"/>
      <c r="BD30" s="81"/>
      <c r="BE30" s="81"/>
      <c r="BF30" s="81"/>
      <c r="BG30" s="81"/>
      <c r="BH30" s="81"/>
    </row>
    <row r="31" spans="1:53" ht="13.5">
      <c r="A31" s="29"/>
      <c r="B31" s="29"/>
      <c r="C31" s="29"/>
      <c r="D31" s="29"/>
      <c r="E31" s="29"/>
      <c r="F31" s="29"/>
      <c r="H31" s="15" t="s">
        <v>188</v>
      </c>
      <c r="AZ31" s="72"/>
      <c r="BA31" s="15" t="s">
        <v>202</v>
      </c>
    </row>
    <row r="32" spans="1:8" ht="13.5">
      <c r="A32" s="109"/>
      <c r="B32" s="109"/>
      <c r="C32" s="109"/>
      <c r="D32" s="109"/>
      <c r="E32" s="109"/>
      <c r="F32" s="29"/>
      <c r="H32" s="15" t="s">
        <v>189</v>
      </c>
    </row>
    <row r="33" spans="1:8" ht="13.5">
      <c r="A33" s="110"/>
      <c r="B33" s="111"/>
      <c r="C33" s="112"/>
      <c r="D33" s="112"/>
      <c r="E33" s="112"/>
      <c r="F33" s="92"/>
      <c r="G33" s="23"/>
      <c r="H33" s="15" t="s">
        <v>190</v>
      </c>
    </row>
    <row r="34" spans="1:6" ht="15" customHeight="1">
      <c r="A34" s="113"/>
      <c r="B34" s="113"/>
      <c r="C34" s="113"/>
      <c r="D34" s="113"/>
      <c r="E34" s="113"/>
      <c r="F34" s="93"/>
    </row>
    <row r="35" spans="1:12" ht="13.5">
      <c r="A35" s="114"/>
      <c r="B35" s="114"/>
      <c r="C35" s="114"/>
      <c r="D35" s="114"/>
      <c r="E35" s="114"/>
      <c r="F35" s="108"/>
      <c r="H35" s="95"/>
      <c r="I35" s="95"/>
      <c r="K35" s="95"/>
      <c r="L35" s="95"/>
    </row>
    <row r="36" spans="1:12" ht="13.5">
      <c r="A36" s="114"/>
      <c r="B36" s="114"/>
      <c r="C36" s="114"/>
      <c r="D36" s="114"/>
      <c r="E36" s="114"/>
      <c r="F36" s="29"/>
      <c r="H36" s="17"/>
      <c r="K36" s="23"/>
      <c r="L36" s="96"/>
    </row>
    <row r="37" spans="1:12" ht="16.5">
      <c r="A37" s="115"/>
      <c r="B37" s="116"/>
      <c r="C37" s="114"/>
      <c r="D37" s="114"/>
      <c r="E37" s="114"/>
      <c r="F37" s="29"/>
      <c r="H37" s="95"/>
      <c r="I37" s="95"/>
      <c r="K37" s="95"/>
      <c r="L37" s="95"/>
    </row>
    <row r="38" spans="1:6" ht="16.5">
      <c r="A38" s="115"/>
      <c r="B38" s="116"/>
      <c r="C38" s="114"/>
      <c r="D38" s="114"/>
      <c r="E38" s="114"/>
      <c r="F38" s="29"/>
    </row>
    <row r="39" spans="1:6" ht="13.5">
      <c r="A39" s="29"/>
      <c r="B39" s="29"/>
      <c r="C39" s="29"/>
      <c r="D39" s="29"/>
      <c r="E39" s="29"/>
      <c r="F39" s="29"/>
    </row>
    <row r="40" spans="1:10" ht="13.5">
      <c r="A40" s="102" t="s">
        <v>204</v>
      </c>
      <c r="B40" s="102"/>
      <c r="C40" s="102"/>
      <c r="D40" s="102"/>
      <c r="E40" s="102"/>
      <c r="F40" s="102"/>
      <c r="G40" s="102"/>
      <c r="H40" s="102"/>
      <c r="I40" s="102"/>
      <c r="J40" s="102"/>
    </row>
    <row r="41" spans="1:10" ht="13.5">
      <c r="A41" s="102" t="s">
        <v>205</v>
      </c>
      <c r="B41" s="102"/>
      <c r="C41" s="102"/>
      <c r="D41" s="102"/>
      <c r="E41" s="102"/>
      <c r="F41" s="102"/>
      <c r="G41" s="102"/>
      <c r="H41" s="102"/>
      <c r="I41" s="102"/>
      <c r="J41" s="102"/>
    </row>
    <row r="42" spans="1:10" ht="13.5">
      <c r="A42" s="102" t="s">
        <v>206</v>
      </c>
      <c r="B42" s="102"/>
      <c r="C42" s="102"/>
      <c r="D42" s="102"/>
      <c r="E42" s="102"/>
      <c r="F42" s="102"/>
      <c r="G42" s="102"/>
      <c r="H42" s="102"/>
      <c r="I42" s="102"/>
      <c r="J42" s="102"/>
    </row>
    <row r="43" spans="1:10" ht="13.5">
      <c r="A43" s="102" t="s">
        <v>207</v>
      </c>
      <c r="B43" s="102"/>
      <c r="C43" s="102"/>
      <c r="D43" s="102"/>
      <c r="E43" s="102"/>
      <c r="F43" s="102"/>
      <c r="G43" s="102"/>
      <c r="H43" s="102"/>
      <c r="I43" s="102"/>
      <c r="J43" s="102"/>
    </row>
    <row r="44" spans="1:10" ht="15">
      <c r="A44" s="102"/>
      <c r="B44" s="102"/>
      <c r="C44" s="102"/>
      <c r="D44" s="102"/>
      <c r="E44" s="102"/>
      <c r="F44" s="102"/>
      <c r="G44" s="102"/>
      <c r="H44" s="102"/>
      <c r="I44" s="102"/>
      <c r="J44" s="102"/>
    </row>
    <row r="45" spans="1:10" ht="15">
      <c r="A45" s="102"/>
      <c r="B45" s="102"/>
      <c r="C45" s="102"/>
      <c r="D45" s="102"/>
      <c r="E45" s="102"/>
      <c r="F45" s="102"/>
      <c r="G45" s="102"/>
      <c r="H45" s="102"/>
      <c r="I45" s="102"/>
      <c r="J45" s="102"/>
    </row>
    <row r="46" spans="1:10" ht="15">
      <c r="A46" s="102"/>
      <c r="B46" s="102"/>
      <c r="C46" s="102"/>
      <c r="D46" s="102"/>
      <c r="E46" s="102"/>
      <c r="F46" s="102"/>
      <c r="G46" s="102"/>
      <c r="H46" s="102"/>
      <c r="I46" s="102"/>
      <c r="J46" s="102"/>
    </row>
    <row r="47" spans="1:10" ht="15">
      <c r="A47" s="102"/>
      <c r="B47" s="102"/>
      <c r="C47" s="102"/>
      <c r="D47" s="102"/>
      <c r="E47" s="102"/>
      <c r="F47" s="102"/>
      <c r="G47" s="102"/>
      <c r="H47" s="102"/>
      <c r="I47" s="102"/>
      <c r="J47" s="102"/>
    </row>
    <row r="48" spans="1:10" ht="15">
      <c r="A48" s="102"/>
      <c r="B48" s="102"/>
      <c r="C48" s="102"/>
      <c r="D48" s="102"/>
      <c r="E48" s="102"/>
      <c r="F48" s="102"/>
      <c r="G48" s="102"/>
      <c r="H48" s="102"/>
      <c r="I48" s="102"/>
      <c r="J48" s="102"/>
    </row>
    <row r="49" spans="1:10" ht="15">
      <c r="A49" s="102"/>
      <c r="B49" s="102"/>
      <c r="C49" s="102"/>
      <c r="D49" s="102"/>
      <c r="E49" s="102"/>
      <c r="F49" s="102"/>
      <c r="G49" s="102"/>
      <c r="H49" s="102"/>
      <c r="I49" s="102"/>
      <c r="J49" s="102"/>
    </row>
    <row r="50" spans="1:10" ht="15">
      <c r="A50" s="102"/>
      <c r="B50" s="102"/>
      <c r="C50" s="102"/>
      <c r="D50" s="102"/>
      <c r="E50" s="102"/>
      <c r="F50" s="102"/>
      <c r="G50" s="102"/>
      <c r="H50" s="102"/>
      <c r="I50" s="102"/>
      <c r="J50" s="102"/>
    </row>
    <row r="51" spans="1:10" ht="15">
      <c r="A51" s="102"/>
      <c r="B51" s="102"/>
      <c r="C51" s="102"/>
      <c r="D51" s="102"/>
      <c r="E51" s="102"/>
      <c r="F51" s="102"/>
      <c r="G51" s="102"/>
      <c r="H51" s="102"/>
      <c r="I51" s="102"/>
      <c r="J51" s="102"/>
    </row>
    <row r="52" spans="1:10" ht="15">
      <c r="A52" s="102"/>
      <c r="B52" s="102"/>
      <c r="C52" s="102"/>
      <c r="D52" s="102"/>
      <c r="E52" s="102"/>
      <c r="F52" s="102"/>
      <c r="G52" s="102"/>
      <c r="H52" s="102"/>
      <c r="I52" s="102"/>
      <c r="J52" s="102"/>
    </row>
    <row r="53" spans="1:10" ht="15">
      <c r="A53" s="102"/>
      <c r="B53" s="102"/>
      <c r="C53" s="102"/>
      <c r="D53" s="102"/>
      <c r="E53" s="102"/>
      <c r="F53" s="102"/>
      <c r="G53" s="102"/>
      <c r="H53" s="102"/>
      <c r="I53" s="102"/>
      <c r="J53" s="102"/>
    </row>
    <row r="54" spans="1:10" ht="15">
      <c r="A54" s="102"/>
      <c r="B54" s="102"/>
      <c r="C54" s="102"/>
      <c r="D54" s="102"/>
      <c r="E54" s="102"/>
      <c r="F54" s="102"/>
      <c r="G54" s="102"/>
      <c r="H54" s="102"/>
      <c r="I54" s="102"/>
      <c r="J54" s="102"/>
    </row>
    <row r="55" spans="1:10" ht="15">
      <c r="A55" s="102"/>
      <c r="B55" s="102"/>
      <c r="C55" s="102"/>
      <c r="D55" s="102"/>
      <c r="E55" s="102"/>
      <c r="F55" s="102"/>
      <c r="G55" s="102"/>
      <c r="H55" s="102"/>
      <c r="I55" s="102"/>
      <c r="J55" s="102"/>
    </row>
    <row r="56" spans="1:10" ht="15">
      <c r="A56" s="102"/>
      <c r="B56" s="102"/>
      <c r="C56" s="102"/>
      <c r="D56" s="102"/>
      <c r="E56" s="102"/>
      <c r="F56" s="102"/>
      <c r="G56" s="102"/>
      <c r="H56" s="102"/>
      <c r="I56" s="102"/>
      <c r="J56" s="102"/>
    </row>
    <row r="57" spans="1:10" ht="15">
      <c r="A57" s="102"/>
      <c r="B57" s="102"/>
      <c r="C57" s="102"/>
      <c r="D57" s="102"/>
      <c r="E57" s="102"/>
      <c r="F57" s="102"/>
      <c r="G57" s="102"/>
      <c r="H57" s="102"/>
      <c r="I57" s="102"/>
      <c r="J57" s="102"/>
    </row>
    <row r="58" spans="1:10" ht="15">
      <c r="A58" s="102"/>
      <c r="B58" s="102"/>
      <c r="C58" s="102"/>
      <c r="D58" s="102"/>
      <c r="E58" s="102"/>
      <c r="F58" s="102"/>
      <c r="G58" s="102"/>
      <c r="H58" s="102"/>
      <c r="I58" s="102"/>
      <c r="J58" s="102"/>
    </row>
    <row r="59" spans="1:10" ht="15">
      <c r="A59" s="102"/>
      <c r="B59" s="102"/>
      <c r="C59" s="102"/>
      <c r="D59" s="102"/>
      <c r="E59" s="102"/>
      <c r="F59" s="102"/>
      <c r="G59" s="102"/>
      <c r="H59" s="102"/>
      <c r="I59" s="102"/>
      <c r="J59" s="102"/>
    </row>
    <row r="60" spans="1:10" ht="15">
      <c r="A60" s="102"/>
      <c r="B60" s="102"/>
      <c r="C60" s="102"/>
      <c r="D60" s="102"/>
      <c r="E60" s="102"/>
      <c r="F60" s="102"/>
      <c r="G60" s="102"/>
      <c r="H60" s="102"/>
      <c r="I60" s="102"/>
      <c r="J60" s="102"/>
    </row>
    <row r="61" spans="1:10" ht="15">
      <c r="A61" s="102"/>
      <c r="B61" s="102"/>
      <c r="C61" s="102"/>
      <c r="D61" s="102"/>
      <c r="E61" s="102"/>
      <c r="F61" s="102"/>
      <c r="G61" s="102"/>
      <c r="H61" s="102"/>
      <c r="I61" s="102"/>
      <c r="J61" s="102"/>
    </row>
    <row r="62" spans="1:10" ht="15">
      <c r="A62" s="102"/>
      <c r="B62" s="102"/>
      <c r="C62" s="102"/>
      <c r="D62" s="102"/>
      <c r="E62" s="102"/>
      <c r="F62" s="102"/>
      <c r="G62" s="102"/>
      <c r="H62" s="102"/>
      <c r="I62" s="102"/>
      <c r="J62" s="102"/>
    </row>
    <row r="63" spans="1:10" ht="13.5">
      <c r="A63" s="102"/>
      <c r="B63" s="102" t="s">
        <v>208</v>
      </c>
      <c r="C63" s="102" t="s">
        <v>209</v>
      </c>
      <c r="D63" s="102"/>
      <c r="E63" s="102"/>
      <c r="F63" s="102"/>
      <c r="G63" s="102"/>
      <c r="H63" s="102"/>
      <c r="I63" s="102"/>
      <c r="J63" s="102"/>
    </row>
    <row r="64" spans="1:10" ht="13.5">
      <c r="A64" s="102"/>
      <c r="B64" s="102"/>
      <c r="C64" s="102"/>
      <c r="D64" s="102"/>
      <c r="E64" s="102"/>
      <c r="F64" s="102"/>
      <c r="G64" s="102"/>
      <c r="H64" s="102"/>
      <c r="I64" s="102"/>
      <c r="J64" s="102"/>
    </row>
    <row r="65" spans="1:10" ht="13.5">
      <c r="A65" s="102" t="s">
        <v>210</v>
      </c>
      <c r="B65" s="102"/>
      <c r="C65" s="102"/>
      <c r="D65" s="102"/>
      <c r="E65" s="102"/>
      <c r="F65" s="102"/>
      <c r="G65" s="102"/>
      <c r="H65" s="102"/>
      <c r="I65" s="102"/>
      <c r="J65" s="102"/>
    </row>
    <row r="66" spans="1:10" ht="13.5">
      <c r="A66" s="102" t="s">
        <v>211</v>
      </c>
      <c r="B66" s="102"/>
      <c r="C66" s="102"/>
      <c r="D66" s="102"/>
      <c r="E66" s="102"/>
      <c r="F66" s="102"/>
      <c r="G66" s="102"/>
      <c r="H66" s="102"/>
      <c r="I66" s="102"/>
      <c r="J66" s="102"/>
    </row>
    <row r="67" spans="1:10" ht="15">
      <c r="A67" s="102"/>
      <c r="B67" s="102"/>
      <c r="C67" s="102"/>
      <c r="D67" s="102"/>
      <c r="E67" s="102"/>
      <c r="F67" s="102"/>
      <c r="G67" s="102"/>
      <c r="H67" s="102"/>
      <c r="I67" s="102"/>
      <c r="J67" s="102"/>
    </row>
    <row r="68" spans="1:10" ht="15">
      <c r="A68" s="102"/>
      <c r="B68" s="102"/>
      <c r="C68" s="102"/>
      <c r="D68" s="102"/>
      <c r="E68" s="102"/>
      <c r="F68" s="102"/>
      <c r="G68" s="102"/>
      <c r="H68" s="102"/>
      <c r="I68" s="102"/>
      <c r="J68" s="102"/>
    </row>
    <row r="69" spans="1:10" ht="15">
      <c r="A69" s="102"/>
      <c r="B69" s="102"/>
      <c r="C69" s="102"/>
      <c r="D69" s="102"/>
      <c r="E69" s="102"/>
      <c r="F69" s="102"/>
      <c r="G69" s="102"/>
      <c r="H69" s="102"/>
      <c r="I69" s="102"/>
      <c r="J69" s="102"/>
    </row>
    <row r="70" spans="1:10" ht="15">
      <c r="A70" s="102"/>
      <c r="B70" s="102"/>
      <c r="C70" s="102"/>
      <c r="D70" s="102"/>
      <c r="E70" s="102"/>
      <c r="F70" s="102"/>
      <c r="G70" s="102"/>
      <c r="H70" s="102"/>
      <c r="I70" s="102"/>
      <c r="J70" s="102"/>
    </row>
    <row r="71" spans="1:10" ht="15">
      <c r="A71" s="102"/>
      <c r="B71" s="102"/>
      <c r="C71" s="102"/>
      <c r="D71" s="102"/>
      <c r="E71" s="102"/>
      <c r="F71" s="102"/>
      <c r="G71" s="102"/>
      <c r="H71" s="102"/>
      <c r="I71" s="102"/>
      <c r="J71" s="102"/>
    </row>
    <row r="72" spans="1:10" ht="15">
      <c r="A72" s="102"/>
      <c r="B72" s="102"/>
      <c r="E72" s="102"/>
      <c r="F72" s="102"/>
      <c r="G72" s="102"/>
      <c r="H72" s="102"/>
      <c r="I72" s="102"/>
      <c r="J72" s="102"/>
    </row>
    <row r="73" spans="1:10" ht="15">
      <c r="A73" s="102"/>
      <c r="B73" s="102"/>
      <c r="C73" s="102"/>
      <c r="D73" s="102"/>
      <c r="E73" s="102"/>
      <c r="F73" s="102"/>
      <c r="G73" s="102"/>
      <c r="H73" s="102"/>
      <c r="I73" s="102"/>
      <c r="J73" s="102"/>
    </row>
    <row r="74" spans="2:10" ht="15">
      <c r="B74" s="102"/>
      <c r="C74" s="102"/>
      <c r="D74" s="102"/>
      <c r="E74" s="102"/>
      <c r="F74" s="102"/>
      <c r="G74" s="102"/>
      <c r="H74" s="102"/>
      <c r="I74" s="102"/>
      <c r="J74" s="102"/>
    </row>
    <row r="75" spans="2:10" ht="15">
      <c r="B75" s="102"/>
      <c r="C75" s="102"/>
      <c r="D75" s="102"/>
      <c r="E75" s="102"/>
      <c r="F75" s="102"/>
      <c r="G75" s="102"/>
      <c r="H75" s="102"/>
      <c r="I75" s="102"/>
      <c r="J75" s="102"/>
    </row>
    <row r="76" spans="1:10" ht="15">
      <c r="A76" s="102"/>
      <c r="B76" s="102"/>
      <c r="C76" s="102"/>
      <c r="D76" s="102"/>
      <c r="E76" s="102"/>
      <c r="F76" s="102"/>
      <c r="G76" s="102"/>
      <c r="H76" s="102"/>
      <c r="I76" s="102"/>
      <c r="J76" s="102"/>
    </row>
    <row r="77" spans="1:10" ht="15">
      <c r="A77" s="102"/>
      <c r="B77" s="102"/>
      <c r="C77" s="102"/>
      <c r="D77" s="102"/>
      <c r="E77" s="102"/>
      <c r="F77" s="102"/>
      <c r="G77" s="102"/>
      <c r="H77" s="102"/>
      <c r="I77" s="102"/>
      <c r="J77" s="102"/>
    </row>
    <row r="78" spans="1:10" ht="15">
      <c r="A78" s="102"/>
      <c r="B78" s="102"/>
      <c r="C78" s="102"/>
      <c r="D78" s="102"/>
      <c r="E78" s="102"/>
      <c r="F78" s="102"/>
      <c r="G78" s="102"/>
      <c r="H78" s="102"/>
      <c r="I78" s="102"/>
      <c r="J78" s="102"/>
    </row>
    <row r="79" spans="1:10" ht="15">
      <c r="A79" s="102"/>
      <c r="B79" s="102"/>
      <c r="C79" s="102"/>
      <c r="D79" s="102"/>
      <c r="E79" s="102"/>
      <c r="F79" s="102"/>
      <c r="G79" s="102"/>
      <c r="H79" s="102"/>
      <c r="I79" s="102"/>
      <c r="J79" s="102"/>
    </row>
    <row r="80" spans="1:10" ht="13.5">
      <c r="A80" s="102"/>
      <c r="B80" s="102" t="s">
        <v>212</v>
      </c>
      <c r="C80" s="102"/>
      <c r="D80" s="102"/>
      <c r="E80" s="102"/>
      <c r="F80" s="102"/>
      <c r="G80" s="102"/>
      <c r="H80" s="102"/>
      <c r="I80" s="102"/>
      <c r="J80" s="102"/>
    </row>
    <row r="81" spans="1:10" ht="13.5">
      <c r="A81" s="102"/>
      <c r="B81" s="102"/>
      <c r="C81" s="102"/>
      <c r="D81" s="102"/>
      <c r="E81" s="102"/>
      <c r="F81" s="102"/>
      <c r="G81" s="102"/>
      <c r="H81" s="102"/>
      <c r="I81" s="102"/>
      <c r="J81" s="102"/>
    </row>
    <row r="82" spans="1:10" ht="13.5">
      <c r="A82" s="102" t="s">
        <v>213</v>
      </c>
      <c r="B82" s="102"/>
      <c r="C82" s="102"/>
      <c r="D82" s="102"/>
      <c r="E82" s="102"/>
      <c r="F82" s="102"/>
      <c r="G82" s="102"/>
      <c r="H82" s="102"/>
      <c r="I82" s="102"/>
      <c r="J82" s="102"/>
    </row>
    <row r="83" spans="1:10" ht="13.5">
      <c r="A83" s="102" t="s">
        <v>214</v>
      </c>
      <c r="B83" s="102"/>
      <c r="C83" s="102"/>
      <c r="D83" s="102"/>
      <c r="E83" s="102"/>
      <c r="F83" s="102"/>
      <c r="G83" s="102"/>
      <c r="H83" s="102"/>
      <c r="I83" s="102"/>
      <c r="J83" s="102"/>
    </row>
    <row r="84" spans="1:10" ht="15">
      <c r="A84" s="102"/>
      <c r="B84" s="102"/>
      <c r="C84" s="102"/>
      <c r="D84" s="102"/>
      <c r="E84" s="102"/>
      <c r="F84" s="102"/>
      <c r="G84" s="102"/>
      <c r="H84" s="102"/>
      <c r="I84" s="102"/>
      <c r="J84" s="102"/>
    </row>
    <row r="85" spans="1:10" ht="15">
      <c r="A85" s="102"/>
      <c r="B85" s="102"/>
      <c r="E85" s="102"/>
      <c r="F85" s="102"/>
      <c r="G85" s="102"/>
      <c r="H85" s="102"/>
      <c r="I85" s="102"/>
      <c r="J85" s="102"/>
    </row>
    <row r="86" spans="1:10" ht="15">
      <c r="A86" s="102"/>
      <c r="B86" s="102"/>
      <c r="C86" s="102"/>
      <c r="D86" s="102"/>
      <c r="E86" s="102"/>
      <c r="F86" s="102"/>
      <c r="G86" s="102"/>
      <c r="H86" s="102"/>
      <c r="I86" s="102"/>
      <c r="J86" s="102"/>
    </row>
    <row r="87" spans="2:10" ht="15">
      <c r="B87" s="102"/>
      <c r="C87" s="102"/>
      <c r="D87" s="102"/>
      <c r="E87" s="102"/>
      <c r="F87" s="102"/>
      <c r="G87" s="102"/>
      <c r="H87" s="102"/>
      <c r="I87" s="102"/>
      <c r="J87" s="102"/>
    </row>
    <row r="88" spans="2:10" ht="15">
      <c r="B88" s="102"/>
      <c r="C88" s="102"/>
      <c r="D88" s="102"/>
      <c r="E88" s="102"/>
      <c r="F88" s="102"/>
      <c r="G88" s="102"/>
      <c r="H88" s="102"/>
      <c r="I88" s="102"/>
      <c r="J88" s="102"/>
    </row>
    <row r="89" spans="1:10" ht="15">
      <c r="A89" s="102"/>
      <c r="B89" s="102"/>
      <c r="C89" s="102"/>
      <c r="D89" s="102"/>
      <c r="E89" s="102"/>
      <c r="F89" s="102"/>
      <c r="G89" s="102"/>
      <c r="H89" s="102"/>
      <c r="I89" s="102"/>
      <c r="J89" s="102"/>
    </row>
    <row r="90" spans="1:10" ht="15">
      <c r="A90" s="102"/>
      <c r="B90" s="102"/>
      <c r="C90" s="102"/>
      <c r="D90" s="102"/>
      <c r="E90" s="102"/>
      <c r="F90" s="102"/>
      <c r="G90" s="102"/>
      <c r="H90" s="102"/>
      <c r="I90" s="102"/>
      <c r="J90" s="102"/>
    </row>
    <row r="91" spans="1:10" ht="15">
      <c r="A91" s="102"/>
      <c r="B91" s="102"/>
      <c r="C91" s="102"/>
      <c r="D91" s="102"/>
      <c r="E91" s="102"/>
      <c r="F91" s="102"/>
      <c r="G91" s="102"/>
      <c r="H91" s="102"/>
      <c r="I91" s="102"/>
      <c r="J91" s="102"/>
    </row>
    <row r="92" spans="1:10" ht="15">
      <c r="A92" s="102"/>
      <c r="B92" s="102"/>
      <c r="C92" s="102"/>
      <c r="D92" s="102"/>
      <c r="E92" s="102"/>
      <c r="F92" s="102"/>
      <c r="G92" s="102"/>
      <c r="H92" s="102"/>
      <c r="I92" s="102"/>
      <c r="J92" s="102"/>
    </row>
    <row r="93" spans="1:10" ht="13.5">
      <c r="A93" s="102"/>
      <c r="B93" s="102" t="s">
        <v>215</v>
      </c>
      <c r="C93" s="102"/>
      <c r="D93" s="102"/>
      <c r="E93" s="102"/>
      <c r="F93" s="102"/>
      <c r="G93" s="102"/>
      <c r="H93" s="102"/>
      <c r="I93" s="102"/>
      <c r="J93" s="102"/>
    </row>
    <row r="94" spans="1:10" ht="13.5">
      <c r="A94" s="102"/>
      <c r="B94" s="102"/>
      <c r="C94" s="102"/>
      <c r="D94" s="102"/>
      <c r="E94" s="102"/>
      <c r="F94" s="102"/>
      <c r="G94" s="102"/>
      <c r="H94" s="102"/>
      <c r="I94" s="102"/>
      <c r="J94" s="102"/>
    </row>
    <row r="95" spans="1:10" ht="13.5">
      <c r="A95" s="102"/>
      <c r="B95" s="102"/>
      <c r="E95" s="102"/>
      <c r="F95" s="102"/>
      <c r="G95" s="102"/>
      <c r="H95" s="102"/>
      <c r="I95" s="102"/>
      <c r="J95" s="102"/>
    </row>
    <row r="96" spans="1:10" ht="13.5">
      <c r="A96" s="102"/>
      <c r="B96" s="102"/>
      <c r="C96" s="102"/>
      <c r="D96" s="102"/>
      <c r="E96" s="102"/>
      <c r="F96" s="102"/>
      <c r="G96" s="102"/>
      <c r="H96" s="102"/>
      <c r="I96" s="102"/>
      <c r="J96" s="102"/>
    </row>
    <row r="97" spans="1:10" ht="13.5">
      <c r="A97" s="102"/>
      <c r="B97" s="102"/>
      <c r="C97" s="102"/>
      <c r="D97" s="102"/>
      <c r="E97" s="102"/>
      <c r="F97" s="102"/>
      <c r="G97" s="102"/>
      <c r="H97" s="102"/>
      <c r="I97" s="102"/>
      <c r="J97" s="102"/>
    </row>
    <row r="98" spans="1:10" ht="13.5">
      <c r="A98" s="102" t="s">
        <v>216</v>
      </c>
      <c r="B98" s="102"/>
      <c r="C98" s="102"/>
      <c r="D98" s="102"/>
      <c r="E98" s="102"/>
      <c r="F98" s="102"/>
      <c r="G98" s="102"/>
      <c r="H98" s="102"/>
      <c r="I98" s="102"/>
      <c r="J98" s="102"/>
    </row>
    <row r="99" spans="1:10" ht="13.5">
      <c r="A99" s="102" t="s">
        <v>217</v>
      </c>
      <c r="B99" s="102"/>
      <c r="C99" s="102"/>
      <c r="D99" s="102"/>
      <c r="E99" s="102"/>
      <c r="F99" s="102"/>
      <c r="G99" s="102"/>
      <c r="H99" s="102"/>
      <c r="I99" s="102"/>
      <c r="J99" s="102"/>
    </row>
    <row r="100" spans="1:10" ht="13.5">
      <c r="A100" s="102" t="s">
        <v>218</v>
      </c>
      <c r="B100" s="102"/>
      <c r="C100" s="102"/>
      <c r="D100" s="102"/>
      <c r="E100" s="102"/>
      <c r="F100" s="102"/>
      <c r="G100" s="102"/>
      <c r="H100" s="102"/>
      <c r="I100" s="102"/>
      <c r="J100" s="102"/>
    </row>
    <row r="101" spans="1:10" ht="15">
      <c r="A101" s="102"/>
      <c r="B101" s="102"/>
      <c r="C101" s="102"/>
      <c r="D101" s="102"/>
      <c r="E101" s="102"/>
      <c r="F101" s="102"/>
      <c r="G101" s="102"/>
      <c r="H101" s="102"/>
      <c r="I101" s="102"/>
      <c r="J101" s="102"/>
    </row>
    <row r="102" spans="1:10" ht="15">
      <c r="A102" s="102"/>
      <c r="B102" s="102"/>
      <c r="C102" s="102"/>
      <c r="D102" s="102"/>
      <c r="E102" s="102"/>
      <c r="F102" s="102"/>
      <c r="G102" s="102"/>
      <c r="H102" s="102"/>
      <c r="I102" s="102"/>
      <c r="J102" s="102"/>
    </row>
    <row r="103" spans="1:10" ht="15">
      <c r="A103" s="102"/>
      <c r="B103" s="102"/>
      <c r="C103" s="102"/>
      <c r="D103" s="102"/>
      <c r="E103" s="102"/>
      <c r="F103" s="102"/>
      <c r="G103" s="102"/>
      <c r="H103" s="102"/>
      <c r="I103" s="102"/>
      <c r="J103" s="102"/>
    </row>
    <row r="104" spans="1:10" ht="15">
      <c r="A104" s="102"/>
      <c r="B104" s="102"/>
      <c r="C104" s="102"/>
      <c r="D104" s="102"/>
      <c r="E104" s="102"/>
      <c r="F104" s="102"/>
      <c r="G104" s="102"/>
      <c r="H104" s="102"/>
      <c r="I104" s="102"/>
      <c r="J104" s="102"/>
    </row>
    <row r="105" spans="1:10" ht="15">
      <c r="A105" s="102"/>
      <c r="B105" s="102"/>
      <c r="C105" s="102"/>
      <c r="D105" s="102"/>
      <c r="E105" s="102"/>
      <c r="F105" s="102"/>
      <c r="G105" s="102"/>
      <c r="H105" s="102"/>
      <c r="I105" s="102"/>
      <c r="J105" s="102"/>
    </row>
    <row r="106" spans="1:10" ht="15">
      <c r="A106" s="102"/>
      <c r="B106" s="102"/>
      <c r="C106" s="102"/>
      <c r="D106" s="102"/>
      <c r="E106" s="102"/>
      <c r="F106" s="102"/>
      <c r="G106" s="102"/>
      <c r="H106" s="102"/>
      <c r="I106" s="102"/>
      <c r="J106" s="102"/>
    </row>
    <row r="107" spans="1:10" ht="15">
      <c r="A107" s="102"/>
      <c r="B107" s="102"/>
      <c r="C107" s="102"/>
      <c r="D107" s="102"/>
      <c r="E107" s="102"/>
      <c r="F107" s="102"/>
      <c r="G107" s="102"/>
      <c r="H107" s="102"/>
      <c r="I107" s="102"/>
      <c r="J107" s="102"/>
    </row>
    <row r="108" spans="1:10" ht="15">
      <c r="A108" s="102"/>
      <c r="B108" s="102"/>
      <c r="C108" s="102"/>
      <c r="D108" s="102"/>
      <c r="E108" s="102"/>
      <c r="F108" s="102"/>
      <c r="G108" s="102"/>
      <c r="H108" s="102"/>
      <c r="I108" s="102"/>
      <c r="J108" s="102"/>
    </row>
    <row r="109" spans="1:10" ht="15">
      <c r="A109" s="102"/>
      <c r="B109" s="102"/>
      <c r="C109" s="102"/>
      <c r="D109" s="102"/>
      <c r="E109" s="102"/>
      <c r="F109" s="102"/>
      <c r="G109" s="102"/>
      <c r="H109" s="102"/>
      <c r="I109" s="102"/>
      <c r="J109" s="102"/>
    </row>
    <row r="110" spans="1:10" ht="15">
      <c r="A110" s="102"/>
      <c r="B110" s="102"/>
      <c r="C110" s="102"/>
      <c r="D110" s="102"/>
      <c r="E110" s="102"/>
      <c r="F110" s="102"/>
      <c r="G110" s="102"/>
      <c r="H110" s="102"/>
      <c r="I110" s="102"/>
      <c r="J110" s="102"/>
    </row>
    <row r="111" spans="1:10" ht="15">
      <c r="A111" s="102"/>
      <c r="B111" s="102"/>
      <c r="C111" s="102"/>
      <c r="D111" s="102"/>
      <c r="E111" s="102"/>
      <c r="F111" s="102"/>
      <c r="G111" s="102"/>
      <c r="H111" s="102"/>
      <c r="I111" s="102"/>
      <c r="J111" s="102"/>
    </row>
    <row r="112" spans="1:10" ht="15">
      <c r="A112" s="102"/>
      <c r="B112" s="102"/>
      <c r="C112" s="102"/>
      <c r="D112" s="102"/>
      <c r="E112" s="102"/>
      <c r="F112" s="102"/>
      <c r="G112" s="102"/>
      <c r="H112" s="102"/>
      <c r="I112" s="102"/>
      <c r="J112" s="102"/>
    </row>
    <row r="113" spans="1:10" ht="15">
      <c r="A113" s="102"/>
      <c r="B113" s="102"/>
      <c r="C113" s="102"/>
      <c r="D113" s="102"/>
      <c r="E113" s="102"/>
      <c r="F113" s="102"/>
      <c r="G113" s="102"/>
      <c r="H113" s="102"/>
      <c r="I113" s="102"/>
      <c r="J113" s="102"/>
    </row>
    <row r="114" spans="1:10" ht="15">
      <c r="A114" s="102"/>
      <c r="B114" s="102"/>
      <c r="C114" s="102"/>
      <c r="D114" s="102"/>
      <c r="E114" s="102"/>
      <c r="F114" s="102"/>
      <c r="G114" s="102"/>
      <c r="H114" s="102"/>
      <c r="I114" s="102"/>
      <c r="J114" s="102"/>
    </row>
    <row r="115" spans="1:10" ht="15">
      <c r="A115" s="102"/>
      <c r="B115" s="102"/>
      <c r="C115" s="102"/>
      <c r="D115" s="102"/>
      <c r="E115" s="102"/>
      <c r="F115" s="102"/>
      <c r="G115" s="102"/>
      <c r="H115" s="102"/>
      <c r="I115" s="102"/>
      <c r="J115" s="102"/>
    </row>
    <row r="116" spans="1:10" ht="15">
      <c r="A116" s="102"/>
      <c r="B116" s="102"/>
      <c r="C116" s="102"/>
      <c r="D116" s="102"/>
      <c r="E116" s="102"/>
      <c r="F116" s="102"/>
      <c r="G116" s="102"/>
      <c r="H116" s="102"/>
      <c r="I116" s="102"/>
      <c r="J116" s="102"/>
    </row>
    <row r="117" spans="1:10" ht="15">
      <c r="A117" s="102"/>
      <c r="B117" s="102"/>
      <c r="C117" s="102"/>
      <c r="D117" s="102"/>
      <c r="E117" s="102"/>
      <c r="F117" s="102"/>
      <c r="G117" s="102"/>
      <c r="H117" s="102"/>
      <c r="I117" s="102"/>
      <c r="J117" s="102"/>
    </row>
    <row r="118" spans="1:10" ht="15">
      <c r="A118" s="102"/>
      <c r="B118" s="102"/>
      <c r="C118" s="102"/>
      <c r="D118" s="102"/>
      <c r="E118" s="102"/>
      <c r="F118" s="102"/>
      <c r="G118" s="102"/>
      <c r="H118" s="102"/>
      <c r="I118" s="102"/>
      <c r="J118" s="102"/>
    </row>
    <row r="119" spans="1:10" ht="15">
      <c r="A119" s="102"/>
      <c r="B119" s="102"/>
      <c r="C119" s="102"/>
      <c r="D119" s="102"/>
      <c r="E119" s="102"/>
      <c r="F119" s="102"/>
      <c r="G119" s="102"/>
      <c r="H119" s="102"/>
      <c r="I119" s="102"/>
      <c r="J119" s="102"/>
    </row>
    <row r="120" spans="1:10" ht="13.5">
      <c r="A120" s="102"/>
      <c r="B120" s="102" t="s">
        <v>219</v>
      </c>
      <c r="C120" s="102" t="s">
        <v>209</v>
      </c>
      <c r="D120" s="102"/>
      <c r="E120" s="102"/>
      <c r="F120" s="102"/>
      <c r="G120" s="102"/>
      <c r="H120" s="102"/>
      <c r="I120" s="102"/>
      <c r="J120" s="102"/>
    </row>
    <row r="121" spans="1:10" ht="13.5">
      <c r="A121" s="102"/>
      <c r="B121" s="102"/>
      <c r="C121" s="102"/>
      <c r="D121" s="102"/>
      <c r="E121" s="102"/>
      <c r="F121" s="102"/>
      <c r="G121" s="102"/>
      <c r="H121" s="102"/>
      <c r="I121" s="102"/>
      <c r="J121" s="102"/>
    </row>
    <row r="122" spans="1:10" ht="13.5">
      <c r="A122" s="102" t="s">
        <v>220</v>
      </c>
      <c r="B122" s="102"/>
      <c r="C122" s="102"/>
      <c r="D122" s="102"/>
      <c r="E122" s="102"/>
      <c r="F122" s="102"/>
      <c r="G122" s="102"/>
      <c r="H122" s="102"/>
      <c r="I122" s="102"/>
      <c r="J122" s="102"/>
    </row>
    <row r="123" spans="1:10" ht="15">
      <c r="A123" s="102"/>
      <c r="B123" s="102"/>
      <c r="C123" s="102"/>
      <c r="D123" s="102"/>
      <c r="E123" s="102"/>
      <c r="F123" s="102"/>
      <c r="G123" s="102"/>
      <c r="H123" s="102"/>
      <c r="I123" s="102"/>
      <c r="J123" s="102"/>
    </row>
    <row r="124" spans="1:10" ht="15">
      <c r="A124" s="102"/>
      <c r="B124" s="102"/>
      <c r="C124" s="102"/>
      <c r="D124" s="102"/>
      <c r="E124" s="102"/>
      <c r="F124" s="102"/>
      <c r="G124" s="102"/>
      <c r="H124" s="102"/>
      <c r="I124" s="102"/>
      <c r="J124" s="102"/>
    </row>
    <row r="125" spans="1:10" ht="15">
      <c r="A125" s="102"/>
      <c r="B125" s="102"/>
      <c r="C125" s="102"/>
      <c r="D125" s="102"/>
      <c r="E125" s="102"/>
      <c r="F125" s="102"/>
      <c r="G125" s="102"/>
      <c r="H125" s="102"/>
      <c r="I125" s="102"/>
      <c r="J125" s="102"/>
    </row>
    <row r="126" spans="1:10" ht="15">
      <c r="A126" s="102"/>
      <c r="B126" s="102"/>
      <c r="C126" s="102"/>
      <c r="D126" s="102"/>
      <c r="E126" s="102"/>
      <c r="F126" s="102"/>
      <c r="G126" s="102"/>
      <c r="H126" s="102"/>
      <c r="I126" s="102"/>
      <c r="J126" s="102"/>
    </row>
    <row r="127" spans="1:10" ht="15">
      <c r="A127" s="102"/>
      <c r="B127" s="102"/>
      <c r="C127" s="102"/>
      <c r="D127" s="102"/>
      <c r="E127" s="102"/>
      <c r="F127" s="102"/>
      <c r="G127" s="102"/>
      <c r="H127" s="102"/>
      <c r="I127" s="102"/>
      <c r="J127" s="102"/>
    </row>
    <row r="128" spans="1:10" ht="15">
      <c r="A128" s="102"/>
      <c r="B128" s="102"/>
      <c r="C128" s="102"/>
      <c r="D128" s="102"/>
      <c r="E128" s="102"/>
      <c r="F128" s="102"/>
      <c r="G128" s="102"/>
      <c r="H128" s="102"/>
      <c r="I128" s="102"/>
      <c r="J128" s="102"/>
    </row>
    <row r="129" spans="1:10" ht="15">
      <c r="A129" s="102"/>
      <c r="B129" s="102"/>
      <c r="C129" s="102"/>
      <c r="D129" s="102"/>
      <c r="E129" s="102"/>
      <c r="F129" s="102"/>
      <c r="G129" s="102"/>
      <c r="H129" s="102"/>
      <c r="I129" s="102"/>
      <c r="J129" s="102"/>
    </row>
    <row r="130" spans="1:10" ht="15">
      <c r="A130" s="102"/>
      <c r="B130" s="102"/>
      <c r="C130" s="102"/>
      <c r="D130" s="102"/>
      <c r="E130" s="102"/>
      <c r="F130" s="102"/>
      <c r="G130" s="102"/>
      <c r="H130" s="102"/>
      <c r="I130" s="102"/>
      <c r="J130" s="102"/>
    </row>
    <row r="131" spans="1:10" ht="15">
      <c r="A131" s="102"/>
      <c r="B131" s="102"/>
      <c r="C131" s="102"/>
      <c r="D131" s="102"/>
      <c r="E131" s="102"/>
      <c r="F131" s="102"/>
      <c r="G131" s="102"/>
      <c r="H131" s="102"/>
      <c r="I131" s="102"/>
      <c r="J131" s="102"/>
    </row>
    <row r="132" spans="1:10" ht="15">
      <c r="A132" s="102"/>
      <c r="B132" s="102"/>
      <c r="C132" s="102"/>
      <c r="D132" s="102"/>
      <c r="E132" s="102"/>
      <c r="F132" s="102"/>
      <c r="G132" s="102"/>
      <c r="H132" s="102"/>
      <c r="I132" s="102"/>
      <c r="J132" s="102"/>
    </row>
    <row r="133" spans="1:10" ht="15">
      <c r="A133" s="102"/>
      <c r="B133" s="102"/>
      <c r="C133" s="102"/>
      <c r="D133" s="102"/>
      <c r="E133" s="102"/>
      <c r="F133" s="102"/>
      <c r="G133" s="102"/>
      <c r="H133" s="102"/>
      <c r="I133" s="102"/>
      <c r="J133" s="102"/>
    </row>
    <row r="134" spans="1:10" ht="15">
      <c r="A134" s="102"/>
      <c r="B134" s="102"/>
      <c r="C134" s="102"/>
      <c r="D134" s="102"/>
      <c r="E134" s="102"/>
      <c r="F134" s="102"/>
      <c r="G134" s="102"/>
      <c r="H134" s="102"/>
      <c r="I134" s="102"/>
      <c r="J134" s="102"/>
    </row>
    <row r="135" spans="1:10" ht="15">
      <c r="A135" s="102"/>
      <c r="B135" s="102"/>
      <c r="C135" s="102"/>
      <c r="D135" s="102"/>
      <c r="E135" s="102"/>
      <c r="F135" s="102"/>
      <c r="G135" s="102"/>
      <c r="H135" s="102"/>
      <c r="I135" s="102"/>
      <c r="J135" s="102"/>
    </row>
    <row r="136" spans="1:10" ht="13.5">
      <c r="A136" s="102"/>
      <c r="B136" s="102" t="s">
        <v>221</v>
      </c>
      <c r="C136" s="102" t="s">
        <v>222</v>
      </c>
      <c r="D136" s="102"/>
      <c r="E136" s="102"/>
      <c r="F136" s="102"/>
      <c r="G136" s="102"/>
      <c r="H136" s="102"/>
      <c r="I136" s="102"/>
      <c r="J136" s="102"/>
    </row>
    <row r="137" spans="1:10" ht="13.5">
      <c r="A137" s="102"/>
      <c r="B137" s="102"/>
      <c r="C137" s="102"/>
      <c r="D137" s="102"/>
      <c r="E137" s="102"/>
      <c r="F137" s="102"/>
      <c r="G137" s="102"/>
      <c r="H137" s="102"/>
      <c r="I137" s="102"/>
      <c r="J137" s="102"/>
    </row>
    <row r="138" spans="1:8" ht="13.5">
      <c r="A138" s="102"/>
      <c r="B138" s="102"/>
      <c r="C138" s="102"/>
      <c r="D138" s="102"/>
      <c r="E138" s="102"/>
      <c r="F138" s="102"/>
      <c r="G138" s="102"/>
      <c r="H138" s="102"/>
    </row>
    <row r="139" spans="1:8" ht="13.5">
      <c r="A139" s="102"/>
      <c r="B139" s="102"/>
      <c r="E139" s="102"/>
      <c r="F139" s="102"/>
      <c r="G139" s="102"/>
      <c r="H139" s="102"/>
    </row>
    <row r="140" spans="1:8" ht="13.5">
      <c r="A140" s="102"/>
      <c r="B140" s="102"/>
      <c r="C140" s="102"/>
      <c r="D140" s="102"/>
      <c r="E140" s="102"/>
      <c r="F140" s="102"/>
      <c r="G140" s="102"/>
      <c r="H140" s="102"/>
    </row>
    <row r="141" spans="2:8" ht="13.5">
      <c r="B141" s="102"/>
      <c r="C141" s="102"/>
      <c r="D141" s="102"/>
      <c r="E141" s="102"/>
      <c r="F141" s="102"/>
      <c r="G141" s="102"/>
      <c r="H141" s="102"/>
    </row>
    <row r="142" spans="1:8" ht="13.5">
      <c r="A142" s="102"/>
      <c r="B142" s="102"/>
      <c r="C142" s="102"/>
      <c r="D142" s="102"/>
      <c r="E142" s="102"/>
      <c r="F142" s="102"/>
      <c r="G142" s="102"/>
      <c r="H142" s="102"/>
    </row>
    <row r="143" spans="1:8" ht="13.5">
      <c r="A143" s="102"/>
      <c r="B143" s="102"/>
      <c r="C143" s="102"/>
      <c r="D143" s="102"/>
      <c r="E143" s="102"/>
      <c r="F143" s="102"/>
      <c r="G143" s="102"/>
      <c r="H143" s="102"/>
    </row>
    <row r="144" spans="1:8" ht="13.5">
      <c r="A144" s="102"/>
      <c r="B144" s="102"/>
      <c r="C144" s="102"/>
      <c r="D144" s="102"/>
      <c r="E144" s="102"/>
      <c r="F144" s="102"/>
      <c r="G144" s="102"/>
      <c r="H144" s="102"/>
    </row>
    <row r="145" spans="1:8" ht="13.5">
      <c r="A145" s="102"/>
      <c r="B145" s="102"/>
      <c r="C145" s="102"/>
      <c r="D145" s="102"/>
      <c r="E145" s="102"/>
      <c r="F145" s="102"/>
      <c r="G145" s="102"/>
      <c r="H145" s="102"/>
    </row>
    <row r="146" spans="1:8" ht="13.5">
      <c r="A146" s="102"/>
      <c r="B146" s="102"/>
      <c r="C146" s="102"/>
      <c r="D146" s="102"/>
      <c r="E146" s="102"/>
      <c r="F146" s="102"/>
      <c r="G146" s="102"/>
      <c r="H146" s="102"/>
    </row>
    <row r="147" spans="1:8" ht="13.5">
      <c r="A147" s="102"/>
      <c r="B147" s="102"/>
      <c r="C147" s="102"/>
      <c r="D147" s="102"/>
      <c r="E147" s="102"/>
      <c r="F147" s="102"/>
      <c r="G147" s="102"/>
      <c r="H147" s="102"/>
    </row>
    <row r="148" spans="1:8" ht="13.5">
      <c r="A148" s="102"/>
      <c r="B148" s="102"/>
      <c r="C148" s="102"/>
      <c r="D148" s="102"/>
      <c r="E148" s="102"/>
      <c r="F148" s="102"/>
      <c r="G148" s="102"/>
      <c r="H148" s="102"/>
    </row>
    <row r="149" spans="1:8" ht="13.5">
      <c r="A149" s="102"/>
      <c r="B149" s="102"/>
      <c r="C149" s="102"/>
      <c r="D149" s="102"/>
      <c r="E149" s="102"/>
      <c r="F149" s="102"/>
      <c r="G149" s="102"/>
      <c r="H149" s="102"/>
    </row>
    <row r="150" spans="1:8" ht="13.5">
      <c r="A150" s="102"/>
      <c r="B150" s="102"/>
      <c r="C150" s="102"/>
      <c r="D150" s="102"/>
      <c r="E150" s="102"/>
      <c r="F150" s="102"/>
      <c r="G150" s="102"/>
      <c r="H150" s="102"/>
    </row>
    <row r="151" spans="1:8" ht="13.5">
      <c r="A151" s="102"/>
      <c r="B151" s="102"/>
      <c r="C151" s="102"/>
      <c r="D151" s="102"/>
      <c r="E151" s="102"/>
      <c r="F151" s="102"/>
      <c r="G151" s="102"/>
      <c r="H151" s="102"/>
    </row>
    <row r="152" spans="1:8" ht="13.5">
      <c r="A152" s="102"/>
      <c r="B152" s="102"/>
      <c r="E152" s="102"/>
      <c r="F152" s="102"/>
      <c r="G152" s="102"/>
      <c r="H152" s="102"/>
    </row>
    <row r="153" spans="1:8" ht="13.5">
      <c r="A153" s="102"/>
      <c r="B153" s="102"/>
      <c r="C153" s="102"/>
      <c r="D153" s="102"/>
      <c r="E153" s="102"/>
      <c r="F153" s="102"/>
      <c r="G153" s="102"/>
      <c r="H153" s="102"/>
    </row>
    <row r="154" spans="1:8" ht="13.5">
      <c r="A154" s="102"/>
      <c r="B154" s="102"/>
      <c r="C154" s="102"/>
      <c r="D154" s="102"/>
      <c r="E154" s="102"/>
      <c r="F154" s="102"/>
      <c r="G154" s="102"/>
      <c r="H154" s="102"/>
    </row>
    <row r="155" spans="1:8" ht="13.5">
      <c r="A155" s="102"/>
      <c r="B155" s="102"/>
      <c r="C155" s="102"/>
      <c r="D155" s="102"/>
      <c r="E155" s="102"/>
      <c r="F155" s="102"/>
      <c r="G155" s="102"/>
      <c r="H155" s="102"/>
    </row>
    <row r="156" spans="1:8" ht="13.5">
      <c r="A156" s="102"/>
      <c r="B156" s="102"/>
      <c r="C156" s="102"/>
      <c r="D156" s="102"/>
      <c r="E156" s="102"/>
      <c r="F156" s="102"/>
      <c r="G156" s="102"/>
      <c r="H156" s="102"/>
    </row>
    <row r="157" spans="1:8" ht="13.5">
      <c r="A157" s="102"/>
      <c r="B157" s="102"/>
      <c r="C157" s="102"/>
      <c r="D157" s="102"/>
      <c r="E157" s="102"/>
      <c r="F157" s="102"/>
      <c r="G157" s="102"/>
      <c r="H157" s="102"/>
    </row>
    <row r="158" spans="1:8" ht="13.5">
      <c r="A158" s="102"/>
      <c r="B158" s="102"/>
      <c r="C158" s="102"/>
      <c r="D158" s="102"/>
      <c r="E158" s="102"/>
      <c r="F158" s="102"/>
      <c r="G158" s="102"/>
      <c r="H158" s="102"/>
    </row>
    <row r="159" spans="1:8" ht="13.5">
      <c r="A159" s="102"/>
      <c r="B159" s="102"/>
      <c r="C159" s="102"/>
      <c r="D159" s="102"/>
      <c r="E159" s="102"/>
      <c r="F159" s="102"/>
      <c r="G159" s="102"/>
      <c r="H159" s="102"/>
    </row>
    <row r="160" spans="1:8" ht="13.5">
      <c r="A160" s="102"/>
      <c r="B160" s="102"/>
      <c r="C160" s="102"/>
      <c r="D160" s="102"/>
      <c r="E160" s="102"/>
      <c r="F160" s="102"/>
      <c r="G160" s="102"/>
      <c r="H160" s="102"/>
    </row>
    <row r="161" spans="1:8" ht="13.5">
      <c r="A161" s="102"/>
      <c r="B161" s="102"/>
      <c r="C161" s="102"/>
      <c r="D161" s="102"/>
      <c r="E161" s="102"/>
      <c r="F161" s="102"/>
      <c r="G161" s="102"/>
      <c r="H161" s="102"/>
    </row>
  </sheetData>
  <sheetProtection/>
  <mergeCells count="3">
    <mergeCell ref="B21:B22"/>
    <mergeCell ref="A34:E34"/>
    <mergeCell ref="A32:E32"/>
  </mergeCells>
  <conditionalFormatting sqref="D27">
    <cfRule type="cellIs" priority="1" dxfId="1" operator="lessThan" stopIfTrue="1">
      <formula>$D$18</formula>
    </cfRule>
  </conditionalFormatting>
  <printOptions/>
  <pageMargins left="0.75" right="0.75" top="1" bottom="1" header="0.512" footer="0.51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X173"/>
  <sheetViews>
    <sheetView zoomScalePageLayoutView="0" workbookViewId="0" topLeftCell="A97">
      <selection activeCell="B105" sqref="B105"/>
    </sheetView>
  </sheetViews>
  <sheetFormatPr defaultColWidth="8.796875" defaultRowHeight="14.25"/>
  <cols>
    <col min="1" max="16384" width="8.8984375" style="2" customWidth="1"/>
  </cols>
  <sheetData>
    <row r="1" spans="1:5" ht="15">
      <c r="A1" s="35" t="s">
        <v>193</v>
      </c>
      <c r="E1" s="14"/>
    </row>
    <row r="2" ht="13.5">
      <c r="E2" s="14"/>
    </row>
    <row r="3" spans="1:5" ht="13.5">
      <c r="A3" s="30" t="s">
        <v>168</v>
      </c>
      <c r="E3" s="14"/>
    </row>
    <row r="4" spans="1:6" ht="13.5">
      <c r="A4" s="8"/>
      <c r="B4" s="28" t="s">
        <v>74</v>
      </c>
      <c r="C4" s="39" t="s">
        <v>40</v>
      </c>
      <c r="D4" s="73" t="s">
        <v>169</v>
      </c>
      <c r="E4" s="12">
        <f>B</f>
        <v>3</v>
      </c>
      <c r="F4" s="8" t="s">
        <v>10</v>
      </c>
    </row>
    <row r="5" spans="1:24" ht="13.5">
      <c r="A5" s="8"/>
      <c r="C5" s="38" t="s">
        <v>75</v>
      </c>
      <c r="D5" s="73" t="s">
        <v>170</v>
      </c>
      <c r="E5" s="12">
        <f>'入力'!D6</f>
        <v>10.9</v>
      </c>
      <c r="F5" s="8" t="s">
        <v>10</v>
      </c>
      <c r="R5" s="2" t="str">
        <f>D4&amp;E4&amp;F4</f>
        <v>B=3m</v>
      </c>
      <c r="U5" s="45"/>
      <c r="V5" s="46"/>
      <c r="W5" s="47" t="s">
        <v>90</v>
      </c>
      <c r="X5" s="48" t="s">
        <v>91</v>
      </c>
    </row>
    <row r="6" spans="1:24" ht="13.5">
      <c r="A6" s="8"/>
      <c r="B6" s="9"/>
      <c r="C6" s="40" t="s">
        <v>76</v>
      </c>
      <c r="E6" s="2" t="str">
        <f>V9</f>
        <v>帯　状</v>
      </c>
      <c r="U6" s="49">
        <v>1</v>
      </c>
      <c r="V6" s="50" t="s">
        <v>92</v>
      </c>
      <c r="W6" s="51">
        <v>1</v>
      </c>
      <c r="X6" s="52">
        <v>1</v>
      </c>
    </row>
    <row r="7" spans="1:24" ht="13.5">
      <c r="A7" s="8"/>
      <c r="B7" s="37" t="s">
        <v>77</v>
      </c>
      <c r="C7" s="37" t="s">
        <v>78</v>
      </c>
      <c r="D7" s="74" t="s">
        <v>171</v>
      </c>
      <c r="E7" s="12">
        <f>'入力'!D7</f>
        <v>0.5</v>
      </c>
      <c r="F7" s="8" t="s">
        <v>18</v>
      </c>
      <c r="U7" s="49">
        <v>2</v>
      </c>
      <c r="V7" s="50" t="s">
        <v>93</v>
      </c>
      <c r="W7" s="51">
        <v>1.3</v>
      </c>
      <c r="X7" s="52">
        <v>0.6</v>
      </c>
    </row>
    <row r="8" spans="1:24" ht="13.5">
      <c r="A8" s="8"/>
      <c r="B8" s="9"/>
      <c r="C8" s="37" t="s">
        <v>79</v>
      </c>
      <c r="D8" s="34" t="s">
        <v>67</v>
      </c>
      <c r="E8" s="12">
        <f>'入力'!D8</f>
        <v>47.71</v>
      </c>
      <c r="F8" s="28" t="s">
        <v>62</v>
      </c>
      <c r="U8" s="49">
        <v>3</v>
      </c>
      <c r="V8" s="50" t="s">
        <v>94</v>
      </c>
      <c r="W8" s="51">
        <f>ROUND(1+0.3*U106/E5,2)</f>
        <v>1.05</v>
      </c>
      <c r="X8" s="52">
        <f>ROUND(1-0.4*U106/E5,2)</f>
        <v>0.94</v>
      </c>
    </row>
    <row r="9" spans="1:24" ht="13.5">
      <c r="A9" s="8"/>
      <c r="B9" s="38" t="s">
        <v>80</v>
      </c>
      <c r="C9" s="9" t="s">
        <v>22</v>
      </c>
      <c r="D9" s="73" t="s">
        <v>172</v>
      </c>
      <c r="E9" s="12">
        <f>'入力'!D11</f>
        <v>3181</v>
      </c>
      <c r="F9" s="8" t="s">
        <v>128</v>
      </c>
      <c r="R9" s="2" t="str">
        <f>D7&amp;E7&amp;F7</f>
        <v>S=0.5m</v>
      </c>
      <c r="U9" s="53">
        <v>1</v>
      </c>
      <c r="V9" s="54" t="str">
        <f>VLOOKUP($U9,$U6:$X8,2,FALSE)</f>
        <v>帯　状</v>
      </c>
      <c r="W9" s="54">
        <f>VLOOKUP($U9,$U6:$X8,3,FALSE)</f>
        <v>1</v>
      </c>
      <c r="X9" s="54">
        <f>VLOOKUP($U9,$U6:$X8,4,FALSE)</f>
        <v>1</v>
      </c>
    </row>
    <row r="10" spans="1:18" ht="13.5">
      <c r="A10" s="8"/>
      <c r="C10" s="9" t="s">
        <v>23</v>
      </c>
      <c r="D10" s="73" t="s">
        <v>173</v>
      </c>
      <c r="E10" s="12">
        <f>'入力'!D12</f>
        <v>1386</v>
      </c>
      <c r="F10" s="8" t="s">
        <v>128</v>
      </c>
      <c r="R10" s="2" t="str">
        <f>D8&amp;E8&amp;F8</f>
        <v>β=47.71度</v>
      </c>
    </row>
    <row r="11" spans="1:6" ht="15.75">
      <c r="A11" s="8"/>
      <c r="B11" s="13"/>
      <c r="C11" s="40" t="s">
        <v>85</v>
      </c>
      <c r="D11" s="73" t="s">
        <v>174</v>
      </c>
      <c r="E11" s="12">
        <f>'入力'!D13</f>
        <v>0.67</v>
      </c>
      <c r="F11" s="8" t="s">
        <v>21</v>
      </c>
    </row>
    <row r="12" spans="1:18" ht="16.5">
      <c r="A12" s="8"/>
      <c r="C12" s="9" t="s">
        <v>25</v>
      </c>
      <c r="D12" s="74" t="s">
        <v>175</v>
      </c>
      <c r="E12" s="98">
        <f>'入力'!D14</f>
        <v>0</v>
      </c>
      <c r="F12" s="8" t="s">
        <v>26</v>
      </c>
      <c r="R12" s="2" t="str">
        <f>D9&amp;E9&amp;F9</f>
        <v>V=3181kN</v>
      </c>
    </row>
    <row r="13" spans="1:18" ht="16.5">
      <c r="A13" s="8"/>
      <c r="B13" s="38" t="s">
        <v>81</v>
      </c>
      <c r="C13" s="40" t="s">
        <v>82</v>
      </c>
      <c r="D13" s="34" t="s">
        <v>72</v>
      </c>
      <c r="E13" s="12">
        <f>'入力'!D16</f>
        <v>22</v>
      </c>
      <c r="F13" s="8" t="s">
        <v>30</v>
      </c>
      <c r="R13" s="2" t="str">
        <f>D10&amp;E10&amp;F10</f>
        <v>H=1386kN</v>
      </c>
    </row>
    <row r="14" spans="1:18" ht="13.5">
      <c r="A14" s="8"/>
      <c r="C14" s="40" t="s">
        <v>83</v>
      </c>
      <c r="D14" s="34" t="s">
        <v>12</v>
      </c>
      <c r="E14" s="12">
        <f>'入力'!D17</f>
        <v>35</v>
      </c>
      <c r="F14" s="28" t="s">
        <v>62</v>
      </c>
      <c r="R14" s="2" t="str">
        <f>D11&amp;E11&amp;F11</f>
        <v>eB=0.67m</v>
      </c>
    </row>
    <row r="15" spans="1:18" ht="16.5">
      <c r="A15" s="8"/>
      <c r="C15" s="40" t="s">
        <v>84</v>
      </c>
      <c r="D15" s="74" t="s">
        <v>176</v>
      </c>
      <c r="E15" s="12">
        <f>'入力'!D18</f>
        <v>400</v>
      </c>
      <c r="F15" s="8" t="s">
        <v>35</v>
      </c>
      <c r="R15" s="2" t="str">
        <f>D12&amp;E12&amp;F12</f>
        <v>q=0kN/m2</v>
      </c>
    </row>
    <row r="16" spans="1:5" ht="13.5">
      <c r="A16" s="8"/>
      <c r="B16" s="8"/>
      <c r="C16" s="8"/>
      <c r="D16" s="8"/>
      <c r="E16" s="8"/>
    </row>
    <row r="17" spans="1:18" ht="13.5">
      <c r="A17" s="8"/>
      <c r="B17" s="8"/>
      <c r="C17" s="7"/>
      <c r="D17" s="8"/>
      <c r="E17" s="8"/>
      <c r="R17" s="2" t="str">
        <f>D13&amp;E13&amp;F13</f>
        <v>γ=22kN/m3</v>
      </c>
    </row>
    <row r="18" ht="15">
      <c r="R18" s="2" t="str">
        <f>D14&amp;E14&amp;F14</f>
        <v>φ=35度</v>
      </c>
    </row>
    <row r="19" ht="15">
      <c r="R19" s="2" t="str">
        <f>D15&amp;E15&amp;F15</f>
        <v>c=400kN/m2</v>
      </c>
    </row>
    <row r="20" ht="15">
      <c r="R20" s="2">
        <f>C16&amp;D16&amp;E16</f>
      </c>
    </row>
    <row r="21" ht="15">
      <c r="R21" s="2">
        <f>C17&amp;D17&amp;E17</f>
      </c>
    </row>
    <row r="29" spans="1:17" ht="13.5">
      <c r="A29" s="30" t="s">
        <v>177</v>
      </c>
      <c r="B29" s="31"/>
      <c r="C29" s="31"/>
      <c r="D29" s="31"/>
      <c r="E29" s="31"/>
      <c r="F29" s="31"/>
      <c r="G29" s="31"/>
      <c r="H29" s="31"/>
      <c r="I29" s="31"/>
      <c r="J29" s="31"/>
      <c r="K29" s="31"/>
      <c r="L29" s="31"/>
      <c r="M29" s="31"/>
      <c r="N29" s="31"/>
      <c r="O29" s="31"/>
      <c r="P29" s="31"/>
      <c r="Q29" s="31"/>
    </row>
    <row r="30" spans="1:17" ht="15">
      <c r="A30" s="31"/>
      <c r="C30" s="31"/>
      <c r="D30" s="31"/>
      <c r="E30" s="31"/>
      <c r="F30" s="31"/>
      <c r="G30" s="31"/>
      <c r="H30" s="31"/>
      <c r="I30" s="31"/>
      <c r="J30" s="31"/>
      <c r="K30" s="31"/>
      <c r="L30" s="31"/>
      <c r="M30" s="31"/>
      <c r="N30" s="31"/>
      <c r="O30" s="31"/>
      <c r="P30" s="31"/>
      <c r="Q30" s="31"/>
    </row>
    <row r="31" spans="1:17" ht="15">
      <c r="A31" s="31"/>
      <c r="B31" s="31"/>
      <c r="C31" s="31"/>
      <c r="D31" s="31"/>
      <c r="E31" s="31"/>
      <c r="F31" s="31"/>
      <c r="G31" s="31"/>
      <c r="H31" s="31"/>
      <c r="I31" s="31"/>
      <c r="J31" s="31"/>
      <c r="K31" s="31"/>
      <c r="L31" s="31"/>
      <c r="M31" s="31"/>
      <c r="N31" s="31"/>
      <c r="O31" s="31"/>
      <c r="P31" s="31"/>
      <c r="Q31" s="31"/>
    </row>
    <row r="32" spans="1:17" ht="15">
      <c r="A32" s="31"/>
      <c r="B32" s="31"/>
      <c r="C32" s="31"/>
      <c r="D32" s="31"/>
      <c r="E32" s="31"/>
      <c r="F32" s="31"/>
      <c r="G32" s="31"/>
      <c r="H32" s="31"/>
      <c r="I32" s="31"/>
      <c r="J32" s="31"/>
      <c r="K32" s="31"/>
      <c r="L32" s="31"/>
      <c r="M32" s="31"/>
      <c r="N32" s="31"/>
      <c r="O32" s="31"/>
      <c r="P32" s="31"/>
      <c r="Q32" s="31"/>
    </row>
    <row r="33" spans="1:17" ht="15">
      <c r="A33" s="31"/>
      <c r="B33" s="31"/>
      <c r="C33" s="31"/>
      <c r="D33" s="31"/>
      <c r="E33" s="31"/>
      <c r="F33" s="31"/>
      <c r="G33" s="31"/>
      <c r="H33" s="31"/>
      <c r="I33" s="31"/>
      <c r="J33" s="31"/>
      <c r="K33" s="31"/>
      <c r="L33" s="31"/>
      <c r="M33" s="31"/>
      <c r="N33" s="31"/>
      <c r="O33" s="31"/>
      <c r="P33" s="31"/>
      <c r="Q33" s="31"/>
    </row>
    <row r="34" spans="1:17" ht="15">
      <c r="A34" s="31"/>
      <c r="B34" s="31"/>
      <c r="C34" s="31"/>
      <c r="D34" s="31"/>
      <c r="E34" s="31"/>
      <c r="F34" s="31"/>
      <c r="G34" s="31"/>
      <c r="H34" s="31"/>
      <c r="I34" s="31"/>
      <c r="J34" s="31"/>
      <c r="K34" s="31"/>
      <c r="L34" s="31"/>
      <c r="M34" s="31"/>
      <c r="N34" s="31"/>
      <c r="O34" s="31"/>
      <c r="P34" s="31"/>
      <c r="Q34" s="31"/>
    </row>
    <row r="35" spans="1:17" ht="15">
      <c r="A35" s="31"/>
      <c r="B35" s="31"/>
      <c r="C35" s="31"/>
      <c r="D35" s="31"/>
      <c r="E35" s="31"/>
      <c r="F35" s="31"/>
      <c r="G35" s="31"/>
      <c r="H35" s="31"/>
      <c r="I35" s="31"/>
      <c r="J35" s="31"/>
      <c r="K35" s="31"/>
      <c r="L35" s="31"/>
      <c r="M35" s="31"/>
      <c r="N35" s="31"/>
      <c r="O35" s="31"/>
      <c r="P35" s="31"/>
      <c r="Q35" s="31"/>
    </row>
    <row r="36" spans="1:17" ht="15">
      <c r="A36" s="31"/>
      <c r="B36" s="31"/>
      <c r="C36" s="31"/>
      <c r="D36" s="31"/>
      <c r="E36" s="31"/>
      <c r="F36" s="31"/>
      <c r="G36" s="31"/>
      <c r="H36" s="31"/>
      <c r="I36" s="31"/>
      <c r="J36" s="31"/>
      <c r="K36" s="31"/>
      <c r="L36" s="31"/>
      <c r="M36" s="31"/>
      <c r="N36" s="31"/>
      <c r="O36" s="31"/>
      <c r="P36" s="31"/>
      <c r="Q36" s="31"/>
    </row>
    <row r="37" spans="1:17" ht="15">
      <c r="A37" s="31"/>
      <c r="B37" s="31"/>
      <c r="C37" s="31"/>
      <c r="D37" s="31"/>
      <c r="E37" s="31"/>
      <c r="F37" s="31"/>
      <c r="G37" s="31"/>
      <c r="H37" s="31"/>
      <c r="I37" s="31"/>
      <c r="J37" s="31"/>
      <c r="K37" s="31"/>
      <c r="L37" s="31"/>
      <c r="M37" s="31"/>
      <c r="N37" s="31"/>
      <c r="O37" s="31"/>
      <c r="P37" s="31"/>
      <c r="Q37" s="31"/>
    </row>
    <row r="38" spans="1:17" ht="15">
      <c r="A38" s="31"/>
      <c r="B38" s="31"/>
      <c r="C38" s="31"/>
      <c r="D38" s="31"/>
      <c r="E38" s="31"/>
      <c r="F38" s="31"/>
      <c r="G38" s="31"/>
      <c r="H38" s="31"/>
      <c r="I38" s="31"/>
      <c r="J38" s="31"/>
      <c r="K38" s="31"/>
      <c r="L38" s="31"/>
      <c r="M38" s="31"/>
      <c r="N38" s="31"/>
      <c r="O38" s="31"/>
      <c r="P38" s="31"/>
      <c r="Q38" s="31"/>
    </row>
    <row r="39" spans="1:17" ht="15">
      <c r="A39" s="31"/>
      <c r="B39" s="31"/>
      <c r="C39" s="31"/>
      <c r="D39" s="31"/>
      <c r="E39" s="31"/>
      <c r="F39" s="31"/>
      <c r="G39" s="31"/>
      <c r="H39" s="31"/>
      <c r="I39" s="31"/>
      <c r="J39" s="31"/>
      <c r="K39" s="31"/>
      <c r="L39" s="31"/>
      <c r="M39" s="31"/>
      <c r="N39" s="31"/>
      <c r="O39" s="31"/>
      <c r="P39" s="31"/>
      <c r="Q39" s="31"/>
    </row>
    <row r="40" spans="1:17" ht="15">
      <c r="A40" s="31"/>
      <c r="B40" s="31"/>
      <c r="C40" s="31"/>
      <c r="D40" s="31"/>
      <c r="E40" s="31"/>
      <c r="F40" s="31"/>
      <c r="G40" s="31"/>
      <c r="H40" s="31"/>
      <c r="I40" s="31"/>
      <c r="J40" s="31"/>
      <c r="K40" s="31"/>
      <c r="L40" s="31"/>
      <c r="M40" s="31"/>
      <c r="N40" s="31"/>
      <c r="O40" s="31"/>
      <c r="P40" s="31"/>
      <c r="Q40" s="31"/>
    </row>
    <row r="41" spans="1:17" ht="15">
      <c r="A41" s="31"/>
      <c r="B41" s="31"/>
      <c r="C41" s="31"/>
      <c r="D41" s="31"/>
      <c r="E41" s="31"/>
      <c r="F41" s="31"/>
      <c r="G41" s="31"/>
      <c r="H41" s="31"/>
      <c r="I41" s="31"/>
      <c r="J41" s="31"/>
      <c r="K41" s="31"/>
      <c r="L41" s="31"/>
      <c r="M41" s="31"/>
      <c r="N41" s="31"/>
      <c r="O41" s="31"/>
      <c r="P41" s="31"/>
      <c r="Q41" s="31"/>
    </row>
    <row r="42" spans="1:17" ht="15">
      <c r="A42" s="31"/>
      <c r="B42" s="31"/>
      <c r="C42" s="31"/>
      <c r="D42" s="31"/>
      <c r="E42" s="31"/>
      <c r="F42" s="31"/>
      <c r="G42" s="31"/>
      <c r="H42" s="31"/>
      <c r="I42" s="31"/>
      <c r="J42" s="31"/>
      <c r="K42" s="31"/>
      <c r="L42" s="31"/>
      <c r="M42" s="31"/>
      <c r="N42" s="31"/>
      <c r="O42" s="31"/>
      <c r="P42" s="31"/>
      <c r="Q42" s="31"/>
    </row>
    <row r="43" spans="1:17" ht="15">
      <c r="A43" s="31"/>
      <c r="B43" s="31"/>
      <c r="C43" s="31"/>
      <c r="D43" s="31"/>
      <c r="E43" s="31"/>
      <c r="F43" s="31"/>
      <c r="G43" s="31"/>
      <c r="H43" s="31"/>
      <c r="I43" s="31"/>
      <c r="J43" s="31"/>
      <c r="K43" s="31"/>
      <c r="L43" s="31"/>
      <c r="M43" s="31"/>
      <c r="N43" s="31"/>
      <c r="O43" s="31"/>
      <c r="P43" s="31"/>
      <c r="Q43" s="31"/>
    </row>
    <row r="44" spans="1:17" ht="15">
      <c r="A44" s="31"/>
      <c r="B44" s="31"/>
      <c r="C44" s="31"/>
      <c r="D44" s="31"/>
      <c r="E44" s="31"/>
      <c r="F44" s="31"/>
      <c r="G44" s="31"/>
      <c r="H44" s="31"/>
      <c r="I44" s="31"/>
      <c r="J44" s="31"/>
      <c r="K44" s="31"/>
      <c r="L44" s="31"/>
      <c r="M44" s="31"/>
      <c r="N44" s="31"/>
      <c r="O44" s="31"/>
      <c r="P44" s="31"/>
      <c r="Q44" s="31"/>
    </row>
    <row r="45" spans="1:17" ht="13.5">
      <c r="A45" s="31"/>
      <c r="B45" s="32" t="s">
        <v>63</v>
      </c>
      <c r="C45" s="31"/>
      <c r="D45" s="31"/>
      <c r="E45" s="31"/>
      <c r="F45" s="31"/>
      <c r="G45" s="31"/>
      <c r="H45" s="31"/>
      <c r="I45" s="31"/>
      <c r="J45" s="31"/>
      <c r="K45" s="31"/>
      <c r="L45" s="31"/>
      <c r="M45" s="31"/>
      <c r="N45" s="31"/>
      <c r="O45" s="31"/>
      <c r="P45" s="31"/>
      <c r="Q45" s="31"/>
    </row>
    <row r="46" spans="1:17" ht="13.5">
      <c r="A46" s="31"/>
      <c r="B46" s="31"/>
      <c r="C46" s="31"/>
      <c r="D46" s="31"/>
      <c r="E46" s="31"/>
      <c r="F46" s="31"/>
      <c r="G46" s="31"/>
      <c r="H46" s="31"/>
      <c r="I46" s="31"/>
      <c r="J46" s="31"/>
      <c r="K46" s="31"/>
      <c r="L46" s="31"/>
      <c r="M46" s="31"/>
      <c r="N46" s="31"/>
      <c r="O46" s="31"/>
      <c r="P46" s="31"/>
      <c r="Q46" s="31"/>
    </row>
    <row r="47" spans="1:17" ht="15">
      <c r="A47" s="31"/>
      <c r="B47" s="31"/>
      <c r="C47" s="31"/>
      <c r="D47" s="31"/>
      <c r="E47" s="31"/>
      <c r="F47" s="31"/>
      <c r="G47" s="31"/>
      <c r="H47" s="31"/>
      <c r="I47" s="31"/>
      <c r="J47" s="31"/>
      <c r="K47" s="31"/>
      <c r="L47" s="31"/>
      <c r="M47" s="31"/>
      <c r="N47" s="31"/>
      <c r="O47" s="31"/>
      <c r="P47" s="31"/>
      <c r="Q47" s="31"/>
    </row>
    <row r="48" spans="1:17" ht="15">
      <c r="A48" s="31"/>
      <c r="B48" s="31"/>
      <c r="C48" s="31"/>
      <c r="D48" s="31"/>
      <c r="E48" s="31"/>
      <c r="G48" s="31"/>
      <c r="I48" s="33" t="str">
        <f>"式(1)"</f>
        <v>式(1)</v>
      </c>
      <c r="J48" s="33"/>
      <c r="K48" s="33"/>
      <c r="L48" s="33"/>
      <c r="M48" s="33"/>
      <c r="N48" s="33"/>
      <c r="O48" s="33"/>
      <c r="P48" s="33"/>
      <c r="Q48" s="33"/>
    </row>
    <row r="49" spans="1:17" ht="15">
      <c r="A49" s="31"/>
      <c r="B49" s="31"/>
      <c r="C49" s="31"/>
      <c r="D49" s="31"/>
      <c r="E49" s="31"/>
      <c r="F49" s="31"/>
      <c r="G49" s="31"/>
      <c r="H49" s="31"/>
      <c r="I49" s="31"/>
      <c r="J49" s="31"/>
      <c r="K49" s="31"/>
      <c r="L49" s="31"/>
      <c r="M49" s="31"/>
      <c r="N49" s="31"/>
      <c r="O49" s="31"/>
      <c r="P49" s="31"/>
      <c r="Q49" s="31"/>
    </row>
    <row r="50" spans="1:17" ht="13.5">
      <c r="A50" s="31"/>
      <c r="B50" s="32" t="s">
        <v>64</v>
      </c>
      <c r="C50" s="31"/>
      <c r="D50" s="31"/>
      <c r="E50" s="31"/>
      <c r="F50" s="31"/>
      <c r="G50" s="31"/>
      <c r="H50" s="31"/>
      <c r="I50" s="31"/>
      <c r="J50" s="31"/>
      <c r="K50" s="31"/>
      <c r="L50" s="31"/>
      <c r="M50" s="31"/>
      <c r="N50" s="31"/>
      <c r="O50" s="31"/>
      <c r="P50" s="31"/>
      <c r="Q50" s="31"/>
    </row>
    <row r="51" spans="1:17" ht="15.75">
      <c r="A51" s="31"/>
      <c r="B51" s="106" t="s">
        <v>178</v>
      </c>
      <c r="C51" s="107"/>
      <c r="D51" s="107"/>
      <c r="E51" s="107"/>
      <c r="F51" s="107"/>
      <c r="G51" s="107"/>
      <c r="H51" s="107"/>
      <c r="I51" s="107"/>
      <c r="J51" s="94"/>
      <c r="K51" s="94"/>
      <c r="L51" s="94"/>
      <c r="M51" s="94"/>
      <c r="N51" s="94"/>
      <c r="O51" s="94"/>
      <c r="P51" s="94"/>
      <c r="Q51" s="94"/>
    </row>
    <row r="52" spans="1:17" ht="15.75">
      <c r="A52" s="31"/>
      <c r="B52" s="75" t="s">
        <v>179</v>
      </c>
      <c r="C52" s="31"/>
      <c r="D52" s="31"/>
      <c r="E52" s="31"/>
      <c r="F52" s="31"/>
      <c r="G52" s="31"/>
      <c r="H52" s="31"/>
      <c r="I52" s="31"/>
      <c r="J52" s="31"/>
      <c r="K52" s="31"/>
      <c r="L52" s="31"/>
      <c r="M52" s="31"/>
      <c r="N52" s="31"/>
      <c r="O52" s="31"/>
      <c r="P52" s="31"/>
      <c r="Q52" s="31"/>
    </row>
    <row r="53" spans="2:8" ht="13.5">
      <c r="B53" s="75" t="s">
        <v>95</v>
      </c>
      <c r="C53" s="31"/>
      <c r="D53" s="31"/>
      <c r="E53" s="31"/>
      <c r="F53" s="31"/>
      <c r="G53" s="31"/>
      <c r="H53" s="31"/>
    </row>
    <row r="54" spans="2:8" ht="13.5">
      <c r="B54" s="32" t="s">
        <v>112</v>
      </c>
      <c r="C54" s="31"/>
      <c r="D54" s="31"/>
      <c r="E54" s="31"/>
      <c r="G54" s="31"/>
      <c r="H54" s="31"/>
    </row>
    <row r="55" spans="2:8" ht="15.75">
      <c r="B55" s="75" t="s">
        <v>180</v>
      </c>
      <c r="C55" s="31"/>
      <c r="D55" s="31"/>
      <c r="E55" s="31"/>
      <c r="G55" s="31"/>
      <c r="H55" s="31"/>
    </row>
    <row r="56" spans="2:8" ht="13.5">
      <c r="B56" s="75" t="s">
        <v>181</v>
      </c>
      <c r="C56" s="31"/>
      <c r="D56" s="31"/>
      <c r="E56" s="31"/>
      <c r="G56" s="31"/>
      <c r="H56" s="31"/>
    </row>
    <row r="57" spans="2:8" ht="15.75">
      <c r="B57" s="75" t="s">
        <v>182</v>
      </c>
      <c r="C57" s="31"/>
      <c r="D57" s="31"/>
      <c r="E57" s="31"/>
      <c r="G57" s="31"/>
      <c r="H57" s="31"/>
    </row>
    <row r="58" spans="2:8" ht="15">
      <c r="B58" s="31"/>
      <c r="C58" s="31"/>
      <c r="D58" s="31"/>
      <c r="E58" s="31"/>
      <c r="G58" s="31"/>
      <c r="H58" s="31"/>
    </row>
    <row r="59" spans="2:17" ht="15">
      <c r="B59" s="31"/>
      <c r="C59" s="31"/>
      <c r="D59" s="31"/>
      <c r="E59" s="31"/>
      <c r="G59" s="31"/>
      <c r="I59" s="33" t="str">
        <f>"式(2)"</f>
        <v>式(2)</v>
      </c>
      <c r="J59" s="33"/>
      <c r="K59" s="33"/>
      <c r="L59" s="33"/>
      <c r="M59" s="33"/>
      <c r="N59" s="33"/>
      <c r="O59" s="33"/>
      <c r="P59" s="33"/>
      <c r="Q59" s="33"/>
    </row>
    <row r="60" spans="2:8" ht="13.5">
      <c r="B60" s="75" t="s">
        <v>183</v>
      </c>
      <c r="C60" s="31"/>
      <c r="D60" s="31"/>
      <c r="E60" s="31"/>
      <c r="F60" s="31"/>
      <c r="G60" s="31"/>
      <c r="H60" s="31"/>
    </row>
    <row r="61" spans="2:8" ht="13.5">
      <c r="B61" s="32" t="s">
        <v>96</v>
      </c>
      <c r="C61" s="31"/>
      <c r="D61" s="31"/>
      <c r="E61" s="31"/>
      <c r="F61" s="31"/>
      <c r="G61" s="31"/>
      <c r="H61" s="31"/>
    </row>
    <row r="62" spans="2:8" ht="15">
      <c r="B62" s="31"/>
      <c r="C62" s="31"/>
      <c r="D62" s="32" t="s">
        <v>97</v>
      </c>
      <c r="E62" s="31"/>
      <c r="F62" s="31"/>
      <c r="G62" s="31"/>
      <c r="H62" s="31"/>
    </row>
    <row r="63" spans="3:8" ht="15">
      <c r="C63" s="31"/>
      <c r="D63" s="31"/>
      <c r="E63" s="31"/>
      <c r="F63" s="31"/>
      <c r="G63" s="31"/>
      <c r="H63" s="31"/>
    </row>
    <row r="64" spans="3:8" ht="15">
      <c r="C64" s="31"/>
      <c r="D64" s="31"/>
      <c r="E64" s="31"/>
      <c r="F64" s="31"/>
      <c r="G64" s="31"/>
      <c r="H64" s="31"/>
    </row>
    <row r="65" spans="3:8" ht="15">
      <c r="C65" s="31"/>
      <c r="D65" s="31"/>
      <c r="E65" s="31"/>
      <c r="F65" s="31"/>
      <c r="G65" s="31"/>
      <c r="H65" s="31"/>
    </row>
    <row r="66" spans="3:8" ht="15">
      <c r="C66" s="31"/>
      <c r="D66" s="31"/>
      <c r="E66" s="31"/>
      <c r="F66" s="31"/>
      <c r="G66" s="31"/>
      <c r="H66" s="31"/>
    </row>
    <row r="67" spans="3:8" ht="15">
      <c r="C67" s="31"/>
      <c r="D67" s="31"/>
      <c r="E67" s="31"/>
      <c r="F67" s="31"/>
      <c r="G67" s="31"/>
      <c r="H67" s="31"/>
    </row>
    <row r="68" spans="3:8" ht="15">
      <c r="C68" s="31"/>
      <c r="D68" s="31"/>
      <c r="E68" s="31"/>
      <c r="F68" s="31"/>
      <c r="G68" s="31"/>
      <c r="H68" s="31"/>
    </row>
    <row r="69" spans="3:8" ht="13.5">
      <c r="C69" s="31"/>
      <c r="D69" s="31"/>
      <c r="E69" s="31"/>
      <c r="F69" s="31"/>
      <c r="G69" s="31"/>
      <c r="H69" s="31"/>
    </row>
    <row r="70" ht="15.75">
      <c r="B70" s="75" t="s">
        <v>194</v>
      </c>
    </row>
    <row r="71" spans="2:3" ht="13.5">
      <c r="B71" s="31"/>
      <c r="C71" t="s">
        <v>98</v>
      </c>
    </row>
    <row r="73" spans="9:17" ht="15">
      <c r="I73" s="33" t="str">
        <f>"式(3)"</f>
        <v>式(3)</v>
      </c>
      <c r="J73" s="33"/>
      <c r="K73" s="33"/>
      <c r="L73" s="33"/>
      <c r="M73" s="33"/>
      <c r="N73" s="33"/>
      <c r="O73" s="33"/>
      <c r="P73" s="33"/>
      <c r="Q73" s="33"/>
    </row>
    <row r="76" ht="15">
      <c r="I76" s="33" t="str">
        <f>"式(4)"</f>
        <v>式(4)</v>
      </c>
    </row>
    <row r="79" spans="10:17" ht="15">
      <c r="J79" s="33"/>
      <c r="K79" s="33"/>
      <c r="L79" s="33"/>
      <c r="M79" s="33"/>
      <c r="N79" s="33"/>
      <c r="O79" s="33"/>
      <c r="P79" s="33"/>
      <c r="Q79" s="33"/>
    </row>
    <row r="82" ht="15">
      <c r="I82" s="33" t="str">
        <f>"式(5)"</f>
        <v>式(5)</v>
      </c>
    </row>
    <row r="83" spans="10:17" ht="15">
      <c r="J83" s="33"/>
      <c r="K83" s="33"/>
      <c r="L83" s="33"/>
      <c r="M83" s="33"/>
      <c r="N83" s="33"/>
      <c r="O83" s="33"/>
      <c r="P83" s="33"/>
      <c r="Q83" s="33"/>
    </row>
    <row r="84" ht="15">
      <c r="B84" s="3" t="s">
        <v>13</v>
      </c>
    </row>
    <row r="86" spans="9:17" ht="15">
      <c r="I86" s="33" t="str">
        <f>"式(6)"</f>
        <v>式(6)</v>
      </c>
      <c r="J86" s="33"/>
      <c r="K86" s="33"/>
      <c r="L86" s="33"/>
      <c r="M86" s="33"/>
      <c r="N86" s="33"/>
      <c r="O86" s="33"/>
      <c r="P86" s="33"/>
      <c r="Q86" s="33"/>
    </row>
    <row r="89" spans="9:17" ht="15">
      <c r="I89" s="33" t="str">
        <f>"式(7)"</f>
        <v>式(7)</v>
      </c>
      <c r="J89" s="33"/>
      <c r="K89" s="33"/>
      <c r="L89" s="33"/>
      <c r="M89" s="33"/>
      <c r="N89" s="33"/>
      <c r="O89" s="33"/>
      <c r="P89" s="33"/>
      <c r="Q89" s="33"/>
    </row>
    <row r="92" spans="9:17" ht="15">
      <c r="I92" s="33" t="str">
        <f>"式(8)"</f>
        <v>式(8)</v>
      </c>
      <c r="J92" s="33"/>
      <c r="K92" s="33"/>
      <c r="L92" s="33"/>
      <c r="M92" s="33"/>
      <c r="N92" s="33"/>
      <c r="O92" s="33"/>
      <c r="P92" s="33"/>
      <c r="Q92" s="33"/>
    </row>
    <row r="95" spans="9:17" ht="15">
      <c r="I95" s="33" t="str">
        <f>"式(9)"</f>
        <v>式(9)</v>
      </c>
      <c r="J95" s="33"/>
      <c r="K95" s="33"/>
      <c r="L95" s="33"/>
      <c r="M95" s="33"/>
      <c r="N95" s="33"/>
      <c r="O95" s="33"/>
      <c r="P95" s="33"/>
      <c r="Q95" s="33"/>
    </row>
    <row r="98" ht="15">
      <c r="I98" s="33" t="str">
        <f>"式(10)"</f>
        <v>式(10)</v>
      </c>
    </row>
    <row r="99" spans="10:17" ht="15">
      <c r="J99" s="33"/>
      <c r="K99" s="33"/>
      <c r="L99" s="33"/>
      <c r="M99" s="33"/>
      <c r="N99" s="33"/>
      <c r="O99" s="33"/>
      <c r="P99" s="33"/>
      <c r="Q99" s="33"/>
    </row>
    <row r="100" ht="13.5">
      <c r="B100" s="3" t="s">
        <v>41</v>
      </c>
    </row>
    <row r="102" spans="9:18" ht="15">
      <c r="I102" s="33" t="str">
        <f>"式(11)"</f>
        <v>式(11)</v>
      </c>
      <c r="R102" s="31"/>
    </row>
    <row r="103" ht="15">
      <c r="R103" s="31"/>
    </row>
    <row r="104" spans="10:22" ht="13.5">
      <c r="J104" s="33"/>
      <c r="K104" s="33"/>
      <c r="L104" s="33"/>
      <c r="M104" s="33"/>
      <c r="N104" s="33"/>
      <c r="O104" s="33"/>
      <c r="P104" s="33"/>
      <c r="Q104" s="33"/>
      <c r="R104" s="31"/>
      <c r="S104" s="31"/>
      <c r="T104" s="31"/>
      <c r="U104" s="31"/>
      <c r="V104" s="31"/>
    </row>
    <row r="105" spans="2:22" ht="15.75">
      <c r="B105" s="31" t="s">
        <v>224</v>
      </c>
      <c r="R105" s="31"/>
      <c r="S105" s="31" t="s">
        <v>116</v>
      </c>
      <c r="T105" s="10">
        <f>E4-2*E11</f>
        <v>1.66</v>
      </c>
      <c r="U105" s="31" t="s">
        <v>88</v>
      </c>
      <c r="V105" s="31"/>
    </row>
    <row r="106" spans="18:22" ht="13.5">
      <c r="R106" s="31"/>
      <c r="S106" s="51" t="str">
        <f>"Be=B-2eB="&amp;E4&amp;"-2×"&amp;E11&amp;"="</f>
        <v>Be=B-2eB=3-2×0.67=</v>
      </c>
      <c r="T106" s="51"/>
      <c r="U106" s="51">
        <f>ROUND(E4-2*E11,2)</f>
        <v>1.66</v>
      </c>
      <c r="V106" s="51" t="s">
        <v>102</v>
      </c>
    </row>
    <row r="107" spans="18:22" ht="15">
      <c r="R107" s="31"/>
      <c r="S107" s="51" t="str">
        <f>"Le=L-2eL="&amp;E5&amp;"-2×0="</f>
        <v>Le=L-2eL=10.9-2×0=</v>
      </c>
      <c r="T107" s="51"/>
      <c r="U107" s="51">
        <f>E5</f>
        <v>10.9</v>
      </c>
      <c r="V107" s="51" t="s">
        <v>103</v>
      </c>
    </row>
    <row r="108" spans="18:22" ht="15">
      <c r="R108" s="31"/>
      <c r="S108" s="51"/>
      <c r="T108" s="51"/>
      <c r="U108" s="51"/>
      <c r="V108" s="51"/>
    </row>
    <row r="109" spans="18:22" ht="15">
      <c r="R109" s="31"/>
      <c r="S109" s="51"/>
      <c r="T109" s="51"/>
      <c r="U109" s="51"/>
      <c r="V109" s="51"/>
    </row>
    <row r="110" spans="9:22" ht="15">
      <c r="I110" s="33" t="str">
        <f>"式(12)"</f>
        <v>式(12)</v>
      </c>
      <c r="R110" s="31"/>
      <c r="S110" s="51" t="str">
        <f>"Ae=Be×Le="&amp;U106&amp;"×"&amp;U107&amp;"="</f>
        <v>Ae=Be×Le=1.66×10.9=</v>
      </c>
      <c r="T110" s="51"/>
      <c r="U110" s="51">
        <f>ROUND(U106*U107,2)</f>
        <v>18.09</v>
      </c>
      <c r="V110" s="51" t="s">
        <v>104</v>
      </c>
    </row>
    <row r="111" spans="18:22" ht="15">
      <c r="R111" s="31"/>
      <c r="S111" s="51"/>
      <c r="T111" s="51"/>
      <c r="U111" s="51"/>
      <c r="V111" s="51"/>
    </row>
    <row r="112" spans="18:22" ht="15">
      <c r="R112" s="31"/>
      <c r="S112" s="55"/>
      <c r="T112" s="51"/>
      <c r="U112" s="51"/>
      <c r="V112" s="51"/>
    </row>
    <row r="113" spans="18:22" ht="15">
      <c r="R113" s="31"/>
      <c r="S113" s="51" t="str">
        <f>"Be/Le="&amp;U106&amp;"/"&amp;U107&amp;"="</f>
        <v>Be/Le=1.66/10.9=</v>
      </c>
      <c r="T113" s="51">
        <f>ROUND(U106/U107,2)</f>
        <v>0.15</v>
      </c>
      <c r="U113" s="55"/>
      <c r="V113" s="51"/>
    </row>
    <row r="114" spans="18:22" ht="15">
      <c r="R114" s="31"/>
      <c r="S114" s="56" t="s">
        <v>108</v>
      </c>
      <c r="T114" s="51">
        <f>W9</f>
        <v>1</v>
      </c>
      <c r="U114" s="51"/>
      <c r="V114" s="51"/>
    </row>
    <row r="115" spans="2:22" ht="13.5">
      <c r="B115" s="32" t="s">
        <v>196</v>
      </c>
      <c r="R115" s="31"/>
      <c r="S115" s="56" t="s">
        <v>110</v>
      </c>
      <c r="T115" s="51">
        <f>X9</f>
        <v>1</v>
      </c>
      <c r="U115" s="51"/>
      <c r="V115" s="51"/>
    </row>
    <row r="116" spans="3:22" ht="13.5">
      <c r="C116" s="32" t="s">
        <v>197</v>
      </c>
      <c r="R116" s="31"/>
      <c r="S116" s="51"/>
      <c r="T116" s="51"/>
      <c r="U116" s="51"/>
      <c r="V116" s="51"/>
    </row>
    <row r="117" spans="2:22" ht="15.75">
      <c r="B117" s="75" t="s">
        <v>184</v>
      </c>
      <c r="R117" s="31"/>
      <c r="S117" s="57" t="s">
        <v>113</v>
      </c>
      <c r="T117" s="51">
        <f>E10/E9</f>
        <v>0.4357120402389186</v>
      </c>
      <c r="U117" s="51"/>
      <c r="V117" s="51"/>
    </row>
    <row r="118" spans="2:22" ht="15.75">
      <c r="B118" s="75" t="s">
        <v>198</v>
      </c>
      <c r="R118" s="31"/>
      <c r="S118" s="56" t="s">
        <v>114</v>
      </c>
      <c r="T118" s="51">
        <f>ATAN(T117)</f>
        <v>0.41090874300015096</v>
      </c>
      <c r="U118" s="51" t="s">
        <v>115</v>
      </c>
      <c r="V118" s="51"/>
    </row>
    <row r="119" spans="2:18" ht="13.5">
      <c r="B119" s="75" t="s">
        <v>199</v>
      </c>
      <c r="R119" s="31"/>
    </row>
    <row r="120" spans="2:18" ht="15.75">
      <c r="B120" s="75" t="s">
        <v>185</v>
      </c>
      <c r="R120" s="31"/>
    </row>
    <row r="121" ht="13.5">
      <c r="R121" s="31"/>
    </row>
    <row r="122" spans="2:18" ht="13.5">
      <c r="B122" s="31"/>
      <c r="R122" s="31"/>
    </row>
    <row r="123" ht="13.5">
      <c r="A123" s="36" t="s">
        <v>186</v>
      </c>
    </row>
    <row r="124" spans="1:8" ht="13.5">
      <c r="A124"/>
      <c r="B124" s="32" t="s">
        <v>99</v>
      </c>
      <c r="C124" s="31"/>
      <c r="D124" s="31"/>
      <c r="E124" s="31"/>
      <c r="F124" s="31"/>
      <c r="G124" s="31"/>
      <c r="H124" s="31"/>
    </row>
    <row r="125" spans="1:8" ht="13.5">
      <c r="A125"/>
      <c r="B125" s="31"/>
      <c r="C125" s="31" t="str">
        <f>S106&amp;U106&amp;V106</f>
        <v>Be=B-2eB=3-2×0.67=1.66(m)</v>
      </c>
      <c r="D125" s="31"/>
      <c r="E125" s="31"/>
      <c r="F125" s="31"/>
      <c r="G125" s="31"/>
      <c r="H125" s="31"/>
    </row>
    <row r="126" spans="1:8" ht="13.5">
      <c r="A126"/>
      <c r="B126" s="31"/>
      <c r="C126" s="31" t="str">
        <f>S107&amp;U107&amp;V107</f>
        <v>Le=L-2eL=10.9-2×0=10.9(m)</v>
      </c>
      <c r="D126" s="31"/>
      <c r="E126" s="31"/>
      <c r="F126" s="31"/>
      <c r="G126" s="31"/>
      <c r="H126" s="31"/>
    </row>
    <row r="127" spans="1:8" ht="13.5">
      <c r="A127"/>
      <c r="B127" s="32" t="s">
        <v>100</v>
      </c>
      <c r="C127" s="31"/>
      <c r="D127" s="31"/>
      <c r="E127" s="31"/>
      <c r="F127" s="31"/>
      <c r="G127" s="31"/>
      <c r="H127" s="31"/>
    </row>
    <row r="128" spans="1:17" ht="13.5">
      <c r="A128"/>
      <c r="B128" s="31"/>
      <c r="C128" s="31" t="str">
        <f>S110&amp;U110&amp;V110</f>
        <v>Ae=Be×Le=1.66×10.9=18.09(m2)</v>
      </c>
      <c r="D128" s="31"/>
      <c r="E128" s="31"/>
      <c r="F128" s="31"/>
      <c r="G128" s="31"/>
      <c r="H128" s="31"/>
      <c r="J128" s="31"/>
      <c r="K128" s="31"/>
      <c r="L128" s="31"/>
      <c r="M128" s="31"/>
      <c r="N128" s="31"/>
      <c r="O128" s="31"/>
      <c r="P128" s="31"/>
      <c r="Q128" s="31"/>
    </row>
    <row r="129" spans="1:17" ht="13.5">
      <c r="A129"/>
      <c r="B129" s="32" t="s">
        <v>101</v>
      </c>
      <c r="C129" s="31"/>
      <c r="D129" s="31"/>
      <c r="E129" s="31"/>
      <c r="F129" s="31"/>
      <c r="G129" s="31"/>
      <c r="H129" s="31"/>
      <c r="J129" s="31"/>
      <c r="K129" s="31"/>
      <c r="L129" s="31"/>
      <c r="M129" s="31"/>
      <c r="N129" s="31"/>
      <c r="O129" s="31"/>
      <c r="P129" s="31"/>
      <c r="Q129" s="31"/>
    </row>
    <row r="130" spans="1:17" ht="13.5">
      <c r="A130"/>
      <c r="B130" s="31"/>
      <c r="C130" s="31" t="str">
        <f>S113&amp;T113</f>
        <v>Be/Le=1.66/10.9=0.15</v>
      </c>
      <c r="D130" s="31"/>
      <c r="E130" s="31"/>
      <c r="F130" s="31"/>
      <c r="G130" s="31"/>
      <c r="H130" s="31"/>
      <c r="J130" s="31"/>
      <c r="K130" s="31"/>
      <c r="L130" s="31"/>
      <c r="M130" s="31"/>
      <c r="N130" s="31"/>
      <c r="O130" s="31"/>
      <c r="P130" s="31"/>
      <c r="Q130" s="31"/>
    </row>
    <row r="131" spans="1:17" ht="13.5">
      <c r="A131"/>
      <c r="B131" s="31"/>
      <c r="C131" s="31" t="str">
        <f>"基礎形状は"&amp;V9</f>
        <v>基礎形状は帯　状</v>
      </c>
      <c r="D131" s="31"/>
      <c r="E131" s="31"/>
      <c r="F131" s="31"/>
      <c r="G131" s="31"/>
      <c r="H131" s="31"/>
      <c r="J131" s="31"/>
      <c r="K131" s="31"/>
      <c r="L131" s="31"/>
      <c r="M131" s="31"/>
      <c r="N131" s="31"/>
      <c r="O131" s="31"/>
      <c r="P131" s="31"/>
      <c r="Q131" s="31"/>
    </row>
    <row r="132" spans="1:17" ht="13.5">
      <c r="A132"/>
      <c r="B132" s="31"/>
      <c r="C132" s="31" t="str">
        <f>S114&amp;T114</f>
        <v>α=1</v>
      </c>
      <c r="D132" s="31"/>
      <c r="E132" s="31" t="str">
        <f>S115&amp;T115</f>
        <v>β=1</v>
      </c>
      <c r="F132" s="31"/>
      <c r="G132" s="31"/>
      <c r="H132" s="31"/>
      <c r="J132" s="31"/>
      <c r="K132" s="31"/>
      <c r="L132" s="31"/>
      <c r="M132" s="31"/>
      <c r="N132" s="31"/>
      <c r="O132" s="31"/>
      <c r="P132" s="31"/>
      <c r="Q132" s="31"/>
    </row>
    <row r="133" spans="1:17" ht="13.5">
      <c r="A133"/>
      <c r="B133" s="32" t="s">
        <v>105</v>
      </c>
      <c r="C133" s="31"/>
      <c r="D133" s="31"/>
      <c r="E133" s="31"/>
      <c r="F133" s="31"/>
      <c r="G133" s="31"/>
      <c r="H133" s="31"/>
      <c r="J133" s="31"/>
      <c r="K133" s="31"/>
      <c r="L133" s="31"/>
      <c r="M133" s="31"/>
      <c r="N133" s="31"/>
      <c r="O133" s="31"/>
      <c r="P133" s="31"/>
      <c r="Q133" s="31"/>
    </row>
    <row r="134" spans="1:17" ht="13.5">
      <c r="A134"/>
      <c r="B134" s="31"/>
      <c r="C134" s="32" t="s">
        <v>106</v>
      </c>
      <c r="D134" s="31" t="str">
        <f>R12</f>
        <v>V=3181kN</v>
      </c>
      <c r="E134" s="31"/>
      <c r="F134" s="31"/>
      <c r="G134" s="31"/>
      <c r="H134" s="31"/>
      <c r="J134" s="31"/>
      <c r="K134" s="31"/>
      <c r="L134" s="31"/>
      <c r="M134" s="31"/>
      <c r="N134" s="31"/>
      <c r="O134" s="31"/>
      <c r="P134" s="31"/>
      <c r="Q134" s="31"/>
    </row>
    <row r="135" spans="1:17" ht="13.5">
      <c r="A135"/>
      <c r="B135" s="31"/>
      <c r="C135" s="32" t="s">
        <v>107</v>
      </c>
      <c r="D135" s="31" t="str">
        <f>R13</f>
        <v>H=1386kN</v>
      </c>
      <c r="E135" s="31"/>
      <c r="F135" s="31"/>
      <c r="G135" s="31"/>
      <c r="H135" s="31"/>
      <c r="J135" s="31"/>
      <c r="K135" s="31"/>
      <c r="L135" s="31"/>
      <c r="M135" s="31"/>
      <c r="N135" s="31"/>
      <c r="O135" s="31"/>
      <c r="P135" s="31"/>
      <c r="Q135" s="31"/>
    </row>
    <row r="136" spans="1:17" ht="13.5">
      <c r="A136"/>
      <c r="B136" s="31"/>
      <c r="C136" s="32" t="s">
        <v>109</v>
      </c>
      <c r="D136" s="31" t="str">
        <f>"tanα=H/V="&amp;E10&amp;"/"&amp;E9&amp;"="&amp;ROUND(E10/E9,3)</f>
        <v>tanα=H/V=1386/3181=0.436</v>
      </c>
      <c r="E136" s="31"/>
      <c r="F136" s="31"/>
      <c r="G136" s="31"/>
      <c r="H136" s="31"/>
      <c r="J136" s="31"/>
      <c r="K136" s="31"/>
      <c r="L136" s="31"/>
      <c r="M136" s="31"/>
      <c r="N136" s="31"/>
      <c r="O136" s="31"/>
      <c r="P136" s="31"/>
      <c r="Q136" s="31"/>
    </row>
    <row r="137" spans="1:17" ht="13.5">
      <c r="A137"/>
      <c r="B137" s="31"/>
      <c r="C137" s="31"/>
      <c r="D137" s="31" t="str">
        <f>"α=ATAN("&amp;ROUND(T117,3)&amp;")="&amp;ROUND(T118,3)&amp;U118</f>
        <v>α=ATAN(0.436)=0.411rad</v>
      </c>
      <c r="E137" s="31"/>
      <c r="F137" s="31"/>
      <c r="G137" s="31"/>
      <c r="H137" s="31"/>
      <c r="J137" s="31"/>
      <c r="K137" s="31"/>
      <c r="L137" s="31"/>
      <c r="M137" s="31"/>
      <c r="N137" s="31"/>
      <c r="O137" s="31"/>
      <c r="P137" s="31"/>
      <c r="Q137" s="31"/>
    </row>
    <row r="138" spans="1:17" ht="13.5">
      <c r="A138"/>
      <c r="C138" s="31"/>
      <c r="D138" s="31"/>
      <c r="E138" s="31"/>
      <c r="F138" s="31"/>
      <c r="G138" s="31"/>
      <c r="H138" s="31"/>
      <c r="J138" s="31"/>
      <c r="K138" s="31"/>
      <c r="L138" s="31"/>
      <c r="M138" s="31"/>
      <c r="N138" s="31"/>
      <c r="O138" s="31"/>
      <c r="P138" s="31"/>
      <c r="Q138" s="31"/>
    </row>
    <row r="139" spans="1:17" ht="13.5">
      <c r="A139" s="3"/>
      <c r="B139" s="32" t="s">
        <v>111</v>
      </c>
      <c r="E139" t="s">
        <v>118</v>
      </c>
      <c r="I139" s="31"/>
      <c r="J139" s="31"/>
      <c r="K139" s="31"/>
      <c r="L139" s="31"/>
      <c r="M139" s="31"/>
      <c r="N139" s="31"/>
      <c r="O139" s="31"/>
      <c r="P139" s="31"/>
      <c r="Q139" s="31"/>
    </row>
    <row r="140" spans="2:17" ht="15.75">
      <c r="B140" s="5" t="s">
        <v>42</v>
      </c>
      <c r="C140" s="10">
        <f>'入力'!D21</f>
        <v>86.65369411500497</v>
      </c>
      <c r="D140" s="38" t="s">
        <v>117</v>
      </c>
      <c r="E140" s="6" t="s">
        <v>49</v>
      </c>
      <c r="F140" s="11">
        <f>SIN(ε)/SIN(ρ)*Be</f>
        <v>1.2572583031631497</v>
      </c>
      <c r="G140" s="2" t="s">
        <v>50</v>
      </c>
      <c r="I140" s="31"/>
      <c r="J140" s="31"/>
      <c r="K140" s="31"/>
      <c r="L140" s="31"/>
      <c r="M140" s="31"/>
      <c r="N140" s="31"/>
      <c r="O140" s="31"/>
      <c r="P140" s="31"/>
      <c r="Q140" s="31"/>
    </row>
    <row r="141" spans="2:9" ht="15.75">
      <c r="B141" s="5" t="s">
        <v>43</v>
      </c>
      <c r="C141" s="10">
        <f>'入力'!D22</f>
        <v>20.648096726586143</v>
      </c>
      <c r="D141" s="38" t="s">
        <v>117</v>
      </c>
      <c r="E141" s="6" t="s">
        <v>51</v>
      </c>
      <c r="F141" s="11">
        <f>F140*EXP(θ*tanφ)</f>
        <v>1.6181318144383832</v>
      </c>
      <c r="G141" s="2" t="s">
        <v>50</v>
      </c>
      <c r="I141" s="31"/>
    </row>
    <row r="142" spans="2:17" ht="13.5">
      <c r="B142" s="5" t="s">
        <v>44</v>
      </c>
      <c r="C142" s="10">
        <f>'入力'!BB11</f>
        <v>55</v>
      </c>
      <c r="D142" s="38" t="s">
        <v>117</v>
      </c>
      <c r="E142" s="4" t="s">
        <v>52</v>
      </c>
      <c r="F142" s="11">
        <f>SIN(ω)/SIN(ε)*F140</f>
        <v>2.0230305939652085</v>
      </c>
      <c r="G142" s="2" t="s">
        <v>50</v>
      </c>
      <c r="I142" s="31"/>
      <c r="J142" s="31"/>
      <c r="K142" s="31"/>
      <c r="L142" s="31"/>
      <c r="M142" s="31"/>
      <c r="N142" s="31"/>
      <c r="O142" s="31"/>
      <c r="P142" s="31"/>
      <c r="Q142" s="31"/>
    </row>
    <row r="143" spans="2:17" ht="13.5">
      <c r="B143" s="5" t="s">
        <v>45</v>
      </c>
      <c r="C143" s="10">
        <f>'入力'!BB12</f>
        <v>125</v>
      </c>
      <c r="D143" s="38" t="s">
        <v>117</v>
      </c>
      <c r="E143" s="4" t="s">
        <v>53</v>
      </c>
      <c r="F143" s="11">
        <f>SIN(ζ)*S/COS(φ)</f>
        <v>0.5827681874929819</v>
      </c>
      <c r="G143" s="2" t="s">
        <v>50</v>
      </c>
      <c r="I143" s="31"/>
      <c r="J143" s="31"/>
      <c r="K143" s="31"/>
      <c r="L143" s="31"/>
      <c r="M143" s="31"/>
      <c r="N143" s="31"/>
      <c r="O143" s="31"/>
      <c r="P143" s="31"/>
      <c r="Q143" s="31"/>
    </row>
    <row r="144" spans="2:17" ht="13.5">
      <c r="B144" s="5" t="s">
        <v>46</v>
      </c>
      <c r="C144" s="10">
        <f>'入力'!BB13</f>
        <v>38.34630588499505</v>
      </c>
      <c r="D144" s="38" t="s">
        <v>117</v>
      </c>
      <c r="E144" s="4" t="s">
        <v>54</v>
      </c>
      <c r="F144" s="11">
        <f>F141+S*(SIN(ζ)*tanφ-COS(ζ))</f>
        <v>1.8036915566321152</v>
      </c>
      <c r="G144" s="2" t="s">
        <v>50</v>
      </c>
      <c r="I144" s="31"/>
      <c r="J144" s="31"/>
      <c r="K144" s="31"/>
      <c r="L144" s="31"/>
      <c r="M144" s="31"/>
      <c r="N144" s="31"/>
      <c r="O144" s="31"/>
      <c r="P144" s="31"/>
      <c r="Q144" s="31"/>
    </row>
    <row r="145" spans="2:9" ht="13.5">
      <c r="B145" s="5" t="s">
        <v>47</v>
      </c>
      <c r="C145" s="10">
        <f>'入力'!BB14</f>
        <v>72.69820915840889</v>
      </c>
      <c r="D145" s="38" t="s">
        <v>117</v>
      </c>
      <c r="E145" s="4" t="s">
        <v>55</v>
      </c>
      <c r="F145" s="11">
        <f>SIN(ψ)/SIN(η)*F144</f>
        <v>2.953942419897184</v>
      </c>
      <c r="G145" s="2" t="s">
        <v>50</v>
      </c>
      <c r="I145" s="31"/>
    </row>
    <row r="146" spans="2:9" ht="13.5">
      <c r="B146" s="5" t="s">
        <v>48</v>
      </c>
      <c r="C146" s="10">
        <f>'入力'!BB15</f>
        <v>30.011790841591115</v>
      </c>
      <c r="D146" s="38" t="s">
        <v>117</v>
      </c>
      <c r="E146" s="4" t="s">
        <v>56</v>
      </c>
      <c r="F146" s="11">
        <f>SIN(ζ-β)/SIN(η)*F144</f>
        <v>1.5233302030123674</v>
      </c>
      <c r="G146" s="2" t="s">
        <v>50</v>
      </c>
      <c r="I146" s="31"/>
    </row>
    <row r="147" spans="2:9" ht="13.5">
      <c r="B147" s="5"/>
      <c r="C147" s="10"/>
      <c r="D147" s="38"/>
      <c r="E147" s="4"/>
      <c r="F147" s="11"/>
      <c r="I147" s="31"/>
    </row>
    <row r="148" spans="9:20" ht="13.5">
      <c r="I148" s="31"/>
      <c r="R148" s="2" t="s">
        <v>120</v>
      </c>
      <c r="S148" s="2">
        <f>E15/10</f>
        <v>40</v>
      </c>
      <c r="T148" s="2">
        <f>IF(S148&lt;1,1,IF(S148&gt;10,10,S148))</f>
        <v>10</v>
      </c>
    </row>
    <row r="149" spans="9:20" ht="13.5">
      <c r="I149" s="31"/>
      <c r="R149" s="2" t="s">
        <v>121</v>
      </c>
      <c r="S149" s="2">
        <f>E12/10</f>
        <v>0</v>
      </c>
      <c r="T149" s="2">
        <f>IF(S149&lt;1,1,IF(S149&gt;10,10,S149))</f>
        <v>1</v>
      </c>
    </row>
    <row r="150" spans="9:20" ht="13.5">
      <c r="I150" s="31"/>
      <c r="J150" s="31"/>
      <c r="K150" s="31"/>
      <c r="L150" s="31"/>
      <c r="M150" s="31"/>
      <c r="N150" s="31"/>
      <c r="O150" s="31"/>
      <c r="P150" s="31"/>
      <c r="Q150" s="31"/>
      <c r="R150" s="2" t="s">
        <v>122</v>
      </c>
      <c r="S150" s="2">
        <f>Be/1</f>
        <v>1.66</v>
      </c>
      <c r="T150" s="2">
        <f>IF(S150&lt;1,1,S150)</f>
        <v>1.66</v>
      </c>
    </row>
    <row r="151" spans="9:17" ht="13.5">
      <c r="I151" s="31"/>
      <c r="J151" s="31"/>
      <c r="K151" s="31"/>
      <c r="L151" s="31"/>
      <c r="M151" s="31"/>
      <c r="N151" s="31"/>
      <c r="O151" s="31"/>
      <c r="P151" s="31"/>
      <c r="Q151" s="31"/>
    </row>
    <row r="152" spans="10:20" ht="13.5">
      <c r="J152" s="31"/>
      <c r="K152" s="31"/>
      <c r="L152" s="31"/>
      <c r="M152" s="31"/>
      <c r="N152" s="31"/>
      <c r="O152" s="31"/>
      <c r="P152" s="31"/>
      <c r="Q152" s="31"/>
      <c r="R152" s="38" t="s">
        <v>133</v>
      </c>
      <c r="S152" s="64">
        <f>ROUND(S156/U110,1)</f>
        <v>1152.8</v>
      </c>
      <c r="T152" s="2" t="s">
        <v>134</v>
      </c>
    </row>
    <row r="153" spans="9:19" ht="15.75">
      <c r="I153" s="31"/>
      <c r="J153" s="31"/>
      <c r="K153" s="31"/>
      <c r="L153" s="31"/>
      <c r="M153" s="31"/>
      <c r="N153" s="31"/>
      <c r="O153" s="31"/>
      <c r="P153" s="31"/>
      <c r="Q153" s="31"/>
      <c r="R153" s="59" t="s">
        <v>124</v>
      </c>
      <c r="S153" s="60">
        <f>ROUND((T148)^(-1/3),2)</f>
        <v>0.46</v>
      </c>
    </row>
    <row r="154" spans="9:19" ht="15.75">
      <c r="I154" s="31"/>
      <c r="J154" s="31"/>
      <c r="K154" s="31"/>
      <c r="L154" s="31"/>
      <c r="M154" s="31"/>
      <c r="N154" s="31"/>
      <c r="O154" s="31"/>
      <c r="P154" s="31"/>
      <c r="Q154" s="31"/>
      <c r="R154" s="59" t="s">
        <v>125</v>
      </c>
      <c r="S154" s="60">
        <f>ROUND((T149)^(-1/3),2)</f>
        <v>1</v>
      </c>
    </row>
    <row r="155" spans="9:19" ht="13.5">
      <c r="I155" s="31"/>
      <c r="J155" s="51"/>
      <c r="K155" s="51"/>
      <c r="L155" s="51"/>
      <c r="M155" s="51"/>
      <c r="N155" s="51"/>
      <c r="O155" s="51"/>
      <c r="P155" s="51"/>
      <c r="Q155" s="51"/>
      <c r="R155" s="59" t="s">
        <v>126</v>
      </c>
      <c r="S155" s="60">
        <f>ROUND(T150^(-1/3),2)</f>
        <v>0.84</v>
      </c>
    </row>
    <row r="156" spans="10:20" ht="13.5">
      <c r="J156" s="61"/>
      <c r="K156" s="61"/>
      <c r="L156" s="61"/>
      <c r="M156" s="61"/>
      <c r="N156" s="61"/>
      <c r="O156" s="61"/>
      <c r="P156" s="61"/>
      <c r="Q156" s="61"/>
      <c r="R156" s="38" t="s">
        <v>127</v>
      </c>
      <c r="S156" s="2">
        <f>ROUND(U110*(T114*E15*Nc*Sc+E12*Nq*Sq+0.5*E13*T115*Be*Nγ*Sγ),1)</f>
        <v>20854.5</v>
      </c>
      <c r="T156" s="2" t="s">
        <v>128</v>
      </c>
    </row>
    <row r="157" spans="3:19" ht="13.5">
      <c r="C157" s="3" t="s">
        <v>57</v>
      </c>
      <c r="J157" s="51"/>
      <c r="K157" s="51"/>
      <c r="L157" s="51"/>
      <c r="M157" s="51"/>
      <c r="N157" s="51"/>
      <c r="O157" s="51"/>
      <c r="P157" s="51"/>
      <c r="Q157" s="51"/>
      <c r="R157" s="2" t="s">
        <v>129</v>
      </c>
      <c r="S157" s="2">
        <f>ROUND(S156/E9,1)</f>
        <v>6.6</v>
      </c>
    </row>
    <row r="158" spans="10:17" ht="13.5">
      <c r="J158" s="51"/>
      <c r="K158" s="51"/>
      <c r="L158" s="51"/>
      <c r="M158" s="51"/>
      <c r="N158" s="51"/>
      <c r="O158" s="51"/>
      <c r="P158" s="51"/>
      <c r="Q158" s="51"/>
    </row>
    <row r="159" ht="13.5">
      <c r="B159" s="3" t="s">
        <v>58</v>
      </c>
    </row>
    <row r="160" spans="2:7" ht="15.75">
      <c r="B160" s="6" t="s">
        <v>59</v>
      </c>
      <c r="C160" s="100">
        <f>ROUND(Nc,2)</f>
        <v>6.17</v>
      </c>
      <c r="D160" s="6" t="s">
        <v>200</v>
      </c>
      <c r="E160" s="100">
        <f>ROUND(Nq,2)</f>
        <v>0.23</v>
      </c>
      <c r="F160" s="6" t="s">
        <v>60</v>
      </c>
      <c r="G160" s="100">
        <f>ROUND(Nγ,2)</f>
        <v>1.09</v>
      </c>
    </row>
    <row r="161" spans="2:9" ht="13.5">
      <c r="B161" s="31" t="s">
        <v>119</v>
      </c>
      <c r="G161" s="31"/>
      <c r="H161" s="31"/>
      <c r="I161" s="31"/>
    </row>
    <row r="162" spans="3:9" ht="13.5">
      <c r="C162" s="2" t="str">
        <f>"c*="&amp;T148</f>
        <v>c*=10</v>
      </c>
      <c r="D162" s="2" t="str">
        <f>R153&amp;T148&amp;"^(-1/3)="&amp;S153</f>
        <v>Sc=10^(-1/3)=0.46</v>
      </c>
      <c r="G162" s="31"/>
      <c r="H162" s="31"/>
      <c r="I162" s="31"/>
    </row>
    <row r="163" spans="3:9" ht="13.5">
      <c r="C163" s="2" t="str">
        <f>"c*="&amp;T149</f>
        <v>c*=1</v>
      </c>
      <c r="D163" s="2" t="str">
        <f>R154&amp;T149&amp;"^(-1/3)="&amp;S154</f>
        <v>Sq=1^(-1/3)=1</v>
      </c>
      <c r="G163" s="31"/>
      <c r="H163" s="31"/>
      <c r="I163" s="31"/>
    </row>
    <row r="164" spans="3:9" ht="13.5">
      <c r="C164" s="2" t="str">
        <f>"B*="&amp;T150</f>
        <v>B*=1.66</v>
      </c>
      <c r="D164" s="2" t="str">
        <f>R155&amp;T150&amp;"^(-1/3)="&amp;S155</f>
        <v>Sγ=1.66^(-1/3)=0.84</v>
      </c>
      <c r="G164" s="31"/>
      <c r="H164" s="31"/>
      <c r="I164" s="31"/>
    </row>
    <row r="165" spans="2:9" ht="13.5">
      <c r="B165" s="58" t="s">
        <v>123</v>
      </c>
      <c r="C165" s="55"/>
      <c r="G165" s="31"/>
      <c r="H165" s="31"/>
      <c r="I165" s="31"/>
    </row>
    <row r="166" spans="2:9" ht="13.5">
      <c r="B166" s="61"/>
      <c r="C166" s="2" t="str">
        <f>"Qu="&amp;$U$110&amp;"×("&amp;$T$114&amp;"×"&amp;$E$15&amp;"×"&amp;$C$160&amp;"×"&amp;$S$153&amp;"+"&amp;E$12&amp;"×"&amp;ROUND(Nq,3)&amp;"×"&amp;ROUND(Sq,2)&amp;"+0.5×"&amp;$E$13&amp;"×"&amp;$T$115&amp;"×"&amp;Be&amp;"×"&amp;$G$160&amp;"×"&amp;$S$155&amp;") "</f>
        <v>Qu=18.09×(1×400×6.17×0.46+0×0.234×1+0.5×22×1×1.66×1.09×0.84) </v>
      </c>
      <c r="G166" s="31"/>
      <c r="H166" s="31"/>
      <c r="I166" s="31"/>
    </row>
    <row r="167" spans="2:9" ht="13.5">
      <c r="B167" s="61"/>
      <c r="C167" s="2" t="str">
        <f>"  ="&amp;S156&amp;T156</f>
        <v>  =20854.5kN</v>
      </c>
      <c r="G167" s="31"/>
      <c r="H167" s="31"/>
      <c r="I167" s="31"/>
    </row>
    <row r="168" spans="2:9" ht="13.5">
      <c r="B168" s="38" t="s">
        <v>152</v>
      </c>
      <c r="D168" s="51"/>
      <c r="E168" s="51"/>
      <c r="F168" s="51"/>
      <c r="G168" s="51"/>
      <c r="H168" s="51"/>
      <c r="I168" s="51"/>
    </row>
    <row r="169" spans="3:9" ht="13.5">
      <c r="C169" s="2" t="str">
        <f>"qd=Qu/Ae="&amp;S156&amp;"/"&amp;U110&amp;"= "&amp;S152&amp;T152</f>
        <v>qd=Qu/Ae=20854.5/18.09= 1152.8kN/m2</v>
      </c>
      <c r="D169" s="61"/>
      <c r="E169" s="61"/>
      <c r="F169" s="61"/>
      <c r="G169" s="61"/>
      <c r="H169" s="61"/>
      <c r="I169" s="61"/>
    </row>
    <row r="170" spans="2:9" ht="13.5">
      <c r="B170" s="62"/>
      <c r="C170" s="55"/>
      <c r="D170" s="51"/>
      <c r="E170" s="51"/>
      <c r="F170" s="51"/>
      <c r="G170" s="51"/>
      <c r="H170" s="51"/>
      <c r="I170" s="51"/>
    </row>
    <row r="171" spans="2:9" ht="13.5">
      <c r="B171" s="3" t="s">
        <v>61</v>
      </c>
      <c r="C171" s="51" t="str">
        <f>"Fs=Qu/V="&amp;S156&amp;"/"&amp;E9&amp;"="&amp;S157</f>
        <v>Fs=Qu/V=20854.5/3181=6.6</v>
      </c>
      <c r="D171" s="51"/>
      <c r="E171" s="51"/>
      <c r="F171" s="51"/>
      <c r="G171" s="51"/>
      <c r="H171" s="51"/>
      <c r="I171" s="51"/>
    </row>
    <row r="173" spans="4:7" ht="13.5">
      <c r="D173" s="11"/>
      <c r="E173" s="14"/>
      <c r="G173" s="14"/>
    </row>
  </sheetData>
  <sheetProtection/>
  <mergeCells count="1">
    <mergeCell ref="B51:I51"/>
  </mergeCells>
  <printOptions/>
  <pageMargins left="0.75" right="0.75" top="1" bottom="1" header="0.512" footer="0.512"/>
  <pageSetup firstPageNumber="1" useFirstPageNumber="1" horizontalDpi="600" verticalDpi="600" orientation="portrait" paperSize="9" r:id="rId2"/>
  <headerFooter alignWithMargins="0">
    <oddHeader>&amp;C&amp;8傾斜地盤支持力</oddHeader>
    <oddFooter>&amp;C&amp;8&amp;P</oddFooter>
  </headerFooter>
  <rowBreaks count="3" manualBreakCount="3">
    <brk id="44" max="8" man="1"/>
    <brk id="93" max="8" man="1"/>
    <brk id="138" max="8" man="1"/>
  </rowBreaks>
  <drawing r:id="rId1"/>
</worksheet>
</file>

<file path=xl/worksheets/sheet3.xml><?xml version="1.0" encoding="utf-8"?>
<worksheet xmlns="http://schemas.openxmlformats.org/spreadsheetml/2006/main" xmlns:r="http://schemas.openxmlformats.org/officeDocument/2006/relationships">
  <sheetPr codeName="Sheet3"/>
  <dimension ref="A33:L74"/>
  <sheetViews>
    <sheetView zoomScalePageLayoutView="0" workbookViewId="0" topLeftCell="A1">
      <selection activeCell="M57" sqref="M57"/>
    </sheetView>
  </sheetViews>
  <sheetFormatPr defaultColWidth="8.796875" defaultRowHeight="14.25"/>
  <sheetData>
    <row r="33" spans="1:7" ht="13.5">
      <c r="A33" s="2"/>
      <c r="B33" s="2"/>
      <c r="C33" s="2"/>
      <c r="D33" s="2"/>
      <c r="E33" s="2"/>
      <c r="F33" s="2"/>
      <c r="G33" s="2"/>
    </row>
    <row r="34" spans="1:7" ht="13.5">
      <c r="A34" s="2"/>
      <c r="B34" s="2"/>
      <c r="C34" s="2"/>
      <c r="D34" s="2"/>
      <c r="E34" s="2"/>
      <c r="F34" s="2"/>
      <c r="G34" s="2"/>
    </row>
    <row r="35" spans="1:7" ht="13.5">
      <c r="A35" s="2"/>
      <c r="B35" s="2"/>
      <c r="C35" s="2"/>
      <c r="D35" s="2"/>
      <c r="E35" s="2"/>
      <c r="F35" s="2"/>
      <c r="G35" s="2"/>
    </row>
    <row r="36" spans="1:7" ht="13.5">
      <c r="A36" s="2"/>
      <c r="B36" s="2"/>
      <c r="C36" s="4"/>
      <c r="D36" s="2"/>
      <c r="E36" s="2"/>
      <c r="F36" s="4"/>
      <c r="G36" s="2"/>
    </row>
    <row r="37" spans="1:7" ht="13.5">
      <c r="A37" s="2"/>
      <c r="B37" s="2"/>
      <c r="C37" s="2"/>
      <c r="D37" s="2"/>
      <c r="E37" s="2"/>
      <c r="F37" s="4"/>
      <c r="G37" s="2"/>
    </row>
    <row r="43" spans="5:6" ht="12.75">
      <c r="E43" t="s">
        <v>5</v>
      </c>
      <c r="F43" s="1">
        <f>'入力'!K15</f>
        <v>500</v>
      </c>
    </row>
    <row r="44" ht="12.75">
      <c r="F44" s="1"/>
    </row>
    <row r="45" spans="3:12" ht="12.75">
      <c r="C45" t="s">
        <v>7</v>
      </c>
      <c r="D45" t="s">
        <v>9</v>
      </c>
      <c r="E45" t="s">
        <v>8</v>
      </c>
      <c r="F45" t="s">
        <v>0</v>
      </c>
      <c r="G45" t="s">
        <v>6</v>
      </c>
      <c r="H45" t="s">
        <v>1</v>
      </c>
      <c r="I45" t="s">
        <v>2</v>
      </c>
      <c r="J45" t="s">
        <v>3</v>
      </c>
      <c r="K45" t="s">
        <v>4</v>
      </c>
      <c r="L45" t="s">
        <v>6</v>
      </c>
    </row>
    <row r="46" spans="6:7" ht="12.75">
      <c r="F46">
        <v>0</v>
      </c>
      <c r="G46">
        <v>0</v>
      </c>
    </row>
    <row r="47" spans="6:7" ht="12.75">
      <c r="F47">
        <f>'入力'!BB18*COS(ε)</f>
        <v>1.5866127539899222</v>
      </c>
      <c r="G47">
        <f>-'入力'!BB18*SIN(ε)</f>
        <v>-1.2551146373920348</v>
      </c>
    </row>
    <row r="48" spans="6:7" ht="12.75">
      <c r="F48">
        <f>Be</f>
        <v>1.66</v>
      </c>
      <c r="G48">
        <v>0</v>
      </c>
    </row>
    <row r="49" spans="6:7" ht="12.75">
      <c r="F49">
        <f>Be+'入力'!BB17*COS(ζ)</f>
        <v>2.1412400327470777</v>
      </c>
      <c r="G49">
        <f>-'入力'!BB17*SIN(ζ)</f>
        <v>-1.5449137839307556</v>
      </c>
    </row>
    <row r="50" spans="6:7" ht="12.75">
      <c r="F50">
        <f>Be+S+eg*COS(β)</f>
        <v>4.147658858136802</v>
      </c>
      <c r="G50">
        <f>-eg*SIN(β)</f>
        <v>-2.1851746117274784</v>
      </c>
    </row>
    <row r="51" spans="6:12" ht="12.75">
      <c r="F51">
        <f>Be+S</f>
        <v>2.16</v>
      </c>
      <c r="L51">
        <v>0</v>
      </c>
    </row>
    <row r="52" spans="6:12" ht="12.75">
      <c r="F52">
        <f>Be+S+ef*COS(ζ)</f>
        <v>2.6964263751779285</v>
      </c>
      <c r="L52">
        <f>-ef*SIN(ζ)</f>
        <v>-1.7220772269208633</v>
      </c>
    </row>
    <row r="53" spans="3:8" ht="12.75">
      <c r="C53">
        <v>0</v>
      </c>
      <c r="D53">
        <f>'入力'!$BB$16*EXP(C53*tanφ)</f>
        <v>1.2572583031631497</v>
      </c>
      <c r="E53">
        <f aca="true" t="shared" si="0" ref="E53:E63">ω+C53</f>
        <v>1.5123922713228704</v>
      </c>
      <c r="F53">
        <f aca="true" t="shared" si="1" ref="F53:F63">Be-D53*COS(E53)</f>
        <v>1.5866127539899222</v>
      </c>
      <c r="H53">
        <f>-D53*SIN(E53)</f>
        <v>-1.2551146373920348</v>
      </c>
    </row>
    <row r="54" spans="3:8" ht="12.75">
      <c r="C54">
        <f aca="true" t="shared" si="2" ref="C54:C63">C53+θ/10</f>
        <v>0.03603772721491916</v>
      </c>
      <c r="D54">
        <f>'入力'!$BB$16*EXP(C54*tanφ)</f>
        <v>1.2893874859638526</v>
      </c>
      <c r="E54">
        <f t="shared" si="0"/>
        <v>1.5484299985377894</v>
      </c>
      <c r="F54">
        <f t="shared" si="1"/>
        <v>1.6311635406311389</v>
      </c>
      <c r="H54">
        <f aca="true" t="shared" si="3" ref="H54:H63">-D54*SIN(E54)</f>
        <v>-1.2890649896615967</v>
      </c>
    </row>
    <row r="55" spans="3:8" ht="12.75">
      <c r="C55">
        <f t="shared" si="2"/>
        <v>0.07207545442983831</v>
      </c>
      <c r="D55">
        <f>'入力'!$BB$16*EXP(C55*tanφ)</f>
        <v>1.3223377286731233</v>
      </c>
      <c r="E55">
        <f t="shared" si="0"/>
        <v>1.5844677257527087</v>
      </c>
      <c r="F55">
        <f t="shared" si="1"/>
        <v>1.6780776434932414</v>
      </c>
      <c r="H55">
        <f t="shared" si="3"/>
        <v>-1.3222141534101524</v>
      </c>
    </row>
    <row r="56" spans="3:8" ht="12.75">
      <c r="C56">
        <f t="shared" si="2"/>
        <v>0.10811318164475747</v>
      </c>
      <c r="D56">
        <f>'入力'!$BB$16*EXP(C56*tanφ)</f>
        <v>1.3561300134422236</v>
      </c>
      <c r="E56">
        <f t="shared" si="0"/>
        <v>1.620505452967628</v>
      </c>
      <c r="F56">
        <f t="shared" si="1"/>
        <v>1.7273842788815637</v>
      </c>
      <c r="H56">
        <f t="shared" si="3"/>
        <v>-1.3544548616762455</v>
      </c>
    </row>
    <row r="57" spans="3:8" ht="12.75">
      <c r="C57">
        <f t="shared" si="2"/>
        <v>0.14415090885967663</v>
      </c>
      <c r="D57">
        <f>'入力'!$BB$16*EXP(C57*tanφ)</f>
        <v>1.3907858586204052</v>
      </c>
      <c r="E57">
        <f t="shared" si="0"/>
        <v>1.656543180182547</v>
      </c>
      <c r="F57">
        <f t="shared" si="1"/>
        <v>1.77910942668215</v>
      </c>
      <c r="H57">
        <f t="shared" si="3"/>
        <v>-1.3856760981607308</v>
      </c>
    </row>
    <row r="58" spans="3:8" ht="12.75">
      <c r="C58">
        <f t="shared" si="2"/>
        <v>0.1801886360745958</v>
      </c>
      <c r="D58">
        <f>'入力'!$BB$16*EXP(C58*tanφ)</f>
        <v>1.426327332457424</v>
      </c>
      <c r="E58">
        <f t="shared" si="0"/>
        <v>1.692580907397466</v>
      </c>
      <c r="F58">
        <f t="shared" si="1"/>
        <v>1.8332756112697277</v>
      </c>
      <c r="H58">
        <f t="shared" si="3"/>
        <v>-1.4157631234970818</v>
      </c>
    </row>
    <row r="59" spans="3:8" ht="12.75">
      <c r="C59">
        <f t="shared" si="2"/>
        <v>0.21622636328951494</v>
      </c>
      <c r="D59">
        <f>'入力'!$BB$16*EXP(C59*tanφ)</f>
        <v>1.4627770671562266</v>
      </c>
      <c r="E59">
        <f t="shared" si="0"/>
        <v>1.7286186346123853</v>
      </c>
      <c r="F59">
        <f t="shared" si="1"/>
        <v>1.8899016779333826</v>
      </c>
      <c r="H59">
        <f t="shared" si="3"/>
        <v>-1.4445975102711437</v>
      </c>
    </row>
    <row r="60" spans="3:8" ht="12.75">
      <c r="C60">
        <f t="shared" si="2"/>
        <v>0.2522640905044341</v>
      </c>
      <c r="D60">
        <f>'入力'!$BB$16*EXP(C60*tanφ)</f>
        <v>1.5001582732847494</v>
      </c>
      <c r="E60">
        <f t="shared" si="0"/>
        <v>1.7646563618273046</v>
      </c>
      <c r="F60">
        <f t="shared" si="1"/>
        <v>1.9490025650316831</v>
      </c>
      <c r="H60">
        <f t="shared" si="3"/>
        <v>-1.4720571871737147</v>
      </c>
    </row>
    <row r="61" spans="3:8" ht="12.75">
      <c r="C61">
        <f t="shared" si="2"/>
        <v>0.28830181771935326</v>
      </c>
      <c r="D61">
        <f>'入力'!$BB$16*EXP(C61*tanφ)</f>
        <v>1.5384947545560115</v>
      </c>
      <c r="E61">
        <f t="shared" si="0"/>
        <v>1.8006940890422236</v>
      </c>
      <c r="F61">
        <f t="shared" si="1"/>
        <v>2.0105890721084223</v>
      </c>
      <c r="H61">
        <f t="shared" si="3"/>
        <v>-1.4980164926710646</v>
      </c>
    </row>
    <row r="62" spans="3:8" ht="12.75">
      <c r="C62">
        <f t="shared" si="2"/>
        <v>0.3243395449342724</v>
      </c>
      <c r="D62">
        <f>'入力'!$BB$16*EXP(C62*tanφ)</f>
        <v>1.5778109229859116</v>
      </c>
      <c r="E62">
        <f t="shared" si="0"/>
        <v>1.8367318162571427</v>
      </c>
      <c r="F62">
        <f t="shared" si="1"/>
        <v>2.0746676242201363</v>
      </c>
      <c r="H62">
        <f t="shared" si="3"/>
        <v>-1.5223462385795428</v>
      </c>
    </row>
    <row r="63" spans="3:8" ht="12.75">
      <c r="C63">
        <f t="shared" si="2"/>
        <v>0.3603772721491916</v>
      </c>
      <c r="D63">
        <f>'入力'!$BB$16*EXP(C63*tanφ)</f>
        <v>1.6181318144383832</v>
      </c>
      <c r="E63">
        <f t="shared" si="0"/>
        <v>1.872769543472062</v>
      </c>
      <c r="F63">
        <f t="shared" si="1"/>
        <v>2.141240032747077</v>
      </c>
      <c r="H63">
        <f t="shared" si="3"/>
        <v>-1.5449137839307558</v>
      </c>
    </row>
    <row r="64" spans="6:9" ht="12.75">
      <c r="F64">
        <v>0</v>
      </c>
      <c r="I64">
        <f>0</f>
        <v>0</v>
      </c>
    </row>
    <row r="65" spans="6:9" ht="12.75">
      <c r="F65">
        <f>Be+S</f>
        <v>2.16</v>
      </c>
      <c r="I65">
        <v>0</v>
      </c>
    </row>
    <row r="66" spans="6:9" ht="12.75">
      <c r="F66">
        <f>F65+(eg+Be)*COS(β)</f>
        <v>5.264645324183739</v>
      </c>
      <c r="I66">
        <f>-(eg+Be)*SIN(β)</f>
        <v>-3.4131571990095524</v>
      </c>
    </row>
    <row r="67" spans="6:10" ht="12.75">
      <c r="F67">
        <v>0</v>
      </c>
      <c r="J67">
        <v>0</v>
      </c>
    </row>
    <row r="68" spans="6:10" ht="12.75">
      <c r="F68">
        <f>-J68*TAN(α)</f>
        <v>-1.004577679974851</v>
      </c>
      <c r="J68">
        <f>'出力'!S152/F43</f>
        <v>2.3056</v>
      </c>
    </row>
    <row r="69" spans="6:10" ht="12.75">
      <c r="F69">
        <f>F68+Be</f>
        <v>0.655422320025149</v>
      </c>
      <c r="J69">
        <f>J68</f>
        <v>2.3056</v>
      </c>
    </row>
    <row r="70" spans="6:10" ht="12.75">
      <c r="F70">
        <f>Be</f>
        <v>1.66</v>
      </c>
      <c r="J70">
        <f>0</f>
        <v>0</v>
      </c>
    </row>
    <row r="71" spans="6:11" ht="12.75">
      <c r="F71">
        <f>Be</f>
        <v>1.66</v>
      </c>
      <c r="K71">
        <v>0</v>
      </c>
    </row>
    <row r="72" spans="6:11" ht="12.75">
      <c r="F72">
        <f>Be</f>
        <v>1.66</v>
      </c>
      <c r="K72">
        <f>q/F43</f>
        <v>0</v>
      </c>
    </row>
    <row r="73" spans="6:11" ht="12.75">
      <c r="F73">
        <f>F72+S</f>
        <v>2.16</v>
      </c>
      <c r="K73">
        <f>K72</f>
        <v>0</v>
      </c>
    </row>
    <row r="74" spans="6:11" ht="12.75">
      <c r="F74">
        <f>F73</f>
        <v>2.16</v>
      </c>
      <c r="K74">
        <v>0</v>
      </c>
    </row>
  </sheetData>
  <sheetProtection/>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T.Ushiro</dc:creator>
  <cp:keywords/>
  <dc:description/>
  <cp:lastModifiedBy>Owner</cp:lastModifiedBy>
  <cp:lastPrinted>2011-03-04T13:24:43Z</cp:lastPrinted>
  <dcterms:created xsi:type="dcterms:W3CDTF">2001-04-21T08:37:41Z</dcterms:created>
  <dcterms:modified xsi:type="dcterms:W3CDTF">2015-04-11T22:01:01Z</dcterms:modified>
  <cp:category/>
  <cp:version/>
  <cp:contentType/>
  <cp:contentStatus/>
</cp:coreProperties>
</file>