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8" windowWidth="12120" windowHeight="9000" activeTab="0"/>
  </bookViews>
  <sheets>
    <sheet name="入力" sheetId="1" r:id="rId1"/>
    <sheet name="計算" sheetId="2" r:id="rId2"/>
  </sheets>
  <definedNames>
    <definedName name="B">'入力'!$D$26</definedName>
    <definedName name="D">'計算'!$F$141</definedName>
    <definedName name="e">'入力'!#REF!</definedName>
    <definedName name="H">'入力'!#REF!</definedName>
    <definedName name="hm">#REF!</definedName>
    <definedName name="hn">'計算'!$F$142</definedName>
    <definedName name="hp">#REF!</definedName>
    <definedName name="hs">'入力'!#REF!</definedName>
    <definedName name="L">#REF!</definedName>
    <definedName name="Lp">#REF!</definedName>
    <definedName name="PAH">'入力'!#REF!</definedName>
    <definedName name="PAV">'入力'!#REF!</definedName>
    <definedName name="Pi">#REF!</definedName>
    <definedName name="_xlnm.Print_Area" localSheetId="1">'計算'!$A$1:$K$290</definedName>
    <definedName name="_xlnm.Print_Area" localSheetId="0">'入力'!$A$1:$Q$36</definedName>
    <definedName name="q">'入力'!#REF!</definedName>
    <definedName name="qa">#REF!</definedName>
    <definedName name="Qq">'入力'!#REF!</definedName>
    <definedName name="qr">#REF!</definedName>
    <definedName name="qs">'入力'!#REF!</definedName>
    <definedName name="s">#REF!</definedName>
    <definedName name="solver_adj" localSheetId="0" hidden="1">'入力'!#REF!,'入力'!#REF!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'入力'!#REF!</definedName>
    <definedName name="solver_lhs2" localSheetId="0" hidden="1">'入力'!#REF!</definedName>
    <definedName name="solver_lhs3" localSheetId="0" hidden="1">'入力'!#REF!</definedName>
    <definedName name="solver_lhs4" localSheetId="0" hidden="1">'入力'!#REF!</definedName>
    <definedName name="solver_lin" localSheetId="0" hidden="1">2</definedName>
    <definedName name="solver_neg" localSheetId="0" hidden="1">2</definedName>
    <definedName name="solver_num" localSheetId="0" hidden="1">4</definedName>
    <definedName name="solver_nwt" localSheetId="0" hidden="1">1</definedName>
    <definedName name="solver_opt" localSheetId="0" hidden="1">'入力'!#REF!</definedName>
    <definedName name="solver_pre" localSheetId="0" hidden="1">0.000001</definedName>
    <definedName name="solver_rel1" localSheetId="0" hidden="1">1</definedName>
    <definedName name="solver_rel2" localSheetId="0" hidden="1">1</definedName>
    <definedName name="solver_rel3" localSheetId="0" hidden="1">3</definedName>
    <definedName name="solver_rel4" localSheetId="0" hidden="1">3</definedName>
    <definedName name="solver_rhs1" localSheetId="0" hidden="1">89</definedName>
    <definedName name="solver_rhs2" localSheetId="0" hidden="1">89</definedName>
    <definedName name="solver_rhs3" localSheetId="0" hidden="1">φd+1</definedName>
    <definedName name="solver_rhs4" localSheetId="0" hidden="1">φd+1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tf">'入力'!#REF!</definedName>
    <definedName name="tw">'入力'!#REF!</definedName>
    <definedName name="twd">'入力'!#REF!</definedName>
    <definedName name="Ws">#REF!</definedName>
    <definedName name="xq">'入力'!#REF!</definedName>
    <definedName name="γ">'入力'!#REF!</definedName>
    <definedName name="γc">#REF!</definedName>
    <definedName name="δ">'入力'!#REF!</definedName>
    <definedName name="θ">'計算'!$H$143</definedName>
    <definedName name="μ">'入力'!#REF!</definedName>
    <definedName name="σca">'入力'!#REF!</definedName>
    <definedName name="σck">#REF!</definedName>
    <definedName name="σsa">'入力'!#REF!</definedName>
    <definedName name="τma">'入力'!#REF!</definedName>
    <definedName name="φ">'入力'!#REF!</definedName>
    <definedName name="φd">'入力'!#REF!</definedName>
    <definedName name="φs">#REF!</definedName>
    <definedName name="ω">'入力'!#REF!</definedName>
    <definedName name="ω1">'入力'!#REF!</definedName>
    <definedName name="ω2">'入力'!#REF!</definedName>
    <definedName name="材質">#REF!</definedName>
    <definedName name="土質">'入力'!#REF!</definedName>
  </definedNames>
  <calcPr fullCalcOnLoad="1"/>
</workbook>
</file>

<file path=xl/sharedStrings.xml><?xml version="1.0" encoding="utf-8"?>
<sst xmlns="http://schemas.openxmlformats.org/spreadsheetml/2006/main" count="328" uniqueCount="237">
  <si>
    <t>B=</t>
  </si>
  <si>
    <t>kN/m</t>
  </si>
  <si>
    <t>１．設計条件</t>
  </si>
  <si>
    <t>m</t>
  </si>
  <si>
    <t>m</t>
  </si>
  <si>
    <t>m</t>
  </si>
  <si>
    <t>m</t>
  </si>
  <si>
    <r>
      <t>kN/m</t>
    </r>
    <r>
      <rPr>
        <vertAlign val="superscript"/>
        <sz val="11"/>
        <rFont val="Times New Roman"/>
        <family val="1"/>
      </rPr>
      <t>3</t>
    </r>
  </si>
  <si>
    <t>α=</t>
  </si>
  <si>
    <r>
      <t>C</t>
    </r>
    <r>
      <rPr>
        <i/>
        <vertAlign val="subscript"/>
        <sz val="11"/>
        <rFont val="Times New Roman"/>
        <family val="1"/>
      </rPr>
      <t>m</t>
    </r>
    <r>
      <rPr>
        <vertAlign val="subscript"/>
        <sz val="11"/>
        <rFont val="Times New Roman"/>
        <family val="1"/>
      </rPr>
      <t>1=</t>
    </r>
  </si>
  <si>
    <r>
      <t>C</t>
    </r>
    <r>
      <rPr>
        <i/>
        <vertAlign val="subscript"/>
        <sz val="11"/>
        <rFont val="Times New Roman"/>
        <family val="1"/>
      </rPr>
      <t>m</t>
    </r>
    <r>
      <rPr>
        <vertAlign val="subscript"/>
        <sz val="11"/>
        <rFont val="Times New Roman"/>
        <family val="1"/>
      </rPr>
      <t>2=</t>
    </r>
  </si>
  <si>
    <t>δV=</t>
  </si>
  <si>
    <t>mm</t>
  </si>
  <si>
    <t>ここに，</t>
  </si>
  <si>
    <t>擁壁天端位置での変位量は次式で与えられる．</t>
  </si>
  <si>
    <t>V=</t>
  </si>
  <si>
    <t>kN/m</t>
  </si>
  <si>
    <t>h=</t>
  </si>
  <si>
    <t>d=</t>
  </si>
  <si>
    <t>m</t>
  </si>
  <si>
    <t>m</t>
  </si>
  <si>
    <t>m</t>
  </si>
  <si>
    <t>荷重分散角</t>
  </si>
  <si>
    <t>置換え幅</t>
  </si>
  <si>
    <t>S=</t>
  </si>
  <si>
    <t>m</t>
  </si>
  <si>
    <t>粘着力</t>
  </si>
  <si>
    <t>支持力</t>
  </si>
  <si>
    <t>ここに，</t>
  </si>
  <si>
    <t>基礎幅</t>
  </si>
  <si>
    <t>B=</t>
  </si>
  <si>
    <t>m</t>
  </si>
  <si>
    <t>h=</t>
  </si>
  <si>
    <t>土の単位体積重量</t>
  </si>
  <si>
    <t>平均粘着力</t>
  </si>
  <si>
    <t>極限支持力度</t>
  </si>
  <si>
    <t>地盤反力度</t>
  </si>
  <si>
    <t>D=</t>
  </si>
  <si>
    <t>沈下対象地盤深さ</t>
  </si>
  <si>
    <t>m</t>
  </si>
  <si>
    <t>rad</t>
  </si>
  <si>
    <t>地盤の変形係数</t>
  </si>
  <si>
    <t>層厚</t>
  </si>
  <si>
    <t>　　水平変位</t>
  </si>
  <si>
    <t>　　鉛直変位</t>
  </si>
  <si>
    <t>分母</t>
  </si>
  <si>
    <t>換算載荷幅</t>
  </si>
  <si>
    <t>補正係数</t>
  </si>
  <si>
    <t>せん断バネ定数</t>
  </si>
  <si>
    <t>mm</t>
  </si>
  <si>
    <t>mm</t>
  </si>
  <si>
    <t>回転角</t>
  </si>
  <si>
    <r>
      <t>(1)</t>
    </r>
    <r>
      <rPr>
        <sz val="11"/>
        <rFont val="ＭＳ 明朝"/>
        <family val="1"/>
      </rPr>
      <t>荷重</t>
    </r>
  </si>
  <si>
    <r>
      <t>γ</t>
    </r>
    <r>
      <rPr>
        <vertAlign val="subscript"/>
        <sz val="11"/>
        <rFont val="Times New Roman"/>
        <family val="1"/>
      </rPr>
      <t>2</t>
    </r>
    <r>
      <rPr>
        <i/>
        <sz val="11"/>
        <rFont val="Times New Roman"/>
        <family val="1"/>
      </rPr>
      <t>=</t>
    </r>
  </si>
  <si>
    <r>
      <t>(2)</t>
    </r>
    <r>
      <rPr>
        <sz val="11"/>
        <rFont val="ＭＳ 明朝"/>
        <family val="1"/>
      </rPr>
      <t>基礎寸法</t>
    </r>
  </si>
  <si>
    <r>
      <t>φ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=</t>
    </r>
  </si>
  <si>
    <r>
      <t>kN/m</t>
    </r>
    <r>
      <rPr>
        <vertAlign val="superscript"/>
        <sz val="11"/>
        <rFont val="Times New Roman"/>
        <family val="1"/>
      </rPr>
      <t>2</t>
    </r>
  </si>
  <si>
    <r>
      <t>D</t>
    </r>
    <r>
      <rPr>
        <i/>
        <vertAlign val="subscript"/>
        <sz val="11"/>
        <rFont val="Times New Roman"/>
        <family val="1"/>
      </rPr>
      <t>f</t>
    </r>
    <r>
      <rPr>
        <i/>
        <sz val="11"/>
        <rFont val="Times New Roman"/>
        <family val="1"/>
      </rPr>
      <t>=</t>
    </r>
  </si>
  <si>
    <r>
      <t>E</t>
    </r>
    <r>
      <rPr>
        <i/>
        <vertAlign val="subscript"/>
        <sz val="11"/>
        <rFont val="Times New Roman"/>
        <family val="1"/>
      </rPr>
      <t>o</t>
    </r>
    <r>
      <rPr>
        <vertAlign val="subscript"/>
        <sz val="11"/>
        <rFont val="Times New Roman"/>
        <family val="1"/>
      </rPr>
      <t>2</t>
    </r>
    <r>
      <rPr>
        <i/>
        <sz val="11"/>
        <rFont val="Times New Roman"/>
        <family val="1"/>
      </rPr>
      <t>=</t>
    </r>
  </si>
  <si>
    <r>
      <t>kN/m</t>
    </r>
    <r>
      <rPr>
        <vertAlign val="superscript"/>
        <sz val="11"/>
        <rFont val="Times New Roman"/>
        <family val="1"/>
      </rPr>
      <t>2</t>
    </r>
  </si>
  <si>
    <r>
      <t>H</t>
    </r>
    <r>
      <rPr>
        <i/>
        <vertAlign val="subscript"/>
        <sz val="11"/>
        <rFont val="Times New Roman"/>
        <family val="1"/>
      </rPr>
      <t>c</t>
    </r>
    <r>
      <rPr>
        <i/>
        <sz val="11"/>
        <rFont val="Times New Roman"/>
        <family val="1"/>
      </rPr>
      <t>=</t>
    </r>
  </si>
  <si>
    <r>
      <t>γ</t>
    </r>
    <r>
      <rPr>
        <vertAlign val="subscript"/>
        <sz val="11"/>
        <rFont val="Times New Roman"/>
        <family val="1"/>
      </rPr>
      <t>1</t>
    </r>
    <r>
      <rPr>
        <i/>
        <sz val="11"/>
        <rFont val="Times New Roman"/>
        <family val="1"/>
      </rPr>
      <t>=</t>
    </r>
  </si>
  <si>
    <r>
      <t>C</t>
    </r>
    <r>
      <rPr>
        <i/>
        <vertAlign val="subscript"/>
        <sz val="11"/>
        <rFont val="Times New Roman"/>
        <family val="1"/>
      </rPr>
      <t>o</t>
    </r>
    <r>
      <rPr>
        <i/>
        <sz val="11"/>
        <rFont val="Times New Roman"/>
        <family val="1"/>
      </rPr>
      <t>=</t>
    </r>
  </si>
  <si>
    <r>
      <t>kN/m</t>
    </r>
    <r>
      <rPr>
        <vertAlign val="superscript"/>
        <sz val="11"/>
        <rFont val="Times New Roman"/>
        <family val="1"/>
      </rPr>
      <t>2</t>
    </r>
  </si>
  <si>
    <r>
      <t>k</t>
    </r>
    <r>
      <rPr>
        <i/>
        <vertAlign val="subscript"/>
        <sz val="11"/>
        <rFont val="Times New Roman"/>
        <family val="1"/>
      </rPr>
      <t>C</t>
    </r>
    <r>
      <rPr>
        <i/>
        <sz val="11"/>
        <rFont val="Times New Roman"/>
        <family val="1"/>
      </rPr>
      <t>=</t>
    </r>
  </si>
  <si>
    <r>
      <t>kN/m</t>
    </r>
    <r>
      <rPr>
        <vertAlign val="superscript"/>
        <sz val="11"/>
        <rFont val="Times New Roman"/>
        <family val="1"/>
      </rPr>
      <t>3</t>
    </r>
  </si>
  <si>
    <r>
      <t>F</t>
    </r>
    <r>
      <rPr>
        <i/>
        <vertAlign val="subscript"/>
        <sz val="11"/>
        <rFont val="Times New Roman"/>
        <family val="1"/>
      </rPr>
      <t>s</t>
    </r>
    <r>
      <rPr>
        <i/>
        <sz val="11"/>
        <rFont val="Times New Roman"/>
        <family val="1"/>
      </rPr>
      <t>=</t>
    </r>
  </si>
  <si>
    <r>
      <t>E</t>
    </r>
    <r>
      <rPr>
        <i/>
        <vertAlign val="subscript"/>
        <sz val="11"/>
        <rFont val="Times New Roman"/>
        <family val="1"/>
      </rPr>
      <t>o</t>
    </r>
    <r>
      <rPr>
        <i/>
        <sz val="11"/>
        <rFont val="Times New Roman"/>
        <family val="1"/>
      </rPr>
      <t>=</t>
    </r>
  </si>
  <si>
    <r>
      <t>k</t>
    </r>
    <r>
      <rPr>
        <i/>
        <vertAlign val="subscript"/>
        <sz val="11"/>
        <rFont val="Times New Roman"/>
        <family val="1"/>
      </rPr>
      <t>E</t>
    </r>
    <r>
      <rPr>
        <i/>
        <sz val="11"/>
        <rFont val="Times New Roman"/>
        <family val="1"/>
      </rPr>
      <t>=</t>
    </r>
  </si>
  <si>
    <r>
      <t>kN/m</t>
    </r>
    <r>
      <rPr>
        <vertAlign val="superscript"/>
        <sz val="11"/>
        <rFont val="Times New Roman"/>
        <family val="1"/>
      </rPr>
      <t>3</t>
    </r>
  </si>
  <si>
    <r>
      <t>D</t>
    </r>
    <r>
      <rPr>
        <i/>
        <vertAlign val="subscript"/>
        <sz val="11"/>
        <rFont val="Times New Roman"/>
        <family val="1"/>
      </rPr>
      <t>f</t>
    </r>
    <r>
      <rPr>
        <i/>
        <sz val="11"/>
        <rFont val="Times New Roman"/>
        <family val="1"/>
      </rPr>
      <t>=</t>
    </r>
  </si>
  <si>
    <r>
      <t>kN/m</t>
    </r>
    <r>
      <rPr>
        <vertAlign val="superscript"/>
        <sz val="11"/>
        <rFont val="Times New Roman"/>
        <family val="1"/>
      </rPr>
      <t>3</t>
    </r>
  </si>
  <si>
    <r>
      <t>C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>=</t>
    </r>
  </si>
  <si>
    <r>
      <t>C</t>
    </r>
    <r>
      <rPr>
        <i/>
        <vertAlign val="subscript"/>
        <sz val="11"/>
        <rFont val="Times New Roman"/>
        <family val="1"/>
      </rPr>
      <t>m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>=</t>
    </r>
  </si>
  <si>
    <r>
      <t>q</t>
    </r>
    <r>
      <rPr>
        <i/>
        <vertAlign val="subscript"/>
        <sz val="11"/>
        <rFont val="Times New Roman"/>
        <family val="1"/>
      </rPr>
      <t>d</t>
    </r>
    <r>
      <rPr>
        <sz val="11"/>
        <rFont val="Times New Roman"/>
        <family val="1"/>
      </rPr>
      <t>=</t>
    </r>
  </si>
  <si>
    <r>
      <t>kN/m</t>
    </r>
    <r>
      <rPr>
        <vertAlign val="superscript"/>
        <sz val="11"/>
        <rFont val="Times New Roman"/>
        <family val="1"/>
      </rPr>
      <t>2</t>
    </r>
  </si>
  <si>
    <r>
      <t>θ</t>
    </r>
    <r>
      <rPr>
        <sz val="11"/>
        <rFont val="Times New Roman"/>
        <family val="1"/>
      </rPr>
      <t>=</t>
    </r>
  </si>
  <si>
    <r>
      <t>E</t>
    </r>
    <r>
      <rPr>
        <vertAlign val="subscript"/>
        <sz val="11"/>
        <rFont val="Times New Roman"/>
        <family val="1"/>
      </rPr>
      <t>0</t>
    </r>
  </si>
  <si>
    <t>地盤の換算変形係数は次式で求める．</t>
  </si>
  <si>
    <r>
      <t>　　　</t>
    </r>
    <r>
      <rPr>
        <i/>
        <sz val="11"/>
        <rFont val="Times New Roman"/>
        <family val="1"/>
      </rPr>
      <t>E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>'</t>
    </r>
    <r>
      <rPr>
        <sz val="11"/>
        <rFont val="ＭＳ 明朝"/>
        <family val="1"/>
      </rPr>
      <t>：換算変形係数</t>
    </r>
  </si>
  <si>
    <r>
      <t>　　　</t>
    </r>
    <r>
      <rPr>
        <i/>
        <sz val="11"/>
        <rFont val="Times New Roman"/>
        <family val="1"/>
      </rPr>
      <t>B</t>
    </r>
    <r>
      <rPr>
        <sz val="11"/>
        <rFont val="ＭＳ 明朝"/>
        <family val="1"/>
      </rPr>
      <t>：基礎幅</t>
    </r>
  </si>
  <si>
    <r>
      <t>　　　</t>
    </r>
    <r>
      <rPr>
        <i/>
        <sz val="11"/>
        <rFont val="Times New Roman"/>
        <family val="1"/>
      </rPr>
      <t>D</t>
    </r>
    <r>
      <rPr>
        <sz val="11"/>
        <rFont val="ＭＳ 明朝"/>
        <family val="1"/>
      </rPr>
      <t>：基礎の奥行き</t>
    </r>
  </si>
  <si>
    <r>
      <t>　　　</t>
    </r>
    <r>
      <rPr>
        <i/>
        <sz val="11"/>
        <rFont val="Times New Roman"/>
        <family val="1"/>
      </rPr>
      <t>h</t>
    </r>
    <r>
      <rPr>
        <i/>
        <vertAlign val="subscript"/>
        <sz val="11"/>
        <rFont val="Times New Roman"/>
        <family val="1"/>
      </rPr>
      <t>i</t>
    </r>
    <r>
      <rPr>
        <sz val="11"/>
        <rFont val="ＭＳ 明朝"/>
        <family val="1"/>
      </rPr>
      <t>：細分する各層底面までの深さ</t>
    </r>
  </si>
  <si>
    <r>
      <t>h</t>
    </r>
    <r>
      <rPr>
        <i/>
        <vertAlign val="subscript"/>
        <sz val="11"/>
        <rFont val="Times New Roman"/>
        <family val="1"/>
      </rPr>
      <t>i</t>
    </r>
    <r>
      <rPr>
        <sz val="11"/>
        <rFont val="Times New Roman"/>
        <family val="1"/>
      </rPr>
      <t>(m)</t>
    </r>
  </si>
  <si>
    <r>
      <t>E</t>
    </r>
    <r>
      <rPr>
        <vertAlign val="subscript"/>
        <sz val="11"/>
        <rFont val="Times New Roman"/>
        <family val="1"/>
      </rPr>
      <t>0i</t>
    </r>
    <r>
      <rPr>
        <sz val="11"/>
        <rFont val="Times New Roman"/>
        <family val="1"/>
      </rPr>
      <t>(kN/m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</t>
    </r>
  </si>
  <si>
    <r>
      <t>E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>'=</t>
    </r>
  </si>
  <si>
    <r>
      <t>kN/m</t>
    </r>
    <r>
      <rPr>
        <vertAlign val="superscript"/>
        <sz val="11"/>
        <rFont val="Times New Roman"/>
        <family val="1"/>
      </rPr>
      <t>2</t>
    </r>
  </si>
  <si>
    <r>
      <t>α</t>
    </r>
    <r>
      <rPr>
        <sz val="11"/>
        <rFont val="Times New Roman"/>
        <family val="1"/>
      </rPr>
      <t>=</t>
    </r>
  </si>
  <si>
    <r>
      <t>kN/m</t>
    </r>
    <r>
      <rPr>
        <vertAlign val="superscript"/>
        <sz val="11"/>
        <rFont val="Times New Roman"/>
        <family val="1"/>
      </rPr>
      <t>3</t>
    </r>
  </si>
  <si>
    <r>
      <t>kN/m</t>
    </r>
    <r>
      <rPr>
        <vertAlign val="superscript"/>
        <sz val="11"/>
        <rFont val="Times New Roman"/>
        <family val="1"/>
      </rPr>
      <t>3</t>
    </r>
  </si>
  <si>
    <t>層　厚</t>
  </si>
  <si>
    <t>B=</t>
  </si>
  <si>
    <t>rad</t>
  </si>
  <si>
    <t>軟弱地盤</t>
  </si>
  <si>
    <t>置換え土</t>
  </si>
  <si>
    <t>H=</t>
  </si>
  <si>
    <t>kN/m</t>
  </si>
  <si>
    <t>作用位置</t>
  </si>
  <si>
    <t>擁壁高</t>
  </si>
  <si>
    <t>底版幅</t>
  </si>
  <si>
    <t>底版奥行</t>
  </si>
  <si>
    <t>D=</t>
  </si>
  <si>
    <t>根入れ深</t>
  </si>
  <si>
    <t>層　厚</t>
  </si>
  <si>
    <t>支持力</t>
  </si>
  <si>
    <t>単位重量</t>
  </si>
  <si>
    <t>粘着力</t>
  </si>
  <si>
    <t>変形係数</t>
  </si>
  <si>
    <t>基礎幅</t>
  </si>
  <si>
    <t>鉛直荷重</t>
  </si>
  <si>
    <t>荷重位置</t>
  </si>
  <si>
    <t>d=</t>
  </si>
  <si>
    <t>偏心量</t>
  </si>
  <si>
    <t>e=</t>
  </si>
  <si>
    <t>m</t>
  </si>
  <si>
    <t>地盤のせん断破壊面の形状</t>
  </si>
  <si>
    <t>計算条件</t>
  </si>
  <si>
    <t>　　軟弱粘性土層</t>
  </si>
  <si>
    <t>単位体積重量</t>
  </si>
  <si>
    <t>基礎根入れ深さ</t>
  </si>
  <si>
    <t>置き換え土</t>
  </si>
  <si>
    <t>粘着力</t>
  </si>
  <si>
    <t>内部摩擦角</t>
  </si>
  <si>
    <t>rad</t>
  </si>
  <si>
    <t>支持力係数</t>
  </si>
  <si>
    <t>極限支持力度</t>
  </si>
  <si>
    <t>根入れ深</t>
  </si>
  <si>
    <t>荷重分散角</t>
  </si>
  <si>
    <t>置換土幅</t>
  </si>
  <si>
    <t>軟弱地盤</t>
  </si>
  <si>
    <t>置換え土</t>
  </si>
  <si>
    <t>安全率</t>
  </si>
  <si>
    <t>基礎幅</t>
  </si>
  <si>
    <t>置換え土</t>
  </si>
  <si>
    <t>個</t>
  </si>
  <si>
    <t>m</t>
  </si>
  <si>
    <t>基礎中央に作用する荷重</t>
  </si>
  <si>
    <t>鉛直力</t>
  </si>
  <si>
    <t>水平力</t>
  </si>
  <si>
    <t>モーメント</t>
  </si>
  <si>
    <t>kNm/m</t>
  </si>
  <si>
    <r>
      <t>m</t>
    </r>
    <r>
      <rPr>
        <sz val="11"/>
        <rFont val="ＭＳ 明朝"/>
        <family val="1"/>
      </rPr>
      <t>点の地盤反力度は次式で表される．</t>
    </r>
  </si>
  <si>
    <t>座標原点におけるつり合い条件を考慮すれば，</t>
  </si>
  <si>
    <t>上式を連立させて解けば，座標原点の変位が次のように求められる</t>
  </si>
  <si>
    <t>　　　θ：荷重の分散角</t>
  </si>
  <si>
    <t>地盤</t>
  </si>
  <si>
    <t>置換え土</t>
  </si>
  <si>
    <t>軟弱粘性土層</t>
  </si>
  <si>
    <t>換算変形係数</t>
  </si>
  <si>
    <t>鉛直地盤反力係数</t>
  </si>
  <si>
    <t>水平変位量</t>
  </si>
  <si>
    <t>水平変位量</t>
  </si>
  <si>
    <t>鉛直荷重</t>
  </si>
  <si>
    <t>水平荷重</t>
  </si>
  <si>
    <t>単位重量</t>
  </si>
  <si>
    <t>粘着力</t>
  </si>
  <si>
    <t>内部摩擦角</t>
  </si>
  <si>
    <t>度</t>
  </si>
  <si>
    <t>変形係数</t>
  </si>
  <si>
    <t>荷重分散角</t>
  </si>
  <si>
    <r>
      <t>(3)</t>
    </r>
    <r>
      <rPr>
        <sz val="11"/>
        <rFont val="ＭＳ 明朝"/>
        <family val="1"/>
      </rPr>
      <t>軟弱粘性土層</t>
    </r>
  </si>
  <si>
    <r>
      <t>(5)</t>
    </r>
    <r>
      <rPr>
        <sz val="11"/>
        <rFont val="ＭＳ 明朝"/>
        <family val="1"/>
      </rPr>
      <t>安全率</t>
    </r>
  </si>
  <si>
    <t>置換え厚</t>
  </si>
  <si>
    <t>基礎奥行き</t>
  </si>
  <si>
    <t>現地盤</t>
  </si>
  <si>
    <t>鉛直変位量</t>
  </si>
  <si>
    <r>
      <t>(4)</t>
    </r>
    <r>
      <rPr>
        <sz val="11"/>
        <rFont val="ＭＳ 明朝"/>
        <family val="1"/>
      </rPr>
      <t>置換え土</t>
    </r>
  </si>
  <si>
    <r>
      <t>c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=</t>
    </r>
  </si>
  <si>
    <r>
      <t>H</t>
    </r>
    <r>
      <rPr>
        <i/>
        <vertAlign val="subscript"/>
        <sz val="11"/>
        <rFont val="Times New Roman"/>
        <family val="1"/>
      </rPr>
      <t>W</t>
    </r>
    <r>
      <rPr>
        <i/>
        <sz val="11"/>
        <rFont val="Times New Roman"/>
        <family val="1"/>
      </rPr>
      <t>=</t>
    </r>
  </si>
  <si>
    <r>
      <t>q</t>
    </r>
    <r>
      <rPr>
        <vertAlign val="subscript"/>
        <sz val="11"/>
        <rFont val="Times New Roman"/>
        <family val="1"/>
      </rPr>
      <t>1</t>
    </r>
    <r>
      <rPr>
        <i/>
        <sz val="11"/>
        <rFont val="Times New Roman"/>
        <family val="1"/>
      </rPr>
      <t>=</t>
    </r>
  </si>
  <si>
    <r>
      <t>q</t>
    </r>
    <r>
      <rPr>
        <vertAlign val="subscript"/>
        <sz val="11"/>
        <rFont val="Times New Roman"/>
        <family val="1"/>
      </rPr>
      <t>2</t>
    </r>
    <r>
      <rPr>
        <i/>
        <sz val="11"/>
        <rFont val="Times New Roman"/>
        <family val="1"/>
      </rPr>
      <t>=</t>
    </r>
  </si>
  <si>
    <r>
      <t>γ</t>
    </r>
    <r>
      <rPr>
        <vertAlign val="subscript"/>
        <sz val="11"/>
        <rFont val="Times New Roman"/>
        <family val="1"/>
      </rPr>
      <t>1</t>
    </r>
    <r>
      <rPr>
        <i/>
        <sz val="11"/>
        <rFont val="Times New Roman"/>
        <family val="1"/>
      </rPr>
      <t>=</t>
    </r>
  </si>
  <si>
    <r>
      <t>kN/m</t>
    </r>
    <r>
      <rPr>
        <vertAlign val="superscript"/>
        <sz val="11"/>
        <rFont val="Times New Roman"/>
        <family val="1"/>
      </rPr>
      <t>3</t>
    </r>
  </si>
  <si>
    <r>
      <t>γ</t>
    </r>
    <r>
      <rPr>
        <vertAlign val="subscript"/>
        <sz val="11"/>
        <rFont val="Times New Roman"/>
        <family val="1"/>
      </rPr>
      <t>2</t>
    </r>
    <r>
      <rPr>
        <i/>
        <sz val="11"/>
        <rFont val="Times New Roman"/>
        <family val="1"/>
      </rPr>
      <t>=</t>
    </r>
  </si>
  <si>
    <r>
      <t>kN/m</t>
    </r>
    <r>
      <rPr>
        <vertAlign val="superscript"/>
        <sz val="11"/>
        <rFont val="Times New Roman"/>
        <family val="1"/>
      </rPr>
      <t>2</t>
    </r>
  </si>
  <si>
    <r>
      <t>k</t>
    </r>
    <r>
      <rPr>
        <i/>
        <vertAlign val="subscript"/>
        <sz val="11"/>
        <rFont val="Times New Roman"/>
        <family val="1"/>
      </rPr>
      <t>E</t>
    </r>
  </si>
  <si>
    <r>
      <t>kN/m</t>
    </r>
    <r>
      <rPr>
        <vertAlign val="superscript"/>
        <sz val="11"/>
        <rFont val="Times New Roman"/>
        <family val="1"/>
      </rPr>
      <t>3</t>
    </r>
  </si>
  <si>
    <r>
      <t>分割数</t>
    </r>
    <r>
      <rPr>
        <i/>
        <sz val="11"/>
        <rFont val="Times New Roman"/>
        <family val="1"/>
      </rPr>
      <t>N</t>
    </r>
  </si>
  <si>
    <r>
      <t>Δ</t>
    </r>
    <r>
      <rPr>
        <i/>
        <sz val="11"/>
        <rFont val="Times New Roman"/>
        <family val="1"/>
      </rPr>
      <t>h</t>
    </r>
  </si>
  <si>
    <r>
      <t>V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>=</t>
    </r>
  </si>
  <si>
    <r>
      <t>H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>=</t>
    </r>
  </si>
  <si>
    <r>
      <t>M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>=</t>
    </r>
  </si>
  <si>
    <r>
      <t>V</t>
    </r>
    <r>
      <rPr>
        <vertAlign val="subscript"/>
        <sz val="11"/>
        <rFont val="Times New Roman"/>
        <family val="1"/>
      </rPr>
      <t>0</t>
    </r>
    <r>
      <rPr>
        <vertAlign val="subscript"/>
        <sz val="11"/>
        <rFont val="ＭＳ 明朝"/>
        <family val="1"/>
      </rPr>
      <t>･</t>
    </r>
    <r>
      <rPr>
        <i/>
        <sz val="11"/>
        <rFont val="Times New Roman"/>
        <family val="1"/>
      </rPr>
      <t>e</t>
    </r>
    <r>
      <rPr>
        <sz val="11"/>
        <rFont val="Times New Roman"/>
        <family val="1"/>
      </rPr>
      <t>=</t>
    </r>
  </si>
  <si>
    <r>
      <t>鉛直方向の地盤反力係数を</t>
    </r>
    <r>
      <rPr>
        <sz val="11"/>
        <rFont val="Times New Roman"/>
        <family val="1"/>
      </rPr>
      <t>k</t>
    </r>
    <r>
      <rPr>
        <vertAlign val="subscript"/>
        <sz val="11"/>
        <rFont val="Times New Roman"/>
        <family val="1"/>
      </rPr>
      <t>V</t>
    </r>
    <r>
      <rPr>
        <sz val="11"/>
        <rFont val="ＭＳ 明朝"/>
        <family val="1"/>
      </rPr>
      <t>，せん断地盤反力係数を</t>
    </r>
    <r>
      <rPr>
        <sz val="11"/>
        <rFont val="Times New Roman"/>
        <family val="1"/>
      </rPr>
      <t>k</t>
    </r>
    <r>
      <rPr>
        <vertAlign val="subscript"/>
        <sz val="11"/>
        <rFont val="Times New Roman"/>
        <family val="1"/>
      </rPr>
      <t>S</t>
    </r>
    <r>
      <rPr>
        <sz val="11"/>
        <rFont val="ＭＳ 明朝"/>
        <family val="1"/>
      </rPr>
      <t>とすれば，</t>
    </r>
  </si>
  <si>
    <r>
      <t>　　</t>
    </r>
    <r>
      <rPr>
        <i/>
        <sz val="11"/>
        <rFont val="ＭＳ 明朝"/>
        <family val="1"/>
      </rPr>
      <t>　</t>
    </r>
    <r>
      <rPr>
        <i/>
        <sz val="11"/>
        <rFont val="Times New Roman"/>
        <family val="1"/>
      </rPr>
      <t>h</t>
    </r>
    <r>
      <rPr>
        <i/>
        <vertAlign val="subscript"/>
        <sz val="11"/>
        <rFont val="Times New Roman"/>
        <family val="1"/>
      </rPr>
      <t>n</t>
    </r>
    <r>
      <rPr>
        <sz val="11"/>
        <rFont val="ＭＳ 明朝"/>
        <family val="1"/>
      </rPr>
      <t>：沈下の影響深さ</t>
    </r>
  </si>
  <si>
    <r>
      <t>　　　</t>
    </r>
    <r>
      <rPr>
        <i/>
        <sz val="11"/>
        <rFont val="Times New Roman"/>
        <family val="1"/>
      </rPr>
      <t>E</t>
    </r>
    <r>
      <rPr>
        <vertAlign val="subscript"/>
        <sz val="11"/>
        <rFont val="Times New Roman"/>
        <family val="1"/>
      </rPr>
      <t>0i</t>
    </r>
    <r>
      <rPr>
        <sz val="11"/>
        <rFont val="ＭＳ 明朝"/>
        <family val="1"/>
      </rPr>
      <t>：細分した</t>
    </r>
    <r>
      <rPr>
        <sz val="11"/>
        <rFont val="Times New Roman"/>
        <family val="1"/>
      </rPr>
      <t>i</t>
    </r>
    <r>
      <rPr>
        <sz val="11"/>
        <rFont val="ＭＳ 明朝"/>
        <family val="1"/>
      </rPr>
      <t>番目の層の変形係数</t>
    </r>
  </si>
  <si>
    <r>
      <t>∑</t>
    </r>
    <r>
      <rPr>
        <sz val="11"/>
        <rFont val="Times New Roman"/>
        <family val="1"/>
      </rPr>
      <t>=</t>
    </r>
  </si>
  <si>
    <t>kN/m</t>
  </si>
  <si>
    <t>単位重量</t>
  </si>
  <si>
    <t>m</t>
  </si>
  <si>
    <t>内部摩擦角</t>
  </si>
  <si>
    <t>度</t>
  </si>
  <si>
    <t>m</t>
  </si>
  <si>
    <t>荷重分散角</t>
  </si>
  <si>
    <t>置換え幅</t>
  </si>
  <si>
    <t>m</t>
  </si>
  <si>
    <r>
      <t>kN/m</t>
    </r>
    <r>
      <rPr>
        <vertAlign val="superscript"/>
        <sz val="11"/>
        <rFont val="Times New Roman"/>
        <family val="1"/>
      </rPr>
      <t>3</t>
    </r>
  </si>
  <si>
    <r>
      <t>kN/m</t>
    </r>
    <r>
      <rPr>
        <vertAlign val="superscript"/>
        <sz val="11"/>
        <rFont val="Times New Roman"/>
        <family val="1"/>
      </rPr>
      <t>2</t>
    </r>
  </si>
  <si>
    <t>◆インプットデータ</t>
  </si>
  <si>
    <r>
      <t>θ</t>
    </r>
    <r>
      <rPr>
        <sz val="11"/>
        <rFont val="Times New Roman"/>
        <family val="1"/>
      </rPr>
      <t>=</t>
    </r>
  </si>
  <si>
    <t>支持力の安全率</t>
  </si>
  <si>
    <r>
      <t>地盤反力度</t>
    </r>
    <r>
      <rPr>
        <sz val="11"/>
        <rFont val="Times New Roman"/>
        <family val="1"/>
      </rPr>
      <t>(kN/m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</t>
    </r>
  </si>
  <si>
    <r>
      <t>極限支持力度</t>
    </r>
    <r>
      <rPr>
        <sz val="11"/>
        <rFont val="Times New Roman"/>
        <family val="1"/>
      </rPr>
      <t>(kN/m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</t>
    </r>
  </si>
  <si>
    <t>評　　価</t>
  </si>
  <si>
    <r>
      <t>許容支持力度</t>
    </r>
    <r>
      <rPr>
        <sz val="11"/>
        <rFont val="Times New Roman"/>
        <family val="1"/>
      </rPr>
      <t>(kN/m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</t>
    </r>
  </si>
  <si>
    <t>◆支持力の計算結果</t>
  </si>
  <si>
    <t>◆弾性変位量の計算結果</t>
  </si>
  <si>
    <t>δH=</t>
  </si>
  <si>
    <t>H=</t>
  </si>
  <si>
    <t>(1)荷重</t>
  </si>
  <si>
    <t>(2)基礎寸法</t>
  </si>
  <si>
    <t>(3)軟弱粘性土層</t>
  </si>
  <si>
    <t>２．置き換え土の支持力</t>
  </si>
  <si>
    <t>(1)地盤反力度</t>
  </si>
  <si>
    <t>(2)極限支持力度</t>
  </si>
  <si>
    <t>(3)安全率</t>
  </si>
  <si>
    <t>３．軟弱粘性土層の支持力</t>
  </si>
  <si>
    <t>４．弾性変位量の計算</t>
  </si>
  <si>
    <t>(1)計算条件</t>
  </si>
  <si>
    <t>(2)計算式</t>
  </si>
  <si>
    <t>(3)地盤の換算変形係数</t>
  </si>
  <si>
    <t>(4)地盤反力係数</t>
  </si>
  <si>
    <t>(5)基礎底面中心位置での変位量</t>
  </si>
  <si>
    <t>(6)擁壁天端での変位量</t>
  </si>
  <si>
    <t>(4)置換え土</t>
  </si>
  <si>
    <t>(5)安全率</t>
  </si>
  <si>
    <r>
      <t>軟弱粘性土層を無視し，置き換え土のみとし</t>
    </r>
    <r>
      <rPr>
        <sz val="11"/>
        <rFont val="Times New Roman"/>
        <family val="1"/>
      </rPr>
      <t>Terzaghi</t>
    </r>
    <r>
      <rPr>
        <sz val="11"/>
        <rFont val="ＭＳ 明朝"/>
        <family val="1"/>
      </rPr>
      <t>系支持力公式により算定する．</t>
    </r>
  </si>
  <si>
    <r>
      <t>支持力係数の内，</t>
    </r>
    <r>
      <rPr>
        <i/>
        <sz val="11"/>
        <rFont val="Times New Roman"/>
        <family val="1"/>
      </rPr>
      <t>N</t>
    </r>
    <r>
      <rPr>
        <i/>
        <vertAlign val="subscript"/>
        <sz val="11"/>
        <rFont val="Times New Roman"/>
        <family val="1"/>
      </rPr>
      <t>c</t>
    </r>
    <r>
      <rPr>
        <sz val="11"/>
        <rFont val="ＭＳ 明朝"/>
        <family val="1"/>
      </rPr>
      <t>は</t>
    </r>
    <r>
      <rPr>
        <sz val="11"/>
        <rFont val="Times New Roman"/>
        <family val="1"/>
      </rPr>
      <t>Prandtl</t>
    </r>
    <r>
      <rPr>
        <sz val="11"/>
        <rFont val="ＭＳ 明朝"/>
        <family val="1"/>
      </rPr>
      <t>，</t>
    </r>
    <r>
      <rPr>
        <i/>
        <sz val="11"/>
        <rFont val="Times New Roman"/>
        <family val="1"/>
      </rPr>
      <t>N</t>
    </r>
    <r>
      <rPr>
        <i/>
        <vertAlign val="subscript"/>
        <sz val="11"/>
        <rFont val="Times New Roman"/>
        <family val="1"/>
      </rPr>
      <t>q</t>
    </r>
    <r>
      <rPr>
        <sz val="11"/>
        <rFont val="ＭＳ 明朝"/>
        <family val="1"/>
      </rPr>
      <t>は</t>
    </r>
    <r>
      <rPr>
        <sz val="11"/>
        <rFont val="Times New Roman"/>
        <family val="1"/>
      </rPr>
      <t>Reisner</t>
    </r>
    <r>
      <rPr>
        <sz val="11"/>
        <rFont val="ＭＳ 明朝"/>
        <family val="1"/>
      </rPr>
      <t>，</t>
    </r>
    <r>
      <rPr>
        <i/>
        <sz val="11"/>
        <rFont val="Times New Roman"/>
        <family val="1"/>
      </rPr>
      <t>N</t>
    </r>
    <r>
      <rPr>
        <i/>
        <vertAlign val="subscript"/>
        <sz val="11"/>
        <rFont val="Symbol"/>
        <family val="1"/>
      </rPr>
      <t>g</t>
    </r>
    <r>
      <rPr>
        <sz val="11"/>
        <rFont val="ＭＳ 明朝"/>
        <family val="1"/>
      </rPr>
      <t>は</t>
    </r>
    <r>
      <rPr>
        <sz val="11"/>
        <rFont val="Times New Roman"/>
        <family val="1"/>
      </rPr>
      <t>Vesic</t>
    </r>
    <r>
      <rPr>
        <sz val="11"/>
        <rFont val="ＭＳ 明朝"/>
        <family val="1"/>
      </rPr>
      <t>の提案式を採用する．</t>
    </r>
  </si>
  <si>
    <r>
      <t>地盤支持力は二層系地盤とした右城式</t>
    </r>
    <r>
      <rPr>
        <sz val="11"/>
        <rFont val="Times New Roman"/>
        <family val="1"/>
      </rPr>
      <t>(</t>
    </r>
    <r>
      <rPr>
        <sz val="11"/>
        <rFont val="ＭＳ 明朝"/>
        <family val="1"/>
      </rPr>
      <t>続・擁壁の設計法と計算例，理工図書</t>
    </r>
    <r>
      <rPr>
        <sz val="11"/>
        <rFont val="Times New Roman"/>
        <family val="1"/>
      </rPr>
      <t>)</t>
    </r>
    <r>
      <rPr>
        <sz val="11"/>
        <rFont val="ＭＳ 明朝"/>
        <family val="1"/>
      </rPr>
      <t>による．</t>
    </r>
  </si>
  <si>
    <t>度</t>
  </si>
  <si>
    <t>Hc=</t>
  </si>
  <si>
    <t>E0'</t>
  </si>
  <si>
    <t>基礎の弾性変位量は，道路橋示方書Ⅳ下部構造編に準じて計算する．</t>
  </si>
  <si>
    <r>
      <t>h</t>
    </r>
    <r>
      <rPr>
        <i/>
        <vertAlign val="subscript"/>
        <sz val="11"/>
        <rFont val="Times New Roman"/>
        <family val="1"/>
      </rPr>
      <t>n</t>
    </r>
    <r>
      <rPr>
        <i/>
        <sz val="11"/>
        <rFont val="Times New Roman"/>
        <family val="1"/>
      </rPr>
      <t>=</t>
    </r>
  </si>
  <si>
    <r>
      <t>c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=</t>
    </r>
  </si>
  <si>
    <r>
      <t>φ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=</t>
    </r>
  </si>
  <si>
    <r>
      <t>kc</t>
    </r>
    <r>
      <rPr>
        <sz val="11"/>
        <rFont val="Times New Roman"/>
        <family val="1"/>
      </rPr>
      <t>=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</si>
</sst>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0"/>
    <numFmt numFmtId="178" formatCode="0.000000"/>
    <numFmt numFmtId="179" formatCode="0.0000"/>
    <numFmt numFmtId="180" formatCode="0.0"/>
    <numFmt numFmtId="181" formatCode="0.0000000"/>
    <numFmt numFmtId="182" formatCode="0.00000000"/>
    <numFmt numFmtId="183" formatCode="0.00_);[Red]\(0.00\)"/>
    <numFmt numFmtId="184" formatCode="0.0_);[Red]\(0.0\)"/>
    <numFmt numFmtId="185" formatCode="0.000_);[Red]\(0.000\)"/>
    <numFmt numFmtId="186" formatCode="0.0_ "/>
    <numFmt numFmtId="187" formatCode="0.00000_);[Red]\(0.000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3">
    <font>
      <sz val="11"/>
      <name val="ＭＳ 明朝"/>
      <family val="1"/>
    </font>
    <font>
      <sz val="6"/>
      <name val="ＭＳ Ｐ明朝"/>
      <family val="1"/>
    </font>
    <font>
      <sz val="11"/>
      <name val="Times New Roman"/>
      <family val="1"/>
    </font>
    <font>
      <i/>
      <sz val="11"/>
      <name val="Times New Roman"/>
      <family val="1"/>
    </font>
    <font>
      <vertAlign val="subscript"/>
      <sz val="11"/>
      <name val="Times New Roman"/>
      <family val="1"/>
    </font>
    <font>
      <sz val="11"/>
      <name val="ＭＳ Ｐ明朝"/>
      <family val="1"/>
    </font>
    <font>
      <vertAlign val="superscript"/>
      <sz val="11"/>
      <name val="Times New Roman"/>
      <family val="1"/>
    </font>
    <font>
      <i/>
      <vertAlign val="subscript"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53"/>
      <name val="Times New Roman"/>
      <family val="1"/>
    </font>
    <font>
      <i/>
      <sz val="11"/>
      <name val="ＭＳ 明朝"/>
      <family val="1"/>
    </font>
    <font>
      <vertAlign val="subscript"/>
      <sz val="11"/>
      <name val="ＭＳ 明朝"/>
      <family val="1"/>
    </font>
    <font>
      <sz val="11"/>
      <name val="ＭＳ Ｐゴシック"/>
      <family val="3"/>
    </font>
    <font>
      <i/>
      <vertAlign val="subscript"/>
      <sz val="11"/>
      <name val="Symbol"/>
      <family val="1"/>
    </font>
    <font>
      <sz val="14"/>
      <color indexed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4"/>
      <color indexed="6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180" fontId="2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179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180" fontId="2" fillId="0" borderId="0" xfId="0" applyNumberFormat="1" applyFont="1" applyFill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right" vertical="center"/>
    </xf>
    <xf numFmtId="2" fontId="2" fillId="0" borderId="13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2" fillId="0" borderId="19" xfId="0" applyFont="1" applyFill="1" applyBorder="1" applyAlignment="1">
      <alignment horizontal="center" vertical="center"/>
    </xf>
    <xf numFmtId="180" fontId="2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vertical="center"/>
    </xf>
    <xf numFmtId="2" fontId="2" fillId="0" borderId="18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/>
    </xf>
    <xf numFmtId="0" fontId="0" fillId="0" borderId="18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horizontal="left" vertical="center"/>
    </xf>
    <xf numFmtId="2" fontId="2" fillId="0" borderId="0" xfId="0" applyNumberFormat="1" applyFont="1" applyFill="1" applyBorder="1" applyAlignment="1" applyProtection="1">
      <alignment horizontal="center"/>
      <protection locked="0"/>
    </xf>
    <xf numFmtId="180" fontId="2" fillId="0" borderId="18" xfId="0" applyNumberFormat="1" applyFont="1" applyFill="1" applyBorder="1" applyAlignment="1" applyProtection="1">
      <alignment horizontal="center" vertical="center"/>
      <protection locked="0"/>
    </xf>
    <xf numFmtId="2" fontId="2" fillId="0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33" borderId="18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18" xfId="0" applyFont="1" applyFill="1" applyBorder="1" applyAlignment="1">
      <alignment vertical="center"/>
    </xf>
    <xf numFmtId="1" fontId="2" fillId="33" borderId="18" xfId="0" applyNumberFormat="1" applyFont="1" applyFill="1" applyBorder="1" applyAlignment="1">
      <alignment horizontal="center" vertical="center"/>
    </xf>
    <xf numFmtId="180" fontId="2" fillId="33" borderId="18" xfId="0" applyNumberFormat="1" applyFont="1" applyFill="1" applyBorder="1" applyAlignment="1">
      <alignment horizontal="center" vertical="center"/>
    </xf>
    <xf numFmtId="180" fontId="8" fillId="33" borderId="0" xfId="0" applyNumberFormat="1" applyFont="1" applyFill="1" applyAlignment="1">
      <alignment horizontal="left" vertical="center"/>
    </xf>
    <xf numFmtId="180" fontId="2" fillId="33" borderId="0" xfId="0" applyNumberFormat="1" applyFont="1" applyFill="1" applyAlignment="1">
      <alignment vertical="center"/>
    </xf>
    <xf numFmtId="0" fontId="8" fillId="33" borderId="0" xfId="0" applyFont="1" applyFill="1" applyAlignment="1">
      <alignment vertical="center"/>
    </xf>
    <xf numFmtId="177" fontId="8" fillId="33" borderId="0" xfId="0" applyNumberFormat="1" applyFont="1" applyFill="1" applyAlignment="1">
      <alignment horizontal="left" vertical="center"/>
    </xf>
    <xf numFmtId="2" fontId="8" fillId="33" borderId="0" xfId="0" applyNumberFormat="1" applyFont="1" applyFill="1" applyAlignment="1">
      <alignment horizontal="left" vertical="center"/>
    </xf>
    <xf numFmtId="0" fontId="2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right" vertical="center"/>
    </xf>
    <xf numFmtId="0" fontId="3" fillId="33" borderId="0" xfId="0" applyFont="1" applyFill="1" applyAlignment="1">
      <alignment horizontal="right" vertical="center"/>
    </xf>
    <xf numFmtId="0" fontId="3" fillId="33" borderId="0" xfId="0" applyFont="1" applyFill="1" applyBorder="1" applyAlignment="1">
      <alignment horizontal="right" vertical="center"/>
    </xf>
    <xf numFmtId="0" fontId="10" fillId="33" borderId="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right" vertical="center" shrinkToFit="1"/>
    </xf>
    <xf numFmtId="0" fontId="0" fillId="33" borderId="0" xfId="0" applyFont="1" applyFill="1" applyAlignment="1">
      <alignment vertical="center"/>
    </xf>
    <xf numFmtId="176" fontId="2" fillId="33" borderId="0" xfId="0" applyNumberFormat="1" applyFont="1" applyFill="1" applyBorder="1" applyAlignment="1">
      <alignment horizontal="center" vertical="center"/>
    </xf>
    <xf numFmtId="2" fontId="2" fillId="33" borderId="0" xfId="0" applyNumberFormat="1" applyFont="1" applyFill="1" applyAlignment="1">
      <alignment vertical="center"/>
    </xf>
    <xf numFmtId="0" fontId="2" fillId="33" borderId="0" xfId="0" applyFont="1" applyFill="1" applyBorder="1" applyAlignment="1">
      <alignment horizontal="right" vertical="center"/>
    </xf>
    <xf numFmtId="2" fontId="2" fillId="33" borderId="0" xfId="0" applyNumberFormat="1" applyFont="1" applyFill="1" applyBorder="1" applyAlignment="1">
      <alignment horizontal="right" vertical="center"/>
    </xf>
    <xf numFmtId="180" fontId="2" fillId="33" borderId="0" xfId="0" applyNumberFormat="1" applyFont="1" applyFill="1" applyBorder="1" applyAlignment="1">
      <alignment horizontal="right" vertical="center"/>
    </xf>
    <xf numFmtId="176" fontId="2" fillId="33" borderId="0" xfId="0" applyNumberFormat="1" applyFont="1" applyFill="1" applyAlignment="1">
      <alignment vertical="center"/>
    </xf>
    <xf numFmtId="0" fontId="8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2" fontId="2" fillId="33" borderId="0" xfId="0" applyNumberFormat="1" applyFont="1" applyFill="1" applyBorder="1" applyAlignment="1">
      <alignment horizontal="center" vertical="center"/>
    </xf>
    <xf numFmtId="176" fontId="2" fillId="33" borderId="0" xfId="0" applyNumberFormat="1" applyFont="1" applyFill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4" fillId="33" borderId="0" xfId="0" applyFont="1" applyFill="1" applyAlignment="1">
      <alignment horizontal="left" vertical="center"/>
    </xf>
    <xf numFmtId="0" fontId="5" fillId="33" borderId="18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vertical="center"/>
    </xf>
    <xf numFmtId="0" fontId="5" fillId="33" borderId="18" xfId="0" applyFont="1" applyFill="1" applyBorder="1" applyAlignment="1">
      <alignment horizontal="center" vertical="center" shrinkToFit="1"/>
    </xf>
    <xf numFmtId="0" fontId="0" fillId="33" borderId="18" xfId="0" applyFill="1" applyBorder="1" applyAlignment="1">
      <alignment horizontal="center" vertical="center" shrinkToFit="1"/>
    </xf>
    <xf numFmtId="2" fontId="2" fillId="33" borderId="18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 vertical="center"/>
    </xf>
    <xf numFmtId="180" fontId="2" fillId="0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23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 shrinkToFit="1"/>
    </xf>
    <xf numFmtId="0" fontId="15" fillId="34" borderId="0" xfId="0" applyFont="1" applyFill="1" applyBorder="1" applyAlignment="1" applyProtection="1">
      <alignment vertical="center"/>
      <protection/>
    </xf>
    <xf numFmtId="0" fontId="0" fillId="34" borderId="0" xfId="0" applyFill="1" applyBorder="1" applyAlignment="1">
      <alignment/>
    </xf>
    <xf numFmtId="0" fontId="0" fillId="34" borderId="0" xfId="0" applyFill="1" applyBorder="1" applyAlignment="1" applyProtection="1">
      <alignment vertical="center"/>
      <protection/>
    </xf>
    <xf numFmtId="0" fontId="0" fillId="34" borderId="0" xfId="0" applyFill="1" applyBorder="1" applyAlignment="1">
      <alignment vertical="center" wrapText="1"/>
    </xf>
    <xf numFmtId="0" fontId="0" fillId="34" borderId="0" xfId="0" applyFill="1" applyBorder="1" applyAlignment="1">
      <alignment vertical="center"/>
    </xf>
    <xf numFmtId="0" fontId="12" fillId="34" borderId="0" xfId="0" applyFont="1" applyFill="1" applyBorder="1" applyAlignment="1">
      <alignment vertical="center" shrinkToFit="1"/>
    </xf>
    <xf numFmtId="49" fontId="18" fillId="34" borderId="0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Relationship Id="rId2" Type="http://schemas.openxmlformats.org/officeDocument/2006/relationships/image" Target="../media/image21.emf" /><Relationship Id="rId3" Type="http://schemas.openxmlformats.org/officeDocument/2006/relationships/image" Target="../media/image22.emf" /><Relationship Id="rId4" Type="http://schemas.openxmlformats.org/officeDocument/2006/relationships/image" Target="../media/image23.emf" /><Relationship Id="rId5" Type="http://schemas.openxmlformats.org/officeDocument/2006/relationships/image" Target="../media/image24.emf" /><Relationship Id="rId6" Type="http://schemas.openxmlformats.org/officeDocument/2006/relationships/image" Target="../media/image25.emf" /><Relationship Id="rId7" Type="http://schemas.openxmlformats.org/officeDocument/2006/relationships/image" Target="../media/image26.emf" /><Relationship Id="rId8" Type="http://schemas.openxmlformats.org/officeDocument/2006/relationships/image" Target="../media/image27.emf" /><Relationship Id="rId9" Type="http://schemas.openxmlformats.org/officeDocument/2006/relationships/image" Target="../media/image28.emf" /><Relationship Id="rId10" Type="http://schemas.openxmlformats.org/officeDocument/2006/relationships/image" Target="../media/image29.emf" /><Relationship Id="rId11" Type="http://schemas.openxmlformats.org/officeDocument/2006/relationships/image" Target="../media/image30.emf" /><Relationship Id="rId12" Type="http://schemas.openxmlformats.org/officeDocument/2006/relationships/image" Target="../media/image31.emf" /><Relationship Id="rId13" Type="http://schemas.openxmlformats.org/officeDocument/2006/relationships/image" Target="../media/image32.emf" /><Relationship Id="rId14" Type="http://schemas.openxmlformats.org/officeDocument/2006/relationships/image" Target="../media/image33.emf" /><Relationship Id="rId15" Type="http://schemas.openxmlformats.org/officeDocument/2006/relationships/image" Target="../media/image34.emf" /><Relationship Id="rId16" Type="http://schemas.openxmlformats.org/officeDocument/2006/relationships/image" Target="../media/image35.emf" /><Relationship Id="rId17" Type="http://schemas.openxmlformats.org/officeDocument/2006/relationships/image" Target="../media/image36.emf" /><Relationship Id="rId18" Type="http://schemas.openxmlformats.org/officeDocument/2006/relationships/image" Target="../media/image37.emf" /><Relationship Id="rId19" Type="http://schemas.openxmlformats.org/officeDocument/2006/relationships/image" Target="../media/image38.emf" /><Relationship Id="rId20" Type="http://schemas.openxmlformats.org/officeDocument/2006/relationships/image" Target="../media/image39.emf" /><Relationship Id="rId21" Type="http://schemas.openxmlformats.org/officeDocument/2006/relationships/image" Target="../media/image40.emf" /><Relationship Id="rId22" Type="http://schemas.openxmlformats.org/officeDocument/2006/relationships/image" Target="../media/image41.emf" /><Relationship Id="rId23" Type="http://schemas.openxmlformats.org/officeDocument/2006/relationships/image" Target="../media/image42.emf" /><Relationship Id="rId24" Type="http://schemas.openxmlformats.org/officeDocument/2006/relationships/image" Target="../media/image43.emf" /><Relationship Id="rId25" Type="http://schemas.openxmlformats.org/officeDocument/2006/relationships/image" Target="../media/image44.emf" /><Relationship Id="rId26" Type="http://schemas.openxmlformats.org/officeDocument/2006/relationships/image" Target="../media/image45.emf" /><Relationship Id="rId27" Type="http://schemas.openxmlformats.org/officeDocument/2006/relationships/image" Target="../media/image46.emf" /><Relationship Id="rId28" Type="http://schemas.openxmlformats.org/officeDocument/2006/relationships/image" Target="../media/image47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7.emf" /><Relationship Id="rId17" Type="http://schemas.openxmlformats.org/officeDocument/2006/relationships/image" Target="../media/image18.emf" /><Relationship Id="rId18" Type="http://schemas.openxmlformats.org/officeDocument/2006/relationships/image" Target="../media/image19.emf" /><Relationship Id="rId19" Type="http://schemas.openxmlformats.org/officeDocument/2006/relationships/image" Target="../media/image7.emf" /><Relationship Id="rId20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209550</xdr:rowOff>
    </xdr:from>
    <xdr:to>
      <xdr:col>10</xdr:col>
      <xdr:colOff>390525</xdr:colOff>
      <xdr:row>17</xdr:row>
      <xdr:rowOff>142875</xdr:rowOff>
    </xdr:to>
    <xdr:pic>
      <xdr:nvPicPr>
        <xdr:cNvPr id="1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09550"/>
          <a:ext cx="8486775" cy="381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11</xdr:row>
      <xdr:rowOff>142875</xdr:rowOff>
    </xdr:from>
    <xdr:to>
      <xdr:col>16</xdr:col>
      <xdr:colOff>247650</xdr:colOff>
      <xdr:row>27</xdr:row>
      <xdr:rowOff>219075</xdr:rowOff>
    </xdr:to>
    <xdr:pic>
      <xdr:nvPicPr>
        <xdr:cNvPr id="2" name="Picture 2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0" y="2657475"/>
          <a:ext cx="3629025" cy="3733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647700</xdr:colOff>
      <xdr:row>160</xdr:row>
      <xdr:rowOff>38100</xdr:rowOff>
    </xdr:from>
    <xdr:to>
      <xdr:col>10</xdr:col>
      <xdr:colOff>200025</xdr:colOff>
      <xdr:row>172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6614100"/>
          <a:ext cx="6886575" cy="2819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176</xdr:row>
      <xdr:rowOff>95250</xdr:rowOff>
    </xdr:from>
    <xdr:to>
      <xdr:col>4</xdr:col>
      <xdr:colOff>400050</xdr:colOff>
      <xdr:row>178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40328850"/>
          <a:ext cx="2400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181</xdr:row>
      <xdr:rowOff>123825</xdr:rowOff>
    </xdr:from>
    <xdr:to>
      <xdr:col>10</xdr:col>
      <xdr:colOff>152400</xdr:colOff>
      <xdr:row>187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1075" y="41500425"/>
          <a:ext cx="65055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189</xdr:row>
      <xdr:rowOff>142875</xdr:rowOff>
    </xdr:from>
    <xdr:to>
      <xdr:col>6</xdr:col>
      <xdr:colOff>609600</xdr:colOff>
      <xdr:row>191</xdr:row>
      <xdr:rowOff>142875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47725" y="43348275"/>
          <a:ext cx="4162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571500</xdr:colOff>
      <xdr:row>196</xdr:row>
      <xdr:rowOff>190500</xdr:rowOff>
    </xdr:from>
    <xdr:to>
      <xdr:col>4</xdr:col>
      <xdr:colOff>180975</xdr:colOff>
      <xdr:row>198</xdr:row>
      <xdr:rowOff>95250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8350" y="44996100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733425</xdr:colOff>
      <xdr:row>62</xdr:row>
      <xdr:rowOff>123825</xdr:rowOff>
    </xdr:from>
    <xdr:to>
      <xdr:col>9</xdr:col>
      <xdr:colOff>714375</xdr:colOff>
      <xdr:row>70</xdr:row>
      <xdr:rowOff>66675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66850" y="14297025"/>
          <a:ext cx="584835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466725</xdr:colOff>
      <xdr:row>88</xdr:row>
      <xdr:rowOff>0</xdr:rowOff>
    </xdr:from>
    <xdr:to>
      <xdr:col>4</xdr:col>
      <xdr:colOff>714375</xdr:colOff>
      <xdr:row>89</xdr:row>
      <xdr:rowOff>57150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33575" y="20116800"/>
          <a:ext cx="1714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438150</xdr:colOff>
      <xdr:row>86</xdr:row>
      <xdr:rowOff>9525</xdr:rowOff>
    </xdr:from>
    <xdr:to>
      <xdr:col>4</xdr:col>
      <xdr:colOff>628650</xdr:colOff>
      <xdr:row>87</xdr:row>
      <xdr:rowOff>66675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05000" y="19669125"/>
          <a:ext cx="16573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466725</xdr:colOff>
      <xdr:row>83</xdr:row>
      <xdr:rowOff>123825</xdr:rowOff>
    </xdr:from>
    <xdr:to>
      <xdr:col>6</xdr:col>
      <xdr:colOff>247650</xdr:colOff>
      <xdr:row>85</xdr:row>
      <xdr:rowOff>171450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933575" y="19097625"/>
          <a:ext cx="2714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90</xdr:row>
      <xdr:rowOff>9525</xdr:rowOff>
    </xdr:from>
    <xdr:to>
      <xdr:col>6</xdr:col>
      <xdr:colOff>523875</xdr:colOff>
      <xdr:row>92</xdr:row>
      <xdr:rowOff>9525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295525" y="20583525"/>
          <a:ext cx="2628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92</xdr:row>
      <xdr:rowOff>114300</xdr:rowOff>
    </xdr:from>
    <xdr:to>
      <xdr:col>4</xdr:col>
      <xdr:colOff>219075</xdr:colOff>
      <xdr:row>94</xdr:row>
      <xdr:rowOff>142875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619250" y="21145500"/>
          <a:ext cx="1533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132</xdr:row>
      <xdr:rowOff>95250</xdr:rowOff>
    </xdr:from>
    <xdr:to>
      <xdr:col>5</xdr:col>
      <xdr:colOff>104775</xdr:colOff>
      <xdr:row>134</xdr:row>
      <xdr:rowOff>123825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219325" y="30270450"/>
          <a:ext cx="1552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561975</xdr:colOff>
      <xdr:row>195</xdr:row>
      <xdr:rowOff>9525</xdr:rowOff>
    </xdr:from>
    <xdr:to>
      <xdr:col>4</xdr:col>
      <xdr:colOff>533400</xdr:colOff>
      <xdr:row>196</xdr:row>
      <xdr:rowOff>47625</xdr:rowOff>
    </xdr:to>
    <xdr:pic>
      <xdr:nvPicPr>
        <xdr:cNvPr id="13" name="Picture 1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28825" y="44586525"/>
          <a:ext cx="14382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180975</xdr:colOff>
      <xdr:row>267</xdr:row>
      <xdr:rowOff>209550</xdr:rowOff>
    </xdr:from>
    <xdr:to>
      <xdr:col>4</xdr:col>
      <xdr:colOff>447675</xdr:colOff>
      <xdr:row>269</xdr:row>
      <xdr:rowOff>9525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381250" y="61245750"/>
          <a:ext cx="1000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581025</xdr:colOff>
      <xdr:row>270</xdr:row>
      <xdr:rowOff>47625</xdr:rowOff>
    </xdr:from>
    <xdr:to>
      <xdr:col>6</xdr:col>
      <xdr:colOff>209550</xdr:colOff>
      <xdr:row>272</xdr:row>
      <xdr:rowOff>123825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781300" y="61769625"/>
          <a:ext cx="18288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619125</xdr:colOff>
      <xdr:row>272</xdr:row>
      <xdr:rowOff>142875</xdr:rowOff>
    </xdr:from>
    <xdr:to>
      <xdr:col>5</xdr:col>
      <xdr:colOff>19050</xdr:colOff>
      <xdr:row>274</xdr:row>
      <xdr:rowOff>85725</xdr:rowOff>
    </xdr:to>
    <xdr:pic>
      <xdr:nvPicPr>
        <xdr:cNvPr id="16" name="Picture 1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19400" y="62322075"/>
          <a:ext cx="8667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342900</xdr:colOff>
      <xdr:row>276</xdr:row>
      <xdr:rowOff>142875</xdr:rowOff>
    </xdr:from>
    <xdr:to>
      <xdr:col>3</xdr:col>
      <xdr:colOff>476250</xdr:colOff>
      <xdr:row>278</xdr:row>
      <xdr:rowOff>114300</xdr:rowOff>
    </xdr:to>
    <xdr:pic>
      <xdr:nvPicPr>
        <xdr:cNvPr id="17" name="Picture 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809750" y="63236475"/>
          <a:ext cx="866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278</xdr:row>
      <xdr:rowOff>161925</xdr:rowOff>
    </xdr:from>
    <xdr:to>
      <xdr:col>3</xdr:col>
      <xdr:colOff>400050</xdr:colOff>
      <xdr:row>280</xdr:row>
      <xdr:rowOff>133350</xdr:rowOff>
    </xdr:to>
    <xdr:pic>
      <xdr:nvPicPr>
        <xdr:cNvPr id="18" name="Picture 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752600" y="63712725"/>
          <a:ext cx="8477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280</xdr:row>
      <xdr:rowOff>152400</xdr:rowOff>
    </xdr:from>
    <xdr:to>
      <xdr:col>3</xdr:col>
      <xdr:colOff>485775</xdr:colOff>
      <xdr:row>282</xdr:row>
      <xdr:rowOff>123825</xdr:rowOff>
    </xdr:to>
    <xdr:pic>
      <xdr:nvPicPr>
        <xdr:cNvPr id="19" name="Picture 2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743075" y="64160400"/>
          <a:ext cx="942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285</xdr:row>
      <xdr:rowOff>9525</xdr:rowOff>
    </xdr:from>
    <xdr:to>
      <xdr:col>3</xdr:col>
      <xdr:colOff>666750</xdr:colOff>
      <xdr:row>286</xdr:row>
      <xdr:rowOff>19050</xdr:rowOff>
    </xdr:to>
    <xdr:pic>
      <xdr:nvPicPr>
        <xdr:cNvPr id="20" name="Picture 2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619250" y="65160525"/>
          <a:ext cx="1247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286</xdr:row>
      <xdr:rowOff>152400</xdr:rowOff>
    </xdr:from>
    <xdr:to>
      <xdr:col>3</xdr:col>
      <xdr:colOff>619125</xdr:colOff>
      <xdr:row>288</xdr:row>
      <xdr:rowOff>95250</xdr:rowOff>
    </xdr:to>
    <xdr:pic>
      <xdr:nvPicPr>
        <xdr:cNvPr id="21" name="Picture 2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562100" y="65532000"/>
          <a:ext cx="12573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99</xdr:row>
      <xdr:rowOff>57150</xdr:rowOff>
    </xdr:from>
    <xdr:to>
      <xdr:col>8</xdr:col>
      <xdr:colOff>628650</xdr:colOff>
      <xdr:row>110</xdr:row>
      <xdr:rowOff>171450</xdr:rowOff>
    </xdr:to>
    <xdr:pic>
      <xdr:nvPicPr>
        <xdr:cNvPr id="22" name="Picture 2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04800" y="22688550"/>
          <a:ext cx="6191250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619125</xdr:colOff>
      <xdr:row>114</xdr:row>
      <xdr:rowOff>47625</xdr:rowOff>
    </xdr:from>
    <xdr:to>
      <xdr:col>4</xdr:col>
      <xdr:colOff>619125</xdr:colOff>
      <xdr:row>119</xdr:row>
      <xdr:rowOff>95250</xdr:rowOff>
    </xdr:to>
    <xdr:pic>
      <xdr:nvPicPr>
        <xdr:cNvPr id="23" name="Picture 2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352550" y="26108025"/>
          <a:ext cx="22002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275</xdr:row>
      <xdr:rowOff>28575</xdr:rowOff>
    </xdr:from>
    <xdr:to>
      <xdr:col>10</xdr:col>
      <xdr:colOff>180975</xdr:colOff>
      <xdr:row>288</xdr:row>
      <xdr:rowOff>19050</xdr:rowOff>
    </xdr:to>
    <xdr:pic>
      <xdr:nvPicPr>
        <xdr:cNvPr id="24" name="Picture 28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505325" y="62893575"/>
          <a:ext cx="3009900" cy="2962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213</xdr:row>
      <xdr:rowOff>133350</xdr:rowOff>
    </xdr:from>
    <xdr:to>
      <xdr:col>10</xdr:col>
      <xdr:colOff>381000</xdr:colOff>
      <xdr:row>229</xdr:row>
      <xdr:rowOff>171450</xdr:rowOff>
    </xdr:to>
    <xdr:pic>
      <xdr:nvPicPr>
        <xdr:cNvPr id="25" name="Picture 3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09550" y="48825150"/>
          <a:ext cx="7505700" cy="3695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</xdr:row>
      <xdr:rowOff>66675</xdr:rowOff>
    </xdr:from>
    <xdr:to>
      <xdr:col>10</xdr:col>
      <xdr:colOff>400050</xdr:colOff>
      <xdr:row>15</xdr:row>
      <xdr:rowOff>219075</xdr:rowOff>
    </xdr:to>
    <xdr:pic>
      <xdr:nvPicPr>
        <xdr:cNvPr id="26" name="Picture 3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23825" y="295275"/>
          <a:ext cx="7610475" cy="3352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111</xdr:row>
      <xdr:rowOff>0</xdr:rowOff>
    </xdr:from>
    <xdr:to>
      <xdr:col>6</xdr:col>
      <xdr:colOff>666750</xdr:colOff>
      <xdr:row>112</xdr:row>
      <xdr:rowOff>152400</xdr:rowOff>
    </xdr:to>
    <xdr:pic>
      <xdr:nvPicPr>
        <xdr:cNvPr id="27" name="Picture 3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028700" y="25374600"/>
          <a:ext cx="40386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200</xdr:row>
      <xdr:rowOff>142875</xdr:rowOff>
    </xdr:from>
    <xdr:to>
      <xdr:col>5</xdr:col>
      <xdr:colOff>619125</xdr:colOff>
      <xdr:row>204</xdr:row>
      <xdr:rowOff>57150</xdr:rowOff>
    </xdr:to>
    <xdr:pic>
      <xdr:nvPicPr>
        <xdr:cNvPr id="28" name="Picture 34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066800" y="45862875"/>
          <a:ext cx="32194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36</xdr:row>
      <xdr:rowOff>171450</xdr:rowOff>
    </xdr:from>
    <xdr:to>
      <xdr:col>9</xdr:col>
      <xdr:colOff>247650</xdr:colOff>
      <xdr:row>50</xdr:row>
      <xdr:rowOff>190500</xdr:rowOff>
    </xdr:to>
    <xdr:pic>
      <xdr:nvPicPr>
        <xdr:cNvPr id="29" name="Picture 35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638175" y="8401050"/>
          <a:ext cx="6210300" cy="3219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S498"/>
  <sheetViews>
    <sheetView showGridLines="0" showZeros="0" tabSelected="1" zoomScale="75" zoomScaleNormal="75" zoomScalePageLayoutView="0" workbookViewId="0" topLeftCell="A31">
      <selection activeCell="H39" sqref="H39:I39"/>
    </sheetView>
  </sheetViews>
  <sheetFormatPr defaultColWidth="8.796875" defaultRowHeight="18" customHeight="1"/>
  <cols>
    <col min="1" max="1" width="7" style="68" customWidth="1"/>
    <col min="2" max="39" width="8.8984375" style="68" customWidth="1"/>
    <col min="40" max="40" width="4.796875" style="68" customWidth="1"/>
    <col min="41" max="41" width="3.69921875" style="68" customWidth="1"/>
    <col min="42" max="42" width="8.8984375" style="68" customWidth="1"/>
    <col min="43" max="43" width="7.69921875" style="68" customWidth="1"/>
    <col min="44" max="44" width="3.09765625" style="68" customWidth="1"/>
    <col min="45" max="16384" width="8.8984375" style="68" customWidth="1"/>
  </cols>
  <sheetData>
    <row r="1" ht="18" customHeight="1">
      <c r="A1" s="67" t="s">
        <v>198</v>
      </c>
    </row>
    <row r="2" ht="18" customHeight="1">
      <c r="M2" s="69" t="s">
        <v>205</v>
      </c>
    </row>
    <row r="3" spans="13:16" ht="18" customHeight="1">
      <c r="M3" s="104"/>
      <c r="N3" s="104"/>
      <c r="O3" s="70" t="s">
        <v>94</v>
      </c>
      <c r="P3" s="70" t="s">
        <v>93</v>
      </c>
    </row>
    <row r="4" spans="13:16" ht="18" customHeight="1">
      <c r="M4" s="105" t="s">
        <v>201</v>
      </c>
      <c r="N4" s="106"/>
      <c r="O4" s="107">
        <f>MAX('計算'!E58,'計算'!H58)</f>
        <v>130.52314814814815</v>
      </c>
      <c r="P4" s="103"/>
    </row>
    <row r="5" spans="13:16" ht="18" customHeight="1">
      <c r="M5" s="105" t="s">
        <v>202</v>
      </c>
      <c r="N5" s="106"/>
      <c r="O5" s="71">
        <f>'計算'!H91</f>
        <v>1625.4185548759037</v>
      </c>
      <c r="P5" s="71">
        <f>'計算'!E132</f>
        <v>476.06940740441377</v>
      </c>
    </row>
    <row r="6" spans="13:16" ht="18" customHeight="1">
      <c r="M6" s="105" t="s">
        <v>204</v>
      </c>
      <c r="N6" s="106"/>
      <c r="O6" s="71">
        <f>O5/$I$29</f>
        <v>541.8061849586346</v>
      </c>
      <c r="P6" s="71">
        <f>P5/$I$29</f>
        <v>158.6898024681379</v>
      </c>
    </row>
    <row r="7" spans="13:16" ht="18" customHeight="1">
      <c r="M7" s="105" t="s">
        <v>200</v>
      </c>
      <c r="N7" s="106"/>
      <c r="O7" s="72">
        <f>O5/O4</f>
        <v>12.453105659319519</v>
      </c>
      <c r="P7" s="72">
        <f>P5/O4</f>
        <v>3.6473944595947</v>
      </c>
    </row>
    <row r="8" spans="13:16" ht="18" customHeight="1">
      <c r="M8" s="102" t="s">
        <v>203</v>
      </c>
      <c r="N8" s="103"/>
      <c r="O8" s="66" t="str">
        <f>IF(O7&gt;=$I$29,"SAFE","OUT")</f>
        <v>SAFE</v>
      </c>
      <c r="P8" s="66" t="str">
        <f>IF(P7&gt;=$I$29,"SAFE","OUT")</f>
        <v>SAFE</v>
      </c>
    </row>
    <row r="10" ht="18" customHeight="1">
      <c r="M10" s="69" t="s">
        <v>206</v>
      </c>
    </row>
    <row r="11" spans="41:43" ht="18" customHeight="1">
      <c r="AO11" s="69" t="s">
        <v>207</v>
      </c>
      <c r="AP11" s="73">
        <f>'計算'!E286</f>
        <v>9</v>
      </c>
      <c r="AQ11" s="68" t="s">
        <v>12</v>
      </c>
    </row>
    <row r="12" spans="40:42" ht="18" customHeight="1">
      <c r="AN12" s="69" t="s">
        <v>11</v>
      </c>
      <c r="AO12" s="73">
        <f>'計算'!E288</f>
        <v>4.7</v>
      </c>
      <c r="AP12" s="68" t="s">
        <v>12</v>
      </c>
    </row>
    <row r="13" spans="18:45" ht="18" customHeight="1">
      <c r="R13" s="74"/>
      <c r="AO13" s="75"/>
      <c r="AQ13" s="69" t="s">
        <v>8</v>
      </c>
      <c r="AR13" s="76">
        <f>'計算'!E282</f>
        <v>0.00236</v>
      </c>
      <c r="AS13" s="68" t="s">
        <v>92</v>
      </c>
    </row>
    <row r="14" spans="40:42" ht="18" customHeight="1">
      <c r="AN14" s="69" t="s">
        <v>208</v>
      </c>
      <c r="AO14" s="77">
        <f>D25</f>
        <v>3</v>
      </c>
      <c r="AP14" s="68" t="s">
        <v>3</v>
      </c>
    </row>
    <row r="15" spans="8:42" ht="18" customHeight="1">
      <c r="H15" s="78"/>
      <c r="I15" s="78"/>
      <c r="J15" s="78"/>
      <c r="K15" s="78"/>
      <c r="L15" s="78"/>
      <c r="AN15" s="69" t="s">
        <v>91</v>
      </c>
      <c r="AO15" s="79">
        <f>B</f>
        <v>1.8</v>
      </c>
      <c r="AP15" s="78" t="s">
        <v>3</v>
      </c>
    </row>
    <row r="16" spans="8:11" ht="18" customHeight="1">
      <c r="H16" s="78"/>
      <c r="I16" s="78"/>
      <c r="J16" s="78"/>
      <c r="K16" s="78"/>
    </row>
    <row r="17" spans="8:11" ht="18" customHeight="1">
      <c r="H17" s="78"/>
      <c r="I17" s="78"/>
      <c r="J17" s="78"/>
      <c r="K17" s="78"/>
    </row>
    <row r="18" spans="8:11" ht="18" customHeight="1">
      <c r="H18" s="78"/>
      <c r="I18" s="78"/>
      <c r="J18" s="78"/>
      <c r="K18" s="78"/>
    </row>
    <row r="19" spans="8:11" ht="18" customHeight="1">
      <c r="H19" s="78"/>
      <c r="I19" s="78"/>
      <c r="J19" s="78"/>
      <c r="K19" s="78"/>
    </row>
    <row r="20" spans="1:11" ht="18" customHeight="1">
      <c r="A20" s="68" t="s">
        <v>52</v>
      </c>
      <c r="F20" s="68" t="s">
        <v>166</v>
      </c>
      <c r="H20" s="78"/>
      <c r="I20" s="78"/>
      <c r="J20" s="78"/>
      <c r="K20" s="78"/>
    </row>
    <row r="21" spans="2:11" ht="18" customHeight="1">
      <c r="B21" s="80" t="s">
        <v>152</v>
      </c>
      <c r="C21" s="81" t="s">
        <v>15</v>
      </c>
      <c r="D21" s="54">
        <v>128.15</v>
      </c>
      <c r="E21" s="68" t="s">
        <v>16</v>
      </c>
      <c r="G21" s="80" t="s">
        <v>90</v>
      </c>
      <c r="H21" s="82" t="s">
        <v>17</v>
      </c>
      <c r="I21" s="64">
        <v>2</v>
      </c>
      <c r="J21" s="78" t="s">
        <v>21</v>
      </c>
      <c r="K21" s="78"/>
    </row>
    <row r="22" spans="2:10" ht="18" customHeight="1">
      <c r="B22" s="80" t="s">
        <v>153</v>
      </c>
      <c r="C22" s="81" t="s">
        <v>95</v>
      </c>
      <c r="D22" s="54">
        <v>32.52</v>
      </c>
      <c r="E22" s="68" t="s">
        <v>96</v>
      </c>
      <c r="G22" s="80" t="s">
        <v>154</v>
      </c>
      <c r="H22" s="83" t="s">
        <v>53</v>
      </c>
      <c r="I22" s="65">
        <v>20</v>
      </c>
      <c r="J22" s="84" t="s">
        <v>7</v>
      </c>
    </row>
    <row r="23" spans="2:15" ht="18" customHeight="1">
      <c r="B23" s="80" t="s">
        <v>97</v>
      </c>
      <c r="C23" s="81" t="s">
        <v>18</v>
      </c>
      <c r="D23" s="54">
        <v>0.65</v>
      </c>
      <c r="E23" s="68" t="s">
        <v>19</v>
      </c>
      <c r="G23" s="80" t="s">
        <v>155</v>
      </c>
      <c r="H23" s="81" t="s">
        <v>167</v>
      </c>
      <c r="I23" s="64">
        <v>10</v>
      </c>
      <c r="J23" s="84" t="s">
        <v>63</v>
      </c>
      <c r="K23" s="85"/>
      <c r="L23" s="90"/>
      <c r="M23" s="86"/>
      <c r="O23" s="86"/>
    </row>
    <row r="24" spans="1:15" ht="18" customHeight="1">
      <c r="A24" s="68" t="s">
        <v>54</v>
      </c>
      <c r="B24" s="85"/>
      <c r="D24" s="86"/>
      <c r="G24" s="87" t="s">
        <v>156</v>
      </c>
      <c r="H24" s="80" t="s">
        <v>55</v>
      </c>
      <c r="I24" s="65">
        <v>35</v>
      </c>
      <c r="J24" s="88" t="s">
        <v>157</v>
      </c>
      <c r="K24" s="85"/>
      <c r="L24" s="90"/>
      <c r="M24" s="86"/>
      <c r="O24" s="86"/>
    </row>
    <row r="25" spans="2:16" ht="18" customHeight="1">
      <c r="B25" s="80" t="s">
        <v>98</v>
      </c>
      <c r="C25" s="82" t="s">
        <v>168</v>
      </c>
      <c r="D25" s="54">
        <v>3</v>
      </c>
      <c r="E25" s="68" t="s">
        <v>4</v>
      </c>
      <c r="G25" s="80" t="s">
        <v>158</v>
      </c>
      <c r="H25" s="82" t="s">
        <v>58</v>
      </c>
      <c r="I25" s="65">
        <f>700*30</f>
        <v>21000</v>
      </c>
      <c r="J25" s="84" t="s">
        <v>59</v>
      </c>
      <c r="K25" s="91"/>
      <c r="L25" s="92"/>
      <c r="M25" s="86"/>
      <c r="N25" s="78"/>
      <c r="O25" s="86"/>
      <c r="P25" s="78"/>
    </row>
    <row r="26" spans="2:16" ht="18" customHeight="1">
      <c r="B26" s="80" t="s">
        <v>99</v>
      </c>
      <c r="C26" s="81" t="s">
        <v>0</v>
      </c>
      <c r="D26" s="54">
        <v>1.8</v>
      </c>
      <c r="E26" s="68" t="s">
        <v>5</v>
      </c>
      <c r="G26" s="87" t="s">
        <v>159</v>
      </c>
      <c r="H26" s="80" t="s">
        <v>199</v>
      </c>
      <c r="I26" s="65">
        <v>30</v>
      </c>
      <c r="J26" s="88" t="s">
        <v>157</v>
      </c>
      <c r="K26" s="91"/>
      <c r="L26" s="93"/>
      <c r="M26" s="78"/>
      <c r="N26" s="78"/>
      <c r="O26" s="78"/>
      <c r="P26" s="78"/>
    </row>
    <row r="27" spans="2:16" ht="18" customHeight="1">
      <c r="B27" s="80" t="s">
        <v>100</v>
      </c>
      <c r="C27" s="81" t="s">
        <v>101</v>
      </c>
      <c r="D27" s="54">
        <v>10</v>
      </c>
      <c r="E27" s="68" t="s">
        <v>5</v>
      </c>
      <c r="G27" s="80" t="s">
        <v>23</v>
      </c>
      <c r="H27" s="81" t="s">
        <v>24</v>
      </c>
      <c r="I27" s="64">
        <f>ROUND(I21*TAN(I26*PI()/180)*2+B,2)</f>
        <v>4.11</v>
      </c>
      <c r="J27" s="68" t="s">
        <v>25</v>
      </c>
      <c r="K27" s="91"/>
      <c r="L27" s="93"/>
      <c r="M27" s="78"/>
      <c r="N27" s="78"/>
      <c r="O27" s="78"/>
      <c r="P27" s="78"/>
    </row>
    <row r="28" spans="2:16" ht="18" customHeight="1">
      <c r="B28" s="80" t="s">
        <v>102</v>
      </c>
      <c r="C28" s="81" t="s">
        <v>57</v>
      </c>
      <c r="D28" s="64">
        <v>0.5</v>
      </c>
      <c r="E28" s="68" t="s">
        <v>20</v>
      </c>
      <c r="F28" s="68" t="s">
        <v>161</v>
      </c>
      <c r="G28" s="85"/>
      <c r="H28" s="81"/>
      <c r="I28" s="89"/>
      <c r="K28" s="85"/>
      <c r="L28" s="94"/>
      <c r="M28" s="95"/>
      <c r="N28" s="78"/>
      <c r="O28" s="78"/>
      <c r="P28" s="78"/>
    </row>
    <row r="29" spans="1:16" ht="18" customHeight="1">
      <c r="A29" s="68" t="s">
        <v>160</v>
      </c>
      <c r="B29" s="85"/>
      <c r="D29" s="86"/>
      <c r="G29" s="80" t="s">
        <v>104</v>
      </c>
      <c r="H29" s="82" t="s">
        <v>66</v>
      </c>
      <c r="I29" s="63">
        <v>3</v>
      </c>
      <c r="K29" s="85"/>
      <c r="L29" s="94"/>
      <c r="M29" s="78"/>
      <c r="N29" s="78"/>
      <c r="O29" s="78"/>
      <c r="P29" s="78"/>
    </row>
    <row r="30" spans="2:14" ht="18" customHeight="1">
      <c r="B30" s="80" t="s">
        <v>103</v>
      </c>
      <c r="C30" s="82" t="s">
        <v>60</v>
      </c>
      <c r="D30" s="64">
        <v>5</v>
      </c>
      <c r="E30" s="78" t="s">
        <v>21</v>
      </c>
      <c r="L30" s="78"/>
      <c r="M30" s="78"/>
      <c r="N30" s="78"/>
    </row>
    <row r="31" spans="2:16" ht="18" customHeight="1">
      <c r="B31" s="80" t="s">
        <v>105</v>
      </c>
      <c r="C31" s="83" t="s">
        <v>61</v>
      </c>
      <c r="D31" s="65">
        <v>18</v>
      </c>
      <c r="E31" s="84" t="s">
        <v>7</v>
      </c>
      <c r="J31" s="78"/>
      <c r="L31" s="78"/>
      <c r="M31" s="78"/>
      <c r="N31" s="78"/>
      <c r="O31" s="78"/>
      <c r="P31" s="78"/>
    </row>
    <row r="32" spans="2:16" ht="18" customHeight="1">
      <c r="B32" s="80" t="s">
        <v>106</v>
      </c>
      <c r="C32" s="82" t="s">
        <v>62</v>
      </c>
      <c r="D32" s="63">
        <v>13</v>
      </c>
      <c r="E32" s="84" t="s">
        <v>63</v>
      </c>
      <c r="J32" s="78"/>
      <c r="L32" s="78"/>
      <c r="M32" s="78"/>
      <c r="N32" s="78"/>
      <c r="O32" s="78"/>
      <c r="P32" s="78"/>
    </row>
    <row r="33" spans="2:16" ht="18" customHeight="1">
      <c r="B33" s="85"/>
      <c r="C33" s="82" t="s">
        <v>64</v>
      </c>
      <c r="D33" s="65">
        <v>5.6</v>
      </c>
      <c r="E33" s="84" t="s">
        <v>65</v>
      </c>
      <c r="F33" s="78"/>
      <c r="J33" s="78"/>
      <c r="L33" s="78"/>
      <c r="M33" s="78"/>
      <c r="N33" s="78"/>
      <c r="O33" s="78"/>
      <c r="P33" s="78"/>
    </row>
    <row r="34" spans="2:10" ht="18" customHeight="1">
      <c r="B34" s="80" t="s">
        <v>107</v>
      </c>
      <c r="C34" s="82" t="s">
        <v>67</v>
      </c>
      <c r="D34" s="65">
        <v>10000</v>
      </c>
      <c r="E34" s="84" t="s">
        <v>59</v>
      </c>
      <c r="F34" s="78"/>
      <c r="G34" s="96"/>
      <c r="H34" s="78"/>
      <c r="J34" s="78"/>
    </row>
    <row r="35" spans="2:10" ht="18" customHeight="1">
      <c r="B35" s="85"/>
      <c r="C35" s="82" t="s">
        <v>68</v>
      </c>
      <c r="D35" s="65">
        <v>20</v>
      </c>
      <c r="E35" s="84" t="s">
        <v>69</v>
      </c>
      <c r="F35" s="101"/>
      <c r="G35" s="78"/>
      <c r="H35" s="78"/>
      <c r="J35" s="78"/>
    </row>
    <row r="36" spans="1:11" ht="18" customHeight="1">
      <c r="A36" s="78"/>
      <c r="B36" s="78"/>
      <c r="C36" s="78"/>
      <c r="D36" s="78"/>
      <c r="E36" s="78"/>
      <c r="H36" s="78"/>
      <c r="J36" s="78"/>
      <c r="K36" s="78"/>
    </row>
    <row r="37" spans="1:11" ht="18" customHeight="1">
      <c r="A37" s="78"/>
      <c r="B37" s="78"/>
      <c r="C37" s="78"/>
      <c r="D37" s="78"/>
      <c r="E37" s="78"/>
      <c r="F37" s="96"/>
      <c r="H37" s="78"/>
      <c r="J37" s="78"/>
      <c r="K37" s="78"/>
    </row>
    <row r="38" spans="1:11" ht="18" customHeight="1">
      <c r="A38" s="78"/>
      <c r="B38" s="78"/>
      <c r="C38" s="78"/>
      <c r="D38" s="78"/>
      <c r="E38" s="78"/>
      <c r="F38" s="96"/>
      <c r="H38" s="78"/>
      <c r="J38" s="78"/>
      <c r="K38" s="78"/>
    </row>
    <row r="39" spans="1:8" ht="18" customHeight="1">
      <c r="A39" s="123"/>
      <c r="B39" s="123"/>
      <c r="C39" s="123"/>
      <c r="D39" s="123"/>
      <c r="E39" s="123"/>
      <c r="F39" s="122"/>
      <c r="G39" s="78"/>
      <c r="H39" s="122"/>
    </row>
    <row r="40" spans="1:7" ht="18" customHeight="1">
      <c r="A40" s="124"/>
      <c r="B40" s="125"/>
      <c r="C40" s="126"/>
      <c r="D40" s="126"/>
      <c r="E40" s="126"/>
      <c r="F40" s="122"/>
      <c r="G40" s="78"/>
    </row>
    <row r="41" spans="1:7" ht="33" customHeight="1">
      <c r="A41" s="127"/>
      <c r="B41" s="127"/>
      <c r="C41" s="127"/>
      <c r="D41" s="127"/>
      <c r="E41" s="127"/>
      <c r="F41" s="122"/>
      <c r="G41" s="78"/>
    </row>
    <row r="42" spans="1:7" ht="18" customHeight="1">
      <c r="A42" s="128"/>
      <c r="B42" s="125"/>
      <c r="C42" s="128"/>
      <c r="D42" s="128"/>
      <c r="E42" s="128"/>
      <c r="F42" s="122"/>
      <c r="G42" s="78"/>
    </row>
    <row r="43" spans="1:7" ht="18" customHeight="1">
      <c r="A43" s="129"/>
      <c r="B43" s="130"/>
      <c r="C43" s="128"/>
      <c r="D43" s="128"/>
      <c r="E43" s="128"/>
      <c r="F43" s="122"/>
      <c r="G43" s="78"/>
    </row>
    <row r="44" spans="1:7" ht="18" customHeight="1">
      <c r="A44" s="129"/>
      <c r="B44" s="130"/>
      <c r="C44" s="128"/>
      <c r="D44" s="128"/>
      <c r="E44" s="128"/>
      <c r="F44" s="122"/>
      <c r="G44" s="78"/>
    </row>
    <row r="45" spans="1:6" ht="18" customHeight="1">
      <c r="A45" s="78"/>
      <c r="B45" s="78"/>
      <c r="C45" s="78"/>
      <c r="D45" s="78"/>
      <c r="E45" s="78"/>
      <c r="F45" s="78"/>
    </row>
    <row r="143" spans="12:18" ht="18" customHeight="1">
      <c r="L143" s="96"/>
      <c r="M143" s="96"/>
      <c r="N143" s="96"/>
      <c r="O143" s="96"/>
      <c r="P143" s="96"/>
      <c r="Q143" s="96"/>
      <c r="R143" s="96"/>
    </row>
    <row r="144" spans="12:18" ht="18" customHeight="1">
      <c r="L144" s="89"/>
      <c r="M144" s="89"/>
      <c r="N144" s="89"/>
      <c r="O144" s="89"/>
      <c r="P144" s="89"/>
      <c r="Q144" s="89"/>
      <c r="R144" s="89"/>
    </row>
    <row r="145" spans="12:18" ht="18" customHeight="1">
      <c r="L145" s="89"/>
      <c r="M145" s="89"/>
      <c r="N145" s="89"/>
      <c r="O145" s="89"/>
      <c r="P145" s="89"/>
      <c r="Q145" s="89"/>
      <c r="R145" s="89"/>
    </row>
    <row r="146" spans="13:18" ht="18" customHeight="1">
      <c r="M146" s="89"/>
      <c r="N146" s="89"/>
      <c r="O146" s="89"/>
      <c r="P146" s="89"/>
      <c r="Q146" s="89"/>
      <c r="R146" s="89"/>
    </row>
    <row r="147" spans="13:18" ht="18" customHeight="1">
      <c r="M147" s="89"/>
      <c r="N147" s="89"/>
      <c r="O147" s="89"/>
      <c r="P147" s="89"/>
      <c r="Q147" s="89"/>
      <c r="R147" s="89"/>
    </row>
    <row r="148" spans="13:18" ht="18" customHeight="1">
      <c r="M148" s="89"/>
      <c r="N148" s="89"/>
      <c r="O148" s="89"/>
      <c r="P148" s="89"/>
      <c r="Q148" s="89"/>
      <c r="R148" s="89"/>
    </row>
    <row r="149" spans="13:18" ht="18" customHeight="1">
      <c r="M149" s="89"/>
      <c r="N149" s="89"/>
      <c r="O149" s="89"/>
      <c r="P149" s="89"/>
      <c r="Q149" s="89"/>
      <c r="R149" s="89"/>
    </row>
    <row r="150" spans="13:18" ht="18" customHeight="1">
      <c r="M150" s="89"/>
      <c r="N150" s="89"/>
      <c r="O150" s="89"/>
      <c r="P150" s="89"/>
      <c r="Q150" s="89"/>
      <c r="R150" s="89"/>
    </row>
    <row r="151" spans="13:18" ht="18" customHeight="1">
      <c r="M151" s="89"/>
      <c r="N151" s="89"/>
      <c r="O151" s="89"/>
      <c r="P151" s="89"/>
      <c r="Q151" s="89"/>
      <c r="R151" s="89"/>
    </row>
    <row r="152" spans="13:18" ht="18" customHeight="1">
      <c r="M152" s="89"/>
      <c r="N152" s="89"/>
      <c r="O152" s="89"/>
      <c r="P152" s="89"/>
      <c r="Q152" s="89"/>
      <c r="R152" s="89"/>
    </row>
    <row r="153" spans="13:18" ht="18" customHeight="1">
      <c r="M153" s="89"/>
      <c r="N153" s="89"/>
      <c r="O153" s="89"/>
      <c r="P153" s="89"/>
      <c r="Q153" s="89"/>
      <c r="R153" s="89"/>
    </row>
    <row r="154" spans="13:18" ht="18" customHeight="1">
      <c r="M154" s="89"/>
      <c r="N154" s="89"/>
      <c r="O154" s="89"/>
      <c r="P154" s="89"/>
      <c r="Q154" s="89"/>
      <c r="R154" s="89"/>
    </row>
    <row r="157" ht="18" customHeight="1">
      <c r="L157" s="96"/>
    </row>
    <row r="158" ht="18" customHeight="1">
      <c r="L158" s="89"/>
    </row>
    <row r="159" ht="18" customHeight="1">
      <c r="L159" s="89"/>
    </row>
    <row r="160" spans="11:12" ht="18" customHeight="1">
      <c r="K160" s="96"/>
      <c r="L160" s="89"/>
    </row>
    <row r="161" spans="11:12" ht="18" customHeight="1">
      <c r="K161" s="89"/>
      <c r="L161" s="89"/>
    </row>
    <row r="162" spans="11:12" ht="18" customHeight="1">
      <c r="K162" s="89"/>
      <c r="L162" s="89"/>
    </row>
    <row r="163" spans="11:12" ht="18" customHeight="1">
      <c r="K163" s="89"/>
      <c r="L163" s="89"/>
    </row>
    <row r="164" spans="11:12" ht="18" customHeight="1">
      <c r="K164" s="89"/>
      <c r="L164" s="89"/>
    </row>
    <row r="165" spans="11:12" ht="18" customHeight="1">
      <c r="K165" s="89"/>
      <c r="L165" s="89"/>
    </row>
    <row r="166" spans="11:12" ht="18" customHeight="1">
      <c r="K166" s="89"/>
      <c r="L166" s="89"/>
    </row>
    <row r="167" spans="11:12" ht="18" customHeight="1">
      <c r="K167" s="89"/>
      <c r="L167" s="89"/>
    </row>
    <row r="168" spans="11:12" ht="18" customHeight="1">
      <c r="K168" s="89"/>
      <c r="L168" s="89"/>
    </row>
    <row r="169" ht="18" customHeight="1">
      <c r="K169" s="89"/>
    </row>
    <row r="170" ht="18" customHeight="1">
      <c r="K170" s="89"/>
    </row>
    <row r="171" ht="18" customHeight="1">
      <c r="K171" s="89"/>
    </row>
    <row r="264" ht="18" customHeight="1">
      <c r="K264" s="96"/>
    </row>
    <row r="265" ht="18" customHeight="1">
      <c r="K265" s="89"/>
    </row>
    <row r="266" ht="18" customHeight="1">
      <c r="K266" s="89"/>
    </row>
    <row r="267" ht="18" customHeight="1">
      <c r="K267" s="89"/>
    </row>
    <row r="268" ht="18" customHeight="1">
      <c r="K268" s="89"/>
    </row>
    <row r="269" ht="18" customHeight="1">
      <c r="K269" s="89"/>
    </row>
    <row r="270" ht="18" customHeight="1">
      <c r="K270" s="89"/>
    </row>
    <row r="271" ht="18" customHeight="1">
      <c r="K271" s="89"/>
    </row>
    <row r="272" ht="18" customHeight="1">
      <c r="K272" s="89"/>
    </row>
    <row r="273" ht="18" customHeight="1">
      <c r="K273" s="89"/>
    </row>
    <row r="274" ht="18" customHeight="1">
      <c r="K274" s="89"/>
    </row>
    <row r="275" ht="18" customHeight="1">
      <c r="K275" s="89"/>
    </row>
    <row r="308" spans="15:18" ht="18" customHeight="1">
      <c r="O308" s="78"/>
      <c r="P308" s="78"/>
      <c r="Q308" s="78"/>
      <c r="R308" s="78"/>
    </row>
    <row r="309" spans="15:18" ht="18" customHeight="1">
      <c r="O309" s="78"/>
      <c r="P309" s="78"/>
      <c r="Q309" s="96"/>
      <c r="R309" s="96"/>
    </row>
    <row r="310" spans="15:18" ht="18" customHeight="1">
      <c r="O310" s="78"/>
      <c r="P310" s="78"/>
      <c r="Q310" s="96"/>
      <c r="R310" s="96"/>
    </row>
    <row r="311" spans="15:18" ht="18" customHeight="1">
      <c r="O311" s="78"/>
      <c r="P311" s="78"/>
      <c r="Q311" s="96"/>
      <c r="R311" s="96"/>
    </row>
    <row r="312" spans="15:18" ht="18" customHeight="1">
      <c r="O312" s="78"/>
      <c r="P312" s="96"/>
      <c r="Q312" s="97"/>
      <c r="R312" s="97"/>
    </row>
    <row r="313" spans="15:18" ht="18" customHeight="1">
      <c r="O313" s="96"/>
      <c r="P313" s="96"/>
      <c r="Q313" s="97"/>
      <c r="R313" s="97"/>
    </row>
    <row r="314" spans="15:18" ht="18" customHeight="1">
      <c r="O314" s="96"/>
      <c r="P314" s="96"/>
      <c r="Q314" s="97"/>
      <c r="R314" s="97"/>
    </row>
    <row r="315" spans="15:18" ht="18" customHeight="1">
      <c r="O315" s="78"/>
      <c r="P315" s="96"/>
      <c r="Q315" s="97"/>
      <c r="R315" s="97"/>
    </row>
    <row r="316" spans="15:18" ht="18" customHeight="1">
      <c r="O316" s="96"/>
      <c r="P316" s="96"/>
      <c r="Q316" s="97"/>
      <c r="R316" s="97"/>
    </row>
    <row r="317" spans="15:18" ht="18" customHeight="1">
      <c r="O317" s="96"/>
      <c r="P317" s="96"/>
      <c r="Q317" s="97"/>
      <c r="R317" s="97"/>
    </row>
    <row r="318" spans="15:18" ht="18" customHeight="1">
      <c r="O318" s="96"/>
      <c r="P318" s="96"/>
      <c r="Q318" s="97"/>
      <c r="R318" s="97"/>
    </row>
    <row r="319" spans="15:18" ht="18" customHeight="1">
      <c r="O319" s="96"/>
      <c r="P319" s="96"/>
      <c r="Q319" s="97"/>
      <c r="R319" s="97"/>
    </row>
    <row r="320" spans="15:18" ht="18" customHeight="1">
      <c r="O320" s="78"/>
      <c r="P320" s="96"/>
      <c r="Q320" s="97"/>
      <c r="R320" s="97"/>
    </row>
    <row r="321" spans="15:18" ht="18" customHeight="1">
      <c r="O321" s="78"/>
      <c r="P321" s="96"/>
      <c r="Q321" s="97"/>
      <c r="R321" s="97"/>
    </row>
    <row r="355" spans="17:18" ht="18" customHeight="1">
      <c r="Q355" s="98"/>
      <c r="R355" s="98"/>
    </row>
    <row r="357" spans="13:16" ht="18" customHeight="1">
      <c r="M357" s="98"/>
      <c r="N357" s="98"/>
      <c r="O357" s="98"/>
      <c r="P357" s="98"/>
    </row>
    <row r="371" ht="18" customHeight="1">
      <c r="L371" s="98"/>
    </row>
    <row r="374" ht="18" customHeight="1">
      <c r="K374" s="98"/>
    </row>
    <row r="397" spans="17:18" ht="18" customHeight="1">
      <c r="Q397" s="98"/>
      <c r="R397" s="98"/>
    </row>
    <row r="399" spans="13:16" ht="18" customHeight="1">
      <c r="M399" s="98"/>
      <c r="N399" s="98"/>
      <c r="O399" s="98"/>
      <c r="P399" s="98"/>
    </row>
    <row r="413" ht="18" customHeight="1">
      <c r="L413" s="98"/>
    </row>
    <row r="416" ht="18" customHeight="1">
      <c r="K416" s="98"/>
    </row>
    <row r="449" spans="17:18" ht="18" customHeight="1">
      <c r="Q449" s="86"/>
      <c r="R449" s="86"/>
    </row>
    <row r="451" spans="10:16" ht="18" customHeight="1">
      <c r="J451" s="86"/>
      <c r="M451" s="86"/>
      <c r="N451" s="86"/>
      <c r="O451" s="86"/>
      <c r="P451" s="86"/>
    </row>
    <row r="453" spans="17:18" ht="18" customHeight="1">
      <c r="Q453" s="86"/>
      <c r="R453" s="86"/>
    </row>
    <row r="455" spans="10:16" ht="18" customHeight="1">
      <c r="J455" s="86"/>
      <c r="M455" s="86"/>
      <c r="N455" s="86"/>
      <c r="O455" s="86"/>
      <c r="P455" s="86"/>
    </row>
    <row r="457" spans="17:18" ht="18" customHeight="1">
      <c r="Q457" s="86"/>
      <c r="R457" s="86"/>
    </row>
    <row r="459" spans="10:16" ht="18" customHeight="1">
      <c r="J459" s="86"/>
      <c r="M459" s="86"/>
      <c r="N459" s="86"/>
      <c r="O459" s="86"/>
      <c r="P459" s="86"/>
    </row>
    <row r="465" ht="18" customHeight="1">
      <c r="L465" s="86"/>
    </row>
    <row r="468" ht="18" customHeight="1">
      <c r="K468" s="86"/>
    </row>
    <row r="469" ht="18" customHeight="1">
      <c r="L469" s="86"/>
    </row>
    <row r="471" spans="17:18" ht="18" customHeight="1">
      <c r="Q471" s="86"/>
      <c r="R471" s="86"/>
    </row>
    <row r="472" ht="18" customHeight="1">
      <c r="K472" s="86"/>
    </row>
    <row r="473" spans="10:16" ht="18" customHeight="1">
      <c r="J473" s="86"/>
      <c r="L473" s="86"/>
      <c r="M473" s="86"/>
      <c r="N473" s="86"/>
      <c r="O473" s="86"/>
      <c r="P473" s="86"/>
    </row>
    <row r="475" spans="17:18" ht="18" customHeight="1">
      <c r="Q475" s="86"/>
      <c r="R475" s="86"/>
    </row>
    <row r="476" ht="18" customHeight="1">
      <c r="K476" s="86"/>
    </row>
    <row r="477" spans="10:16" ht="18" customHeight="1">
      <c r="J477" s="86"/>
      <c r="M477" s="86"/>
      <c r="N477" s="86"/>
      <c r="O477" s="86"/>
      <c r="P477" s="86"/>
    </row>
    <row r="479" spans="17:18" ht="18" customHeight="1">
      <c r="Q479" s="86"/>
      <c r="R479" s="86"/>
    </row>
    <row r="481" spans="10:16" ht="18" customHeight="1">
      <c r="J481" s="86"/>
      <c r="M481" s="86"/>
      <c r="N481" s="86"/>
      <c r="O481" s="86"/>
      <c r="P481" s="86"/>
    </row>
    <row r="487" ht="18" customHeight="1">
      <c r="L487" s="86"/>
    </row>
    <row r="490" ht="18" customHeight="1">
      <c r="K490" s="86"/>
    </row>
    <row r="491" ht="18" customHeight="1">
      <c r="L491" s="86"/>
    </row>
    <row r="494" ht="18" customHeight="1">
      <c r="K494" s="86"/>
    </row>
    <row r="495" ht="18" customHeight="1">
      <c r="L495" s="86"/>
    </row>
    <row r="498" ht="18" customHeight="1">
      <c r="K498" s="86"/>
    </row>
  </sheetData>
  <sheetProtection sheet="1" objects="1" scenarios="1"/>
  <mergeCells count="9">
    <mergeCell ref="A39:E39"/>
    <mergeCell ref="A41:E41"/>
    <mergeCell ref="M8:N8"/>
    <mergeCell ref="M3:N3"/>
    <mergeCell ref="M7:N7"/>
    <mergeCell ref="O4:P4"/>
    <mergeCell ref="M4:N4"/>
    <mergeCell ref="M5:N5"/>
    <mergeCell ref="M6:N6"/>
  </mergeCells>
  <conditionalFormatting sqref="O6:P6">
    <cfRule type="cellIs" priority="1" dxfId="1" operator="lessThan" stopIfTrue="1">
      <formula>$O$4</formula>
    </cfRule>
  </conditionalFormatting>
  <printOptions/>
  <pageMargins left="0.75" right="0.75" top="1" bottom="1" header="0.512" footer="0.512"/>
  <pageSetup horizontalDpi="600" verticalDpi="600" orientation="landscape" paperSize="9" scale="75" r:id="rId3"/>
  <headerFooter alignWithMargins="0">
    <oddHeader>&amp;C置き換え基礎</oddHeader>
    <oddFooter>&amp;C&amp;P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C312"/>
  <sheetViews>
    <sheetView showGridLines="0" showRowColHeaders="0" zoomScalePageLayoutView="0" workbookViewId="0" topLeftCell="A25">
      <selection activeCell="N31" sqref="N31"/>
    </sheetView>
  </sheetViews>
  <sheetFormatPr defaultColWidth="7.69921875" defaultRowHeight="18" customHeight="1"/>
  <cols>
    <col min="1" max="1" width="7.69921875" style="50" customWidth="1"/>
    <col min="2" max="27" width="7.69921875" style="0" customWidth="1"/>
    <col min="28" max="28" width="13.8984375" style="0" customWidth="1"/>
    <col min="29" max="29" width="13.296875" style="0" customWidth="1"/>
  </cols>
  <sheetData>
    <row r="1" spans="1:10" ht="18" customHeight="1">
      <c r="A1" s="56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0" ht="18" customHeight="1">
      <c r="A2" s="56"/>
      <c r="B2" s="4"/>
      <c r="C2" s="4"/>
      <c r="D2" s="4"/>
      <c r="E2" s="4"/>
      <c r="F2" s="4"/>
      <c r="G2" s="4"/>
      <c r="H2" s="4"/>
      <c r="I2" s="4"/>
      <c r="J2" s="4"/>
    </row>
    <row r="3" spans="1:10" ht="18" customHeight="1">
      <c r="A3" s="56"/>
      <c r="B3" s="4"/>
      <c r="C3" s="4"/>
      <c r="D3" s="4"/>
      <c r="E3" s="4"/>
      <c r="F3" s="4"/>
      <c r="G3" s="4"/>
      <c r="H3" s="4"/>
      <c r="I3" s="4"/>
      <c r="J3" s="4"/>
    </row>
    <row r="4" spans="1:10" ht="18" customHeight="1">
      <c r="A4" s="56"/>
      <c r="B4" s="4"/>
      <c r="C4" s="4"/>
      <c r="D4" s="4"/>
      <c r="E4" s="4"/>
      <c r="F4" s="4"/>
      <c r="G4" s="4"/>
      <c r="H4" s="4"/>
      <c r="I4" s="4"/>
      <c r="J4" s="4"/>
    </row>
    <row r="5" spans="1:10" ht="18" customHeight="1">
      <c r="A5" s="56"/>
      <c r="B5" s="4"/>
      <c r="C5" s="4"/>
      <c r="D5" s="4"/>
      <c r="E5" s="4"/>
      <c r="F5" s="4"/>
      <c r="G5" s="4"/>
      <c r="H5" s="4"/>
      <c r="I5" s="4"/>
      <c r="J5" s="4"/>
    </row>
    <row r="6" spans="1:10" ht="18" customHeight="1">
      <c r="A6" s="56"/>
      <c r="B6" s="4"/>
      <c r="C6" s="4"/>
      <c r="D6" s="4"/>
      <c r="E6" s="4"/>
      <c r="F6" s="4"/>
      <c r="G6" s="4"/>
      <c r="H6" s="4"/>
      <c r="I6" s="4"/>
      <c r="J6" s="4"/>
    </row>
    <row r="7" spans="1:10" ht="18" customHeight="1">
      <c r="A7" s="56"/>
      <c r="B7" s="4"/>
      <c r="C7" s="4"/>
      <c r="D7" s="4"/>
      <c r="E7" s="4"/>
      <c r="F7" s="4"/>
      <c r="G7" s="4"/>
      <c r="H7" s="4"/>
      <c r="I7" s="4"/>
      <c r="J7" s="4"/>
    </row>
    <row r="8" spans="1:10" ht="18" customHeight="1">
      <c r="A8" s="56"/>
      <c r="B8" s="4"/>
      <c r="C8" s="4"/>
      <c r="D8" s="4"/>
      <c r="E8" s="4"/>
      <c r="F8" s="4"/>
      <c r="G8" s="4"/>
      <c r="H8" s="4"/>
      <c r="I8" s="4"/>
      <c r="J8" s="4"/>
    </row>
    <row r="9" spans="1:10" ht="18" customHeight="1">
      <c r="A9" s="56"/>
      <c r="B9" s="4"/>
      <c r="C9" s="4"/>
      <c r="D9" s="4"/>
      <c r="E9" s="4"/>
      <c r="F9" s="4"/>
      <c r="G9" s="4"/>
      <c r="H9" s="4"/>
      <c r="I9" s="4"/>
      <c r="J9" s="4"/>
    </row>
    <row r="10" spans="1:10" ht="18" customHeight="1">
      <c r="A10" s="56"/>
      <c r="B10" s="4"/>
      <c r="C10" s="4"/>
      <c r="D10" s="4"/>
      <c r="E10" s="4"/>
      <c r="F10" s="4"/>
      <c r="G10" s="4"/>
      <c r="H10" s="4"/>
      <c r="I10" s="4"/>
      <c r="J10" s="4"/>
    </row>
    <row r="11" spans="1:10" ht="18" customHeight="1">
      <c r="A11" s="56"/>
      <c r="B11" s="4"/>
      <c r="C11" s="4"/>
      <c r="D11" s="4"/>
      <c r="E11" s="4"/>
      <c r="F11" s="4"/>
      <c r="G11" s="4"/>
      <c r="H11" s="4"/>
      <c r="I11" s="4"/>
      <c r="J11" s="4"/>
    </row>
    <row r="12" spans="1:10" ht="18" customHeight="1">
      <c r="A12" s="56"/>
      <c r="B12" s="4"/>
      <c r="C12" s="4"/>
      <c r="D12" s="4"/>
      <c r="E12" s="4"/>
      <c r="F12" s="4"/>
      <c r="G12" s="4"/>
      <c r="H12" s="4"/>
      <c r="I12" s="4"/>
      <c r="J12" s="4"/>
    </row>
    <row r="13" spans="1:29" ht="18" customHeight="1">
      <c r="A13" s="56"/>
      <c r="B13" s="4"/>
      <c r="C13" s="4"/>
      <c r="D13" s="4"/>
      <c r="E13" s="4"/>
      <c r="F13" s="4"/>
      <c r="G13" s="4"/>
      <c r="H13" s="4"/>
      <c r="I13" s="4"/>
      <c r="J13" s="4"/>
      <c r="Z13" s="99"/>
      <c r="AA13" s="99"/>
      <c r="AB13" s="99"/>
      <c r="AC13" s="99"/>
    </row>
    <row r="14" spans="1:29" ht="18" customHeight="1">
      <c r="A14" s="56"/>
      <c r="B14" s="4"/>
      <c r="C14" s="4"/>
      <c r="D14" s="4"/>
      <c r="E14" s="4"/>
      <c r="F14" s="4"/>
      <c r="G14" s="4"/>
      <c r="H14" s="6"/>
      <c r="I14" s="6"/>
      <c r="J14" s="6"/>
      <c r="Z14" s="99"/>
      <c r="AA14" s="99"/>
      <c r="AB14" s="99"/>
      <c r="AC14" s="99"/>
    </row>
    <row r="15" spans="1:29" ht="18" customHeight="1">
      <c r="A15" s="56"/>
      <c r="B15" s="4"/>
      <c r="C15" s="4"/>
      <c r="D15" s="4"/>
      <c r="E15" s="4"/>
      <c r="F15" s="4"/>
      <c r="G15" s="4"/>
      <c r="H15" s="4"/>
      <c r="I15" s="4"/>
      <c r="J15" s="4"/>
      <c r="Z15" s="99"/>
      <c r="AA15" s="99"/>
      <c r="AB15" s="99"/>
      <c r="AC15" s="99"/>
    </row>
    <row r="16" spans="1:29" ht="18" customHeight="1">
      <c r="A16" s="56"/>
      <c r="B16" s="4"/>
      <c r="C16" s="4"/>
      <c r="D16" s="4"/>
      <c r="E16" s="4"/>
      <c r="F16" s="4"/>
      <c r="G16" s="4"/>
      <c r="H16" s="4"/>
      <c r="I16" s="4"/>
      <c r="J16" s="4"/>
      <c r="Z16" s="99"/>
      <c r="AA16" s="99"/>
      <c r="AB16" s="99"/>
      <c r="AC16" s="99"/>
    </row>
    <row r="17" spans="1:29" ht="18" customHeight="1">
      <c r="A17" s="56"/>
      <c r="B17" s="4"/>
      <c r="C17" s="4"/>
      <c r="D17" s="4"/>
      <c r="E17" s="4"/>
      <c r="F17" s="4"/>
      <c r="G17" s="4"/>
      <c r="H17" s="4"/>
      <c r="I17" s="4"/>
      <c r="J17" s="4"/>
      <c r="Z17" s="99"/>
      <c r="AA17" s="99"/>
      <c r="AB17" s="99"/>
      <c r="AC17" s="99"/>
    </row>
    <row r="18" spans="1:29" ht="18" customHeight="1">
      <c r="A18" s="56" t="s">
        <v>209</v>
      </c>
      <c r="B18" s="4"/>
      <c r="C18" s="4"/>
      <c r="D18" s="4"/>
      <c r="E18" s="4"/>
      <c r="F18" s="56" t="s">
        <v>224</v>
      </c>
      <c r="G18" s="4"/>
      <c r="H18" s="6"/>
      <c r="I18" s="6"/>
      <c r="J18" s="6"/>
      <c r="Z18" s="99"/>
      <c r="AA18" s="99"/>
      <c r="AB18" s="99"/>
      <c r="AC18" s="99"/>
    </row>
    <row r="19" spans="1:29" ht="18" customHeight="1">
      <c r="A19" s="56"/>
      <c r="B19" s="7" t="s">
        <v>152</v>
      </c>
      <c r="C19" s="8" t="s">
        <v>15</v>
      </c>
      <c r="D19" s="1">
        <f>'入力'!D21</f>
        <v>128.15</v>
      </c>
      <c r="E19" s="4" t="s">
        <v>1</v>
      </c>
      <c r="F19" s="56"/>
      <c r="G19" s="19" t="s">
        <v>90</v>
      </c>
      <c r="H19" s="9" t="s">
        <v>17</v>
      </c>
      <c r="I19" s="18">
        <f>'入力'!I21</f>
        <v>2</v>
      </c>
      <c r="J19" s="6" t="s">
        <v>21</v>
      </c>
      <c r="Z19" s="99"/>
      <c r="AA19" s="99"/>
      <c r="AB19" s="100" t="str">
        <f>"V="&amp;D19&amp;"kN/m"</f>
        <v>V=128.15kN/m</v>
      </c>
      <c r="AC19" s="100" t="str">
        <f>"C="&amp;D30&amp;"+"&amp;D31&amp;"z"</f>
        <v>C=13+5.6z</v>
      </c>
    </row>
    <row r="20" spans="1:29" ht="18" customHeight="1">
      <c r="A20" s="56"/>
      <c r="B20" s="7" t="s">
        <v>153</v>
      </c>
      <c r="C20" s="8" t="s">
        <v>95</v>
      </c>
      <c r="D20" s="1">
        <f>'入力'!D22</f>
        <v>32.52</v>
      </c>
      <c r="E20" s="4" t="s">
        <v>187</v>
      </c>
      <c r="F20" s="56"/>
      <c r="G20" s="19" t="s">
        <v>188</v>
      </c>
      <c r="H20" s="10" t="s">
        <v>53</v>
      </c>
      <c r="I20" s="18">
        <f>'入力'!I22</f>
        <v>20</v>
      </c>
      <c r="J20" s="11" t="s">
        <v>7</v>
      </c>
      <c r="Z20" s="99"/>
      <c r="AA20" s="99"/>
      <c r="AB20" s="100" t="str">
        <f>"H="&amp;D20&amp;"kN/m"</f>
        <v>H=32.52kN/m</v>
      </c>
      <c r="AC20" s="100" t="str">
        <f>"E="&amp;D32&amp;"+"&amp;D33&amp;"z"</f>
        <v>E=10000+20z</v>
      </c>
    </row>
    <row r="21" spans="1:29" ht="18" customHeight="1">
      <c r="A21" s="56"/>
      <c r="B21" s="7" t="s">
        <v>97</v>
      </c>
      <c r="C21" s="8" t="s">
        <v>18</v>
      </c>
      <c r="D21" s="1">
        <f>'入力'!D23</f>
        <v>0.65</v>
      </c>
      <c r="E21" s="4" t="s">
        <v>189</v>
      </c>
      <c r="F21" s="56"/>
      <c r="G21" s="19" t="s">
        <v>106</v>
      </c>
      <c r="H21" s="8" t="s">
        <v>167</v>
      </c>
      <c r="I21" s="18">
        <f>'入力'!I23</f>
        <v>10</v>
      </c>
      <c r="J21" s="11" t="s">
        <v>63</v>
      </c>
      <c r="Z21" s="99"/>
      <c r="AA21" s="99"/>
      <c r="AB21" s="100" t="str">
        <f>"d="&amp;D21&amp;"m"</f>
        <v>d=0.65m</v>
      </c>
      <c r="AC21" s="100"/>
    </row>
    <row r="22" spans="1:29" ht="18" customHeight="1">
      <c r="A22" s="56" t="s">
        <v>210</v>
      </c>
      <c r="B22" s="12"/>
      <c r="C22" s="4"/>
      <c r="D22" s="1"/>
      <c r="E22" s="4"/>
      <c r="F22" s="56"/>
      <c r="G22" s="19" t="s">
        <v>190</v>
      </c>
      <c r="H22" s="19" t="s">
        <v>55</v>
      </c>
      <c r="I22" s="18">
        <f>'入力'!I24</f>
        <v>35</v>
      </c>
      <c r="J22" s="20" t="s">
        <v>191</v>
      </c>
      <c r="Z22" s="99"/>
      <c r="AA22" s="99"/>
      <c r="AB22" s="100" t="str">
        <f>"Hw="&amp;D23&amp;"m"</f>
        <v>Hw=3m</v>
      </c>
      <c r="AC22" s="100"/>
    </row>
    <row r="23" spans="1:29" ht="18" customHeight="1">
      <c r="A23" s="56"/>
      <c r="B23" s="7" t="s">
        <v>98</v>
      </c>
      <c r="C23" s="9" t="s">
        <v>168</v>
      </c>
      <c r="D23" s="1">
        <f>'入力'!D25</f>
        <v>3</v>
      </c>
      <c r="E23" s="4" t="s">
        <v>192</v>
      </c>
      <c r="F23" s="56"/>
      <c r="G23" s="19" t="s">
        <v>107</v>
      </c>
      <c r="H23" s="9" t="s">
        <v>58</v>
      </c>
      <c r="I23" s="18">
        <f>'入力'!I25</f>
        <v>21000</v>
      </c>
      <c r="J23" s="11" t="s">
        <v>59</v>
      </c>
      <c r="Z23" s="99"/>
      <c r="AA23" s="99"/>
      <c r="AB23" s="100" t="str">
        <f>"B="&amp;D24&amp;"m"</f>
        <v>B=1.8m</v>
      </c>
      <c r="AC23" s="100"/>
    </row>
    <row r="24" spans="1:29" ht="18" customHeight="1">
      <c r="A24" s="56"/>
      <c r="B24" s="7" t="s">
        <v>99</v>
      </c>
      <c r="C24" s="8" t="s">
        <v>0</v>
      </c>
      <c r="D24" s="1">
        <f>'入力'!D26</f>
        <v>1.8</v>
      </c>
      <c r="E24" s="4" t="s">
        <v>114</v>
      </c>
      <c r="F24" s="56"/>
      <c r="G24" s="19" t="s">
        <v>193</v>
      </c>
      <c r="H24" s="19" t="s">
        <v>199</v>
      </c>
      <c r="I24" s="18">
        <f>'入力'!I26</f>
        <v>30</v>
      </c>
      <c r="J24" s="20" t="s">
        <v>191</v>
      </c>
      <c r="Z24" s="99"/>
      <c r="AA24" s="99"/>
      <c r="AB24" s="100" t="str">
        <f>"D="&amp;D25&amp;"m"</f>
        <v>D=10m</v>
      </c>
      <c r="AC24" s="100"/>
    </row>
    <row r="25" spans="1:29" ht="18" customHeight="1">
      <c r="A25" s="56"/>
      <c r="B25" s="7" t="s">
        <v>100</v>
      </c>
      <c r="C25" s="8" t="s">
        <v>101</v>
      </c>
      <c r="D25" s="1">
        <f>'入力'!D27</f>
        <v>10</v>
      </c>
      <c r="E25" s="4" t="s">
        <v>192</v>
      </c>
      <c r="F25" s="56"/>
      <c r="G25" s="19" t="s">
        <v>194</v>
      </c>
      <c r="H25" s="8" t="s">
        <v>24</v>
      </c>
      <c r="I25" s="18">
        <f>'入力'!I27</f>
        <v>4.11</v>
      </c>
      <c r="J25" s="4" t="s">
        <v>25</v>
      </c>
      <c r="Z25" s="99"/>
      <c r="AA25" s="99"/>
      <c r="AB25" s="100" t="str">
        <f>"Df="&amp;D26&amp;"m"</f>
        <v>Df=0.5m</v>
      </c>
      <c r="AC25" s="100"/>
    </row>
    <row r="26" spans="1:29" ht="18" customHeight="1">
      <c r="A26" s="56"/>
      <c r="B26" s="7" t="s">
        <v>102</v>
      </c>
      <c r="C26" s="8" t="s">
        <v>57</v>
      </c>
      <c r="D26" s="1">
        <f>'入力'!D28</f>
        <v>0.5</v>
      </c>
      <c r="E26" s="4" t="s">
        <v>25</v>
      </c>
      <c r="F26" s="56"/>
      <c r="G26" s="12"/>
      <c r="H26" s="8"/>
      <c r="I26" s="18"/>
      <c r="J26" s="4"/>
      <c r="Z26" s="99"/>
      <c r="AA26" s="99"/>
      <c r="AB26" s="100"/>
      <c r="AC26" s="100"/>
    </row>
    <row r="27" spans="1:29" ht="18" customHeight="1">
      <c r="A27" s="56" t="s">
        <v>211</v>
      </c>
      <c r="B27" s="12"/>
      <c r="C27" s="4"/>
      <c r="D27" s="1"/>
      <c r="E27" s="4"/>
      <c r="F27" s="56" t="s">
        <v>225</v>
      </c>
      <c r="G27" s="12"/>
      <c r="H27" s="4"/>
      <c r="I27" s="18"/>
      <c r="J27" s="4"/>
      <c r="Z27" s="99"/>
      <c r="AA27" s="99"/>
      <c r="AB27" s="100"/>
      <c r="AC27" s="100"/>
    </row>
    <row r="28" spans="1:29" ht="18" customHeight="1">
      <c r="A28" s="56"/>
      <c r="B28" s="7" t="s">
        <v>103</v>
      </c>
      <c r="C28" s="9" t="s">
        <v>60</v>
      </c>
      <c r="D28" s="62">
        <f>'入力'!D30</f>
        <v>5</v>
      </c>
      <c r="E28" s="6" t="s">
        <v>195</v>
      </c>
      <c r="F28" s="4"/>
      <c r="G28" s="19" t="s">
        <v>27</v>
      </c>
      <c r="H28" s="9" t="s">
        <v>66</v>
      </c>
      <c r="I28" s="18">
        <f>'入力'!I29</f>
        <v>3</v>
      </c>
      <c r="J28" s="4"/>
      <c r="Z28" s="99"/>
      <c r="AA28" s="99"/>
      <c r="AB28" s="100" t="str">
        <f>"Hc="&amp;D28&amp;"m"</f>
        <v>Hc=5m</v>
      </c>
      <c r="AC28" s="100"/>
    </row>
    <row r="29" spans="1:29" ht="18" customHeight="1">
      <c r="A29" s="56"/>
      <c r="B29" s="7" t="s">
        <v>105</v>
      </c>
      <c r="C29" s="10" t="s">
        <v>61</v>
      </c>
      <c r="D29" s="1">
        <f>'入力'!D31</f>
        <v>18</v>
      </c>
      <c r="E29" s="11" t="s">
        <v>196</v>
      </c>
      <c r="F29" s="4"/>
      <c r="G29" s="4"/>
      <c r="H29" s="4"/>
      <c r="I29" s="4"/>
      <c r="J29" s="6"/>
      <c r="Z29" s="99"/>
      <c r="AA29" s="99"/>
      <c r="AB29" s="100" t="str">
        <f>"γ1="&amp;D29&amp;"kN/m3"</f>
        <v>γ1=18kN/m3</v>
      </c>
      <c r="AC29" s="100"/>
    </row>
    <row r="30" spans="1:29" ht="18" customHeight="1">
      <c r="A30" s="56"/>
      <c r="B30" s="7" t="s">
        <v>106</v>
      </c>
      <c r="C30" s="9" t="s">
        <v>62</v>
      </c>
      <c r="D30" s="1">
        <f>'入力'!D32</f>
        <v>13</v>
      </c>
      <c r="E30" s="11" t="s">
        <v>197</v>
      </c>
      <c r="F30" s="4"/>
      <c r="G30" s="4"/>
      <c r="H30" s="4"/>
      <c r="I30" s="4"/>
      <c r="J30" s="6"/>
      <c r="Z30" s="99"/>
      <c r="AA30" s="99"/>
      <c r="AB30" s="100"/>
      <c r="AC30" s="100"/>
    </row>
    <row r="31" spans="1:29" ht="18" customHeight="1">
      <c r="A31" s="56"/>
      <c r="B31" s="12"/>
      <c r="C31" s="9" t="s">
        <v>64</v>
      </c>
      <c r="D31" s="1">
        <f>'入力'!D33</f>
        <v>5.6</v>
      </c>
      <c r="E31" s="11" t="s">
        <v>196</v>
      </c>
      <c r="F31" s="6"/>
      <c r="G31" s="4"/>
      <c r="H31" s="4"/>
      <c r="I31" s="4"/>
      <c r="J31" s="6"/>
      <c r="Z31" s="99"/>
      <c r="AA31" s="99"/>
      <c r="AB31" s="100"/>
      <c r="AC31" s="100"/>
    </row>
    <row r="32" spans="1:29" ht="18" customHeight="1">
      <c r="A32" s="56"/>
      <c r="B32" s="7" t="s">
        <v>107</v>
      </c>
      <c r="C32" s="9" t="s">
        <v>67</v>
      </c>
      <c r="D32" s="1">
        <f>'入力'!D34</f>
        <v>10000</v>
      </c>
      <c r="E32" s="11" t="s">
        <v>197</v>
      </c>
      <c r="F32" s="6"/>
      <c r="G32" s="18"/>
      <c r="H32" s="6"/>
      <c r="I32" s="4"/>
      <c r="J32" s="6"/>
      <c r="Z32" s="99"/>
      <c r="AA32" s="99"/>
      <c r="AB32" s="100" t="str">
        <f>"h="&amp;I19&amp;"m"</f>
        <v>h=2m</v>
      </c>
      <c r="AC32" s="100"/>
    </row>
    <row r="33" spans="1:29" ht="18" customHeight="1">
      <c r="A33" s="56"/>
      <c r="B33" s="12"/>
      <c r="C33" s="9" t="s">
        <v>68</v>
      </c>
      <c r="D33" s="1">
        <f>'入力'!D35</f>
        <v>20</v>
      </c>
      <c r="E33" s="11" t="s">
        <v>196</v>
      </c>
      <c r="F33" s="6"/>
      <c r="G33" s="6"/>
      <c r="H33" s="6"/>
      <c r="I33" s="4"/>
      <c r="J33" s="6"/>
      <c r="Z33" s="99"/>
      <c r="AA33" s="99"/>
      <c r="AB33" s="100" t="str">
        <f>"γ2="&amp;I20&amp;"kN/m3"</f>
        <v>γ2=20kN/m3</v>
      </c>
      <c r="AC33" s="100"/>
    </row>
    <row r="34" spans="1:29" ht="18" customHeight="1">
      <c r="A34" s="55"/>
      <c r="B34" s="6"/>
      <c r="C34" s="6"/>
      <c r="D34" s="6"/>
      <c r="E34" s="6"/>
      <c r="F34" s="18"/>
      <c r="G34" s="6"/>
      <c r="H34" s="6"/>
      <c r="I34" s="4"/>
      <c r="J34" s="4"/>
      <c r="Z34" s="99"/>
      <c r="AA34" s="99"/>
      <c r="AB34" s="100" t="str">
        <f>"c2="&amp;I21&amp;"kN/m2"</f>
        <v>c2=10kN/m2</v>
      </c>
      <c r="AC34" s="100"/>
    </row>
    <row r="35" spans="1:29" ht="18" customHeight="1">
      <c r="A35" s="55" t="s">
        <v>212</v>
      </c>
      <c r="B35" s="6"/>
      <c r="C35" s="11"/>
      <c r="D35" s="6"/>
      <c r="E35" s="18"/>
      <c r="F35" s="6"/>
      <c r="G35" s="6"/>
      <c r="H35" s="6"/>
      <c r="I35" s="4"/>
      <c r="J35" s="4"/>
      <c r="Z35" s="99"/>
      <c r="AA35" s="99"/>
      <c r="AB35" s="100" t="str">
        <f>"φ2="&amp;I22&amp;"゜"</f>
        <v>φ2=35゜</v>
      </c>
      <c r="AC35" s="100"/>
    </row>
    <row r="36" spans="1:29" ht="18" customHeight="1">
      <c r="A36" s="55" t="s">
        <v>213</v>
      </c>
      <c r="B36" s="6"/>
      <c r="C36" s="11"/>
      <c r="D36" s="6"/>
      <c r="E36" s="18"/>
      <c r="F36" s="6"/>
      <c r="G36" s="6"/>
      <c r="H36" s="6"/>
      <c r="I36" s="4"/>
      <c r="J36" s="4"/>
      <c r="Z36" s="99"/>
      <c r="AA36" s="99"/>
      <c r="AB36" s="100" t="str">
        <f>"θ="&amp;I24&amp;"゜"</f>
        <v>θ=30゜</v>
      </c>
      <c r="AC36" s="100"/>
    </row>
    <row r="37" spans="1:29" ht="18" customHeight="1">
      <c r="A37" s="55"/>
      <c r="B37" s="6"/>
      <c r="C37" s="11"/>
      <c r="D37" s="22"/>
      <c r="E37" s="18"/>
      <c r="F37" s="6"/>
      <c r="G37" s="6"/>
      <c r="H37" s="6"/>
      <c r="I37" s="4"/>
      <c r="J37" s="4"/>
      <c r="Z37" s="99"/>
      <c r="AA37" s="99"/>
      <c r="AB37" s="100" t="str">
        <f>"S="&amp;I25&amp;"m"</f>
        <v>S=4.11m</v>
      </c>
      <c r="AC37" s="100"/>
    </row>
    <row r="38" spans="1:29" ht="18" customHeight="1">
      <c r="A38" s="55"/>
      <c r="B38" s="6"/>
      <c r="C38" s="11"/>
      <c r="D38" s="6"/>
      <c r="E38" s="18"/>
      <c r="F38" s="6"/>
      <c r="G38" s="6"/>
      <c r="H38" s="6"/>
      <c r="I38" s="4"/>
      <c r="J38" s="4"/>
      <c r="Z38" s="99"/>
      <c r="AA38" s="99"/>
      <c r="AB38" s="99"/>
      <c r="AC38" s="99"/>
    </row>
    <row r="39" spans="1:29" ht="18" customHeight="1">
      <c r="A39" s="55"/>
      <c r="B39" s="6"/>
      <c r="C39" s="11"/>
      <c r="D39" s="6"/>
      <c r="E39" s="18"/>
      <c r="F39" s="6"/>
      <c r="G39" s="6"/>
      <c r="H39" s="6"/>
      <c r="I39" s="4"/>
      <c r="J39" s="4"/>
      <c r="Z39" s="99"/>
      <c r="AA39" s="99"/>
      <c r="AB39" s="99"/>
      <c r="AC39" s="99"/>
    </row>
    <row r="40" spans="1:29" ht="18" customHeight="1">
      <c r="A40" s="55"/>
      <c r="B40" s="6"/>
      <c r="C40" s="11"/>
      <c r="D40" s="6"/>
      <c r="E40" s="18"/>
      <c r="F40" s="6"/>
      <c r="G40" s="6"/>
      <c r="H40" s="6"/>
      <c r="I40" s="4"/>
      <c r="J40" s="4"/>
      <c r="Z40" s="99"/>
      <c r="AA40" s="99"/>
      <c r="AB40" s="99"/>
      <c r="AC40" s="99"/>
    </row>
    <row r="41" spans="1:29" ht="18" customHeight="1">
      <c r="A41" s="55"/>
      <c r="B41" s="6"/>
      <c r="C41" s="11"/>
      <c r="D41" s="6"/>
      <c r="E41" s="18"/>
      <c r="F41" s="6"/>
      <c r="G41" s="6"/>
      <c r="H41" s="6"/>
      <c r="I41" s="4"/>
      <c r="J41" s="4"/>
      <c r="Z41" s="99"/>
      <c r="AA41" s="99"/>
      <c r="AB41" s="99"/>
      <c r="AC41" s="99"/>
    </row>
    <row r="42" spans="1:10" ht="18" customHeight="1">
      <c r="A42" s="55"/>
      <c r="B42" s="6"/>
      <c r="C42" s="11"/>
      <c r="D42" s="6"/>
      <c r="E42" s="18"/>
      <c r="F42" s="6"/>
      <c r="G42" s="6"/>
      <c r="H42" s="6"/>
      <c r="I42" s="4"/>
      <c r="J42" s="4"/>
    </row>
    <row r="43" spans="1:10" ht="18" customHeight="1">
      <c r="A43" s="55"/>
      <c r="B43" s="6"/>
      <c r="C43" s="11"/>
      <c r="D43" s="6"/>
      <c r="E43" s="18"/>
      <c r="F43" s="6"/>
      <c r="G43" s="6"/>
      <c r="H43" s="6"/>
      <c r="I43" s="4"/>
      <c r="J43" s="4"/>
    </row>
    <row r="44" spans="1:10" ht="18" customHeight="1">
      <c r="A44" s="55"/>
      <c r="B44" s="6"/>
      <c r="C44" s="11"/>
      <c r="D44" s="6"/>
      <c r="E44" s="18"/>
      <c r="F44" s="6"/>
      <c r="G44" s="6"/>
      <c r="H44" s="6"/>
      <c r="I44" s="4"/>
      <c r="J44" s="4"/>
    </row>
    <row r="45" spans="1:10" ht="18" customHeight="1">
      <c r="A45" s="55"/>
      <c r="B45" s="6"/>
      <c r="C45" s="11"/>
      <c r="D45" s="6"/>
      <c r="E45" s="18"/>
      <c r="F45" s="6"/>
      <c r="G45" s="6"/>
      <c r="H45" s="6"/>
      <c r="I45" s="4"/>
      <c r="J45" s="4"/>
    </row>
    <row r="46" spans="1:10" ht="18" customHeight="1">
      <c r="A46" s="55"/>
      <c r="B46" s="6"/>
      <c r="C46" s="11"/>
      <c r="D46" s="6"/>
      <c r="E46" s="18"/>
      <c r="F46" s="6"/>
      <c r="G46" s="6"/>
      <c r="H46" s="6"/>
      <c r="I46" s="4"/>
      <c r="J46" s="4"/>
    </row>
    <row r="47" spans="1:10" ht="18" customHeight="1">
      <c r="A47" s="55"/>
      <c r="B47" s="6"/>
      <c r="C47" s="11"/>
      <c r="D47" s="6"/>
      <c r="E47" s="18"/>
      <c r="F47" s="6"/>
      <c r="G47" s="6"/>
      <c r="H47" s="6"/>
      <c r="I47" s="4"/>
      <c r="J47" s="4"/>
    </row>
    <row r="48" spans="1:10" ht="18" customHeight="1">
      <c r="A48" s="55"/>
      <c r="B48" s="6"/>
      <c r="C48" s="11"/>
      <c r="D48" s="6"/>
      <c r="E48" s="18"/>
      <c r="F48" s="6"/>
      <c r="G48" s="6"/>
      <c r="H48" s="6"/>
      <c r="I48" s="4"/>
      <c r="J48" s="4"/>
    </row>
    <row r="49" spans="1:10" ht="18" customHeight="1">
      <c r="A49" s="55"/>
      <c r="B49" s="6"/>
      <c r="C49" s="11"/>
      <c r="D49" s="6"/>
      <c r="E49" s="18"/>
      <c r="F49" s="6"/>
      <c r="G49" s="6"/>
      <c r="H49" s="6"/>
      <c r="I49" s="4"/>
      <c r="J49" s="4"/>
    </row>
    <row r="50" spans="1:10" ht="18" customHeight="1">
      <c r="A50" s="55"/>
      <c r="B50" s="6"/>
      <c r="C50" s="11"/>
      <c r="D50" s="6"/>
      <c r="E50" s="18"/>
      <c r="F50" s="6"/>
      <c r="G50" s="6"/>
      <c r="H50" s="6"/>
      <c r="I50" s="4"/>
      <c r="J50" s="4"/>
    </row>
    <row r="51" spans="1:10" ht="18" customHeight="1">
      <c r="A51" s="55"/>
      <c r="B51" s="6"/>
      <c r="C51" s="11"/>
      <c r="D51" s="6"/>
      <c r="E51" s="18"/>
      <c r="F51" s="6"/>
      <c r="G51" s="6"/>
      <c r="H51" s="6"/>
      <c r="I51" s="4"/>
      <c r="J51" s="4"/>
    </row>
    <row r="52" spans="1:10" ht="18" customHeight="1">
      <c r="A52" s="55"/>
      <c r="B52" s="6"/>
      <c r="C52" s="11"/>
      <c r="D52" s="6"/>
      <c r="E52" s="18"/>
      <c r="F52" s="6"/>
      <c r="G52" s="6"/>
      <c r="H52" s="6"/>
      <c r="I52" s="4"/>
      <c r="J52" s="4"/>
    </row>
    <row r="53" spans="1:10" ht="18" customHeight="1">
      <c r="A53" s="55"/>
      <c r="B53" s="6"/>
      <c r="C53" s="23" t="s">
        <v>108</v>
      </c>
      <c r="D53" s="9" t="s">
        <v>30</v>
      </c>
      <c r="E53" s="18">
        <f>B</f>
        <v>1.8</v>
      </c>
      <c r="F53" s="11" t="s">
        <v>31</v>
      </c>
      <c r="G53" s="6"/>
      <c r="H53" s="6"/>
      <c r="I53" s="4"/>
      <c r="J53" s="4"/>
    </row>
    <row r="54" spans="1:10" ht="18" customHeight="1">
      <c r="A54" s="55"/>
      <c r="B54" s="6"/>
      <c r="C54" s="23" t="s">
        <v>109</v>
      </c>
      <c r="D54" s="9" t="s">
        <v>15</v>
      </c>
      <c r="E54" s="18">
        <f>'入力'!D21</f>
        <v>128.15</v>
      </c>
      <c r="F54" s="11" t="str">
        <f>'入力'!E21</f>
        <v>kN/m</v>
      </c>
      <c r="G54" s="6"/>
      <c r="H54" s="6"/>
      <c r="I54" s="4"/>
      <c r="J54" s="4"/>
    </row>
    <row r="55" spans="1:10" ht="18" customHeight="1">
      <c r="A55" s="55"/>
      <c r="B55" s="6"/>
      <c r="C55" s="23" t="s">
        <v>110</v>
      </c>
      <c r="D55" s="9" t="s">
        <v>111</v>
      </c>
      <c r="E55" s="18">
        <f>'入力'!D23</f>
        <v>0.65</v>
      </c>
      <c r="F55" s="11" t="s">
        <v>6</v>
      </c>
      <c r="G55" s="6"/>
      <c r="H55" s="6"/>
      <c r="I55" s="4"/>
      <c r="J55" s="4"/>
    </row>
    <row r="56" spans="1:10" ht="18" customHeight="1">
      <c r="A56" s="55"/>
      <c r="B56" s="6"/>
      <c r="C56" s="7" t="s">
        <v>112</v>
      </c>
      <c r="D56" s="9" t="s">
        <v>113</v>
      </c>
      <c r="E56" s="18">
        <f>E53/2-E55</f>
        <v>0.25</v>
      </c>
      <c r="F56" s="11" t="s">
        <v>114</v>
      </c>
      <c r="G56" s="6"/>
      <c r="H56" s="6"/>
      <c r="I56" s="4"/>
      <c r="J56" s="4"/>
    </row>
    <row r="57" spans="1:10" ht="18" customHeight="1">
      <c r="A57" s="55"/>
      <c r="B57" s="6"/>
      <c r="C57" s="16"/>
      <c r="D57" s="9"/>
      <c r="E57" s="18"/>
      <c r="F57" s="11"/>
      <c r="G57" s="6"/>
      <c r="H57" s="6"/>
      <c r="I57" s="4"/>
      <c r="J57" s="4"/>
    </row>
    <row r="58" spans="1:10" ht="18" customHeight="1">
      <c r="A58" s="55"/>
      <c r="B58" s="6"/>
      <c r="C58" s="23" t="s">
        <v>36</v>
      </c>
      <c r="D58" s="9" t="s">
        <v>169</v>
      </c>
      <c r="E58" s="24">
        <f>IF(ABS(E56)&lt;=B/6,E54/B*(1+6*E56/B),2*E54/3/E55)</f>
        <v>130.52314814814815</v>
      </c>
      <c r="F58" s="11" t="s">
        <v>75</v>
      </c>
      <c r="G58" s="9" t="s">
        <v>170</v>
      </c>
      <c r="H58" s="24">
        <f>IF(ABS(E56)&lt;=B/6,E54/B*(1-6*E56/B),0)</f>
        <v>11.865740740740746</v>
      </c>
      <c r="I58" s="11" t="s">
        <v>75</v>
      </c>
      <c r="J58" s="4"/>
    </row>
    <row r="59" spans="1:10" ht="18" customHeight="1">
      <c r="A59" s="55"/>
      <c r="B59" s="6"/>
      <c r="C59" s="11"/>
      <c r="D59" s="9"/>
      <c r="E59" s="18"/>
      <c r="F59" s="11"/>
      <c r="G59" s="6"/>
      <c r="H59" s="6"/>
      <c r="I59" s="4"/>
      <c r="J59" s="4"/>
    </row>
    <row r="60" spans="1:10" ht="18" customHeight="1">
      <c r="A60" s="55" t="s">
        <v>214</v>
      </c>
      <c r="B60" s="6"/>
      <c r="C60" s="11"/>
      <c r="D60" s="9"/>
      <c r="E60" s="18"/>
      <c r="F60" s="11"/>
      <c r="G60" s="6"/>
      <c r="H60" s="6"/>
      <c r="I60" s="4"/>
      <c r="J60" s="4"/>
    </row>
    <row r="61" spans="1:10" ht="18" customHeight="1">
      <c r="A61" s="55"/>
      <c r="B61" s="25" t="s">
        <v>226</v>
      </c>
      <c r="C61" s="4"/>
      <c r="D61" s="9"/>
      <c r="E61" s="18"/>
      <c r="F61" s="11"/>
      <c r="G61" s="6"/>
      <c r="H61" s="6"/>
      <c r="I61" s="4"/>
      <c r="J61" s="4"/>
    </row>
    <row r="62" spans="1:10" ht="18" customHeight="1">
      <c r="A62" s="55"/>
      <c r="B62" s="25" t="s">
        <v>227</v>
      </c>
      <c r="C62" s="4"/>
      <c r="D62" s="9"/>
      <c r="E62" s="18"/>
      <c r="F62" s="11"/>
      <c r="G62" s="6"/>
      <c r="H62" s="6"/>
      <c r="I62" s="4"/>
      <c r="J62" s="4"/>
    </row>
    <row r="63" spans="1:10" ht="18" customHeight="1">
      <c r="A63" s="55"/>
      <c r="B63" s="6"/>
      <c r="C63" s="11"/>
      <c r="D63" s="9"/>
      <c r="E63" s="18"/>
      <c r="F63" s="11"/>
      <c r="G63" s="6"/>
      <c r="H63" s="6"/>
      <c r="I63" s="4"/>
      <c r="J63" s="4"/>
    </row>
    <row r="64" spans="1:10" ht="18" customHeight="1">
      <c r="A64" s="55"/>
      <c r="B64" s="6"/>
      <c r="C64" s="11"/>
      <c r="D64" s="6"/>
      <c r="E64" s="18"/>
      <c r="F64" s="11"/>
      <c r="G64" s="6"/>
      <c r="H64" s="6"/>
      <c r="I64" s="4"/>
      <c r="J64" s="4"/>
    </row>
    <row r="65" spans="1:10" ht="18" customHeight="1">
      <c r="A65" s="55"/>
      <c r="B65" s="6"/>
      <c r="C65" s="11"/>
      <c r="D65" s="6"/>
      <c r="E65" s="18"/>
      <c r="F65" s="11"/>
      <c r="G65" s="6"/>
      <c r="H65" s="6"/>
      <c r="I65" s="4"/>
      <c r="J65" s="4"/>
    </row>
    <row r="66" spans="1:10" ht="18" customHeight="1">
      <c r="A66" s="55"/>
      <c r="B66" s="6"/>
      <c r="C66" s="11"/>
      <c r="D66" s="6"/>
      <c r="E66" s="18"/>
      <c r="F66" s="11"/>
      <c r="G66" s="6"/>
      <c r="H66" s="6"/>
      <c r="I66" s="4"/>
      <c r="J66" s="4"/>
    </row>
    <row r="67" spans="1:10" ht="18" customHeight="1">
      <c r="A67" s="55"/>
      <c r="B67" s="6"/>
      <c r="C67" s="11"/>
      <c r="D67" s="6"/>
      <c r="E67" s="18"/>
      <c r="F67" s="11"/>
      <c r="G67" s="6"/>
      <c r="H67" s="6"/>
      <c r="I67" s="4"/>
      <c r="J67" s="4"/>
    </row>
    <row r="68" spans="1:10" ht="18" customHeight="1">
      <c r="A68" s="55"/>
      <c r="B68" s="6"/>
      <c r="C68" s="11"/>
      <c r="D68" s="6"/>
      <c r="E68" s="18"/>
      <c r="F68" s="11"/>
      <c r="G68" s="6"/>
      <c r="H68" s="6"/>
      <c r="I68" s="4"/>
      <c r="J68" s="4"/>
    </row>
    <row r="69" spans="1:10" ht="18" customHeight="1">
      <c r="A69" s="55"/>
      <c r="B69" s="6"/>
      <c r="C69" s="11"/>
      <c r="D69" s="6"/>
      <c r="E69" s="18"/>
      <c r="F69" s="6"/>
      <c r="G69" s="6"/>
      <c r="H69" s="6"/>
      <c r="I69" s="4"/>
      <c r="J69" s="4"/>
    </row>
    <row r="70" spans="1:10" ht="18" customHeight="1">
      <c r="A70" s="55"/>
      <c r="B70" s="6"/>
      <c r="C70" s="11"/>
      <c r="D70" s="6"/>
      <c r="E70" s="6"/>
      <c r="F70" s="6"/>
      <c r="G70" s="6"/>
      <c r="H70" s="6"/>
      <c r="I70" s="4"/>
      <c r="J70" s="4"/>
    </row>
    <row r="71" spans="1:10" ht="18" customHeight="1">
      <c r="A71" s="55"/>
      <c r="B71" s="6"/>
      <c r="C71" s="16"/>
      <c r="D71" s="6"/>
      <c r="E71" s="18"/>
      <c r="F71" s="26"/>
      <c r="G71" s="4"/>
      <c r="H71" s="4"/>
      <c r="I71" s="4"/>
      <c r="J71" s="4"/>
    </row>
    <row r="72" spans="1:10" ht="18" customHeight="1">
      <c r="A72" s="55"/>
      <c r="B72" s="6"/>
      <c r="C72" s="6"/>
      <c r="D72" s="6"/>
      <c r="E72" s="21" t="s">
        <v>115</v>
      </c>
      <c r="F72" s="6"/>
      <c r="G72" s="4"/>
      <c r="H72" s="4"/>
      <c r="I72" s="4"/>
      <c r="J72" s="4"/>
    </row>
    <row r="73" spans="1:10" ht="18" customHeight="1">
      <c r="A73" s="55"/>
      <c r="B73" s="6"/>
      <c r="C73" s="6"/>
      <c r="D73" s="6"/>
      <c r="E73" s="6"/>
      <c r="F73" s="6"/>
      <c r="G73" s="4"/>
      <c r="H73" s="4"/>
      <c r="I73" s="4"/>
      <c r="J73" s="4"/>
    </row>
    <row r="74" spans="1:10" ht="18" customHeight="1">
      <c r="A74" s="55"/>
      <c r="B74" s="6"/>
      <c r="C74" s="21" t="s">
        <v>116</v>
      </c>
      <c r="D74" s="6"/>
      <c r="E74" s="6"/>
      <c r="F74" s="6"/>
      <c r="G74" s="4"/>
      <c r="H74" s="4"/>
      <c r="I74" s="4"/>
      <c r="J74" s="4"/>
    </row>
    <row r="75" spans="1:10" ht="18" customHeight="1">
      <c r="A75" s="55"/>
      <c r="B75" s="6"/>
      <c r="C75" s="21" t="s">
        <v>117</v>
      </c>
      <c r="D75" s="4"/>
      <c r="E75" s="6"/>
      <c r="F75" s="6"/>
      <c r="G75" s="4"/>
      <c r="H75" s="4"/>
      <c r="I75" s="4"/>
      <c r="J75" s="4"/>
    </row>
    <row r="76" spans="1:10" ht="18" customHeight="1">
      <c r="A76" s="55"/>
      <c r="B76" s="6"/>
      <c r="C76" s="4"/>
      <c r="D76" s="21" t="s">
        <v>118</v>
      </c>
      <c r="E76" s="6"/>
      <c r="F76" s="10" t="s">
        <v>61</v>
      </c>
      <c r="G76" s="4">
        <f>'入力'!D31</f>
        <v>18</v>
      </c>
      <c r="H76" s="11" t="s">
        <v>7</v>
      </c>
      <c r="I76" s="4"/>
      <c r="J76" s="4"/>
    </row>
    <row r="77" spans="1:10" ht="18" customHeight="1">
      <c r="A77" s="55"/>
      <c r="B77" s="6"/>
      <c r="C77" s="4"/>
      <c r="D77" s="14" t="s">
        <v>119</v>
      </c>
      <c r="E77" s="4"/>
      <c r="F77" s="9" t="s">
        <v>70</v>
      </c>
      <c r="G77" s="4">
        <f>'入力'!D28</f>
        <v>0.5</v>
      </c>
      <c r="H77" s="4" t="s">
        <v>31</v>
      </c>
      <c r="I77" s="4"/>
      <c r="J77" s="4"/>
    </row>
    <row r="78" spans="1:10" ht="18" customHeight="1">
      <c r="A78" s="55"/>
      <c r="B78" s="6"/>
      <c r="C78" s="21" t="s">
        <v>120</v>
      </c>
      <c r="D78" s="6"/>
      <c r="E78" s="6"/>
      <c r="F78" s="6"/>
      <c r="G78" s="4"/>
      <c r="H78" s="4"/>
      <c r="I78" s="4"/>
      <c r="J78" s="4"/>
    </row>
    <row r="79" spans="1:10" ht="18" customHeight="1">
      <c r="A79" s="55"/>
      <c r="B79" s="6"/>
      <c r="C79" s="4"/>
      <c r="D79" s="21" t="s">
        <v>118</v>
      </c>
      <c r="E79" s="6"/>
      <c r="F79" s="10" t="s">
        <v>53</v>
      </c>
      <c r="G79" s="4">
        <f>'入力'!I22</f>
        <v>20</v>
      </c>
      <c r="H79" s="11" t="s">
        <v>7</v>
      </c>
      <c r="I79" s="4"/>
      <c r="J79" s="4"/>
    </row>
    <row r="80" spans="1:10" ht="18" customHeight="1">
      <c r="A80" s="55"/>
      <c r="B80" s="6"/>
      <c r="C80" s="4"/>
      <c r="D80" s="21" t="s">
        <v>121</v>
      </c>
      <c r="E80" s="6"/>
      <c r="F80" s="8" t="s">
        <v>234</v>
      </c>
      <c r="G80" s="4">
        <f>'入力'!I23</f>
        <v>10</v>
      </c>
      <c r="H80" s="11" t="s">
        <v>63</v>
      </c>
      <c r="I80" s="4"/>
      <c r="J80" s="4"/>
    </row>
    <row r="81" spans="1:10" ht="18" customHeight="1">
      <c r="A81" s="55"/>
      <c r="B81" s="6"/>
      <c r="C81" s="4"/>
      <c r="D81" s="21" t="s">
        <v>122</v>
      </c>
      <c r="E81" s="6"/>
      <c r="F81" s="7" t="s">
        <v>235</v>
      </c>
      <c r="G81" s="4">
        <f>'入力'!I24</f>
        <v>35</v>
      </c>
      <c r="H81" s="14" t="s">
        <v>157</v>
      </c>
      <c r="I81" s="27">
        <f>G81*PI()/180</f>
        <v>0.6108652381980153</v>
      </c>
      <c r="J81" s="4" t="s">
        <v>123</v>
      </c>
    </row>
    <row r="82" spans="1:10" ht="18" customHeight="1">
      <c r="A82" s="55"/>
      <c r="B82" s="6"/>
      <c r="C82" s="6"/>
      <c r="D82" s="6"/>
      <c r="E82" s="6"/>
      <c r="F82" s="6"/>
      <c r="G82" s="4"/>
      <c r="H82" s="4"/>
      <c r="I82" s="4"/>
      <c r="J82" s="4"/>
    </row>
    <row r="83" spans="1:10" ht="18" customHeight="1">
      <c r="A83" s="55"/>
      <c r="B83" s="6"/>
      <c r="C83" s="21" t="s">
        <v>124</v>
      </c>
      <c r="D83" s="6"/>
      <c r="E83" s="6"/>
      <c r="F83" s="6"/>
      <c r="G83" s="4"/>
      <c r="H83" s="4"/>
      <c r="I83" s="4"/>
      <c r="J83" s="4"/>
    </row>
    <row r="84" spans="1:10" ht="18" customHeight="1">
      <c r="A84" s="55"/>
      <c r="B84" s="6"/>
      <c r="C84" s="6"/>
      <c r="D84" s="6"/>
      <c r="E84" s="6"/>
      <c r="F84" s="6"/>
      <c r="G84" s="4"/>
      <c r="H84" s="4"/>
      <c r="I84" s="4"/>
      <c r="J84" s="4"/>
    </row>
    <row r="85" spans="1:10" ht="18" customHeight="1">
      <c r="A85" s="55"/>
      <c r="B85" s="6"/>
      <c r="C85" s="6"/>
      <c r="D85" s="6"/>
      <c r="E85" s="6"/>
      <c r="F85" s="6"/>
      <c r="H85" s="17">
        <f>(TAN(PI()/4+I81/2))^2*EXP(PI()*TAN(I81))</f>
        <v>33.29609149141177</v>
      </c>
      <c r="I85" s="4"/>
      <c r="J85" s="4"/>
    </row>
    <row r="86" spans="1:10" ht="18" customHeight="1">
      <c r="A86" s="55"/>
      <c r="B86" s="6"/>
      <c r="C86" s="6"/>
      <c r="D86" s="6"/>
      <c r="E86" s="6"/>
      <c r="F86" s="6"/>
      <c r="G86" s="4"/>
      <c r="H86" s="4"/>
      <c r="I86" s="4"/>
      <c r="J86" s="4"/>
    </row>
    <row r="87" spans="1:10" ht="18" customHeight="1">
      <c r="A87" s="55"/>
      <c r="B87" s="6"/>
      <c r="C87" s="6"/>
      <c r="D87" s="6"/>
      <c r="E87" s="6"/>
      <c r="F87" s="28">
        <f>(H85-1)/TAN(I81)</f>
        <v>46.12359868902069</v>
      </c>
      <c r="G87" s="4"/>
      <c r="H87" s="4"/>
      <c r="I87" s="4"/>
      <c r="J87" s="4"/>
    </row>
    <row r="88" spans="1:10" ht="18" customHeight="1">
      <c r="A88" s="55"/>
      <c r="B88" s="6"/>
      <c r="C88" s="6"/>
      <c r="D88" s="6"/>
      <c r="E88" s="6"/>
      <c r="F88" s="6"/>
      <c r="G88" s="4"/>
      <c r="H88" s="4"/>
      <c r="I88" s="4"/>
      <c r="J88" s="4"/>
    </row>
    <row r="89" spans="1:10" ht="18" customHeight="1">
      <c r="A89" s="55"/>
      <c r="B89" s="6"/>
      <c r="C89" s="6"/>
      <c r="D89" s="6"/>
      <c r="E89" s="6"/>
      <c r="F89" s="28">
        <f>2*(H85+1)*TAN(I81)</f>
        <v>48.02876358683282</v>
      </c>
      <c r="G89" s="4"/>
      <c r="H89" s="4"/>
      <c r="I89" s="4"/>
      <c r="J89" s="4"/>
    </row>
    <row r="90" spans="1:10" ht="18" customHeight="1">
      <c r="A90" s="55"/>
      <c r="B90" s="6"/>
      <c r="C90" s="21" t="s">
        <v>125</v>
      </c>
      <c r="D90" s="6"/>
      <c r="E90" s="6"/>
      <c r="F90" s="6"/>
      <c r="G90" s="4"/>
      <c r="H90" s="4"/>
      <c r="I90" s="4"/>
      <c r="J90" s="4"/>
    </row>
    <row r="91" spans="1:10" ht="18" customHeight="1">
      <c r="A91" s="55"/>
      <c r="B91" s="6"/>
      <c r="C91" s="6"/>
      <c r="D91" s="6"/>
      <c r="E91" s="6"/>
      <c r="F91" s="6"/>
      <c r="H91" s="114">
        <f>G80*F87+G76*G77*H85+0.5*B*G79*F89</f>
        <v>1625.4185548759037</v>
      </c>
      <c r="I91" s="116" t="s">
        <v>56</v>
      </c>
      <c r="J91" s="4"/>
    </row>
    <row r="92" spans="1:10" ht="18" customHeight="1">
      <c r="A92" s="55"/>
      <c r="B92" s="6"/>
      <c r="C92" s="6"/>
      <c r="D92" s="6"/>
      <c r="E92" s="6"/>
      <c r="F92" s="6"/>
      <c r="G92" s="4"/>
      <c r="H92" s="115"/>
      <c r="I92" s="116"/>
      <c r="J92" s="4"/>
    </row>
    <row r="93" spans="1:10" ht="18" customHeight="1">
      <c r="A93" s="55" t="s">
        <v>215</v>
      </c>
      <c r="B93" s="6"/>
      <c r="C93" s="6"/>
      <c r="D93" s="6"/>
      <c r="E93" s="6"/>
      <c r="F93" s="6"/>
      <c r="G93" s="4"/>
      <c r="H93" s="4"/>
      <c r="I93" s="4"/>
      <c r="J93" s="4"/>
    </row>
    <row r="94" spans="1:10" ht="18" customHeight="1">
      <c r="A94" s="55"/>
      <c r="B94" s="6"/>
      <c r="C94" s="6"/>
      <c r="D94" s="6"/>
      <c r="E94" s="29">
        <f>H91/MAX(E58,H58)</f>
        <v>12.453105659319519</v>
      </c>
      <c r="F94" s="18" t="str">
        <f>IF(E94&gt;=G94,"&gt;","&lt;")</f>
        <v>&gt;</v>
      </c>
      <c r="G94" s="2">
        <f>'入力'!I29</f>
        <v>3</v>
      </c>
      <c r="H94" s="4"/>
      <c r="I94" s="18" t="str">
        <f>IF(E94&gt;=G94,"SAFE","OUT")</f>
        <v>SAFE</v>
      </c>
      <c r="J94" s="4"/>
    </row>
    <row r="95" spans="1:10" ht="18" customHeight="1">
      <c r="A95" s="55"/>
      <c r="B95" s="6"/>
      <c r="C95" s="6"/>
      <c r="D95" s="6"/>
      <c r="E95" s="6"/>
      <c r="F95" s="6"/>
      <c r="G95" s="4"/>
      <c r="H95" s="4"/>
      <c r="I95" s="4"/>
      <c r="J95" s="4"/>
    </row>
    <row r="96" spans="1:10" ht="18" customHeight="1">
      <c r="A96" s="55"/>
      <c r="B96" s="6"/>
      <c r="C96" s="6"/>
      <c r="D96" s="6"/>
      <c r="E96" s="6"/>
      <c r="F96" s="6"/>
      <c r="G96" s="4"/>
      <c r="H96" s="4"/>
      <c r="I96" s="4"/>
      <c r="J96" s="4"/>
    </row>
    <row r="97" spans="1:10" ht="18" customHeight="1">
      <c r="A97" s="55" t="s">
        <v>216</v>
      </c>
      <c r="B97" s="6"/>
      <c r="C97" s="6"/>
      <c r="D97" s="6"/>
      <c r="E97" s="6"/>
      <c r="F97" s="6"/>
      <c r="G97" s="4"/>
      <c r="H97" s="4"/>
      <c r="I97" s="4"/>
      <c r="J97" s="4"/>
    </row>
    <row r="98" spans="1:10" ht="18" customHeight="1">
      <c r="A98" s="55"/>
      <c r="B98" s="6"/>
      <c r="C98" s="6"/>
      <c r="D98" s="6"/>
      <c r="E98" s="6"/>
      <c r="F98" s="6"/>
      <c r="G98" s="4"/>
      <c r="H98" s="4"/>
      <c r="I98" s="4"/>
      <c r="J98" s="4"/>
    </row>
    <row r="99" spans="1:10" ht="18" customHeight="1">
      <c r="A99" s="56"/>
      <c r="B99" s="14" t="s">
        <v>228</v>
      </c>
      <c r="C99" s="4"/>
      <c r="D99" s="4"/>
      <c r="E99" s="4"/>
      <c r="F99" s="4"/>
      <c r="G99" s="4"/>
      <c r="H99" s="4"/>
      <c r="I99" s="4"/>
      <c r="J99" s="4"/>
    </row>
    <row r="100" spans="1:10" ht="18" customHeight="1">
      <c r="A100" s="56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8" customHeight="1">
      <c r="A101" s="56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8" customHeight="1">
      <c r="A102" s="56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8" customHeight="1">
      <c r="A103" s="56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8" customHeight="1">
      <c r="A104" s="56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8" customHeight="1">
      <c r="A105" s="56"/>
      <c r="B105" s="4"/>
      <c r="C105" s="4"/>
      <c r="D105" s="4"/>
      <c r="E105" s="4"/>
      <c r="F105" s="4"/>
      <c r="G105" s="4"/>
      <c r="H105" s="4"/>
      <c r="I105" s="4"/>
      <c r="J105" s="4"/>
    </row>
    <row r="106" spans="1:10" ht="18" customHeight="1">
      <c r="A106" s="56"/>
      <c r="B106" s="4"/>
      <c r="C106" s="4"/>
      <c r="D106" s="4"/>
      <c r="E106" s="4"/>
      <c r="F106" s="4"/>
      <c r="G106" s="4"/>
      <c r="H106" s="4"/>
      <c r="I106" s="4"/>
      <c r="J106" s="4"/>
    </row>
    <row r="107" spans="1:10" ht="18" customHeight="1">
      <c r="A107" s="56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8" customHeight="1">
      <c r="A108" s="56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8" customHeight="1">
      <c r="A109" s="56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8" customHeight="1">
      <c r="A110" s="56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8" customHeight="1">
      <c r="A111" s="56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8" customHeight="1">
      <c r="A112" s="56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8" customHeight="1">
      <c r="A113" s="56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8" customHeight="1">
      <c r="A114" s="56"/>
      <c r="B114" s="14" t="s">
        <v>28</v>
      </c>
      <c r="C114" s="4"/>
      <c r="D114" s="4"/>
      <c r="E114" s="4"/>
      <c r="F114" s="4"/>
      <c r="G114" s="4"/>
      <c r="H114" s="4"/>
      <c r="I114" s="4"/>
      <c r="J114" s="4"/>
    </row>
    <row r="115" spans="1:10" ht="18" customHeight="1">
      <c r="A115" s="56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8" customHeight="1">
      <c r="A116" s="56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8" customHeight="1">
      <c r="A117" s="56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8" customHeight="1">
      <c r="A118" s="56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8" customHeight="1">
      <c r="A119" s="56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8" customHeight="1">
      <c r="A120" s="56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8" customHeight="1">
      <c r="A121" s="56"/>
      <c r="B121" s="4"/>
      <c r="C121" s="7" t="s">
        <v>29</v>
      </c>
      <c r="D121" s="8" t="s">
        <v>30</v>
      </c>
      <c r="E121" s="4">
        <f>B</f>
        <v>1.8</v>
      </c>
      <c r="F121" s="4" t="s">
        <v>31</v>
      </c>
      <c r="G121" s="4"/>
      <c r="H121" s="4"/>
      <c r="I121" s="4"/>
      <c r="J121" s="4"/>
    </row>
    <row r="122" spans="1:10" ht="18" customHeight="1">
      <c r="A122" s="56"/>
      <c r="B122" s="4"/>
      <c r="C122" s="7" t="s">
        <v>126</v>
      </c>
      <c r="D122" s="8" t="s">
        <v>57</v>
      </c>
      <c r="E122" s="4">
        <f>'入力'!D28</f>
        <v>0.5</v>
      </c>
      <c r="F122" s="4" t="s">
        <v>20</v>
      </c>
      <c r="G122" s="4"/>
      <c r="H122" s="4"/>
      <c r="I122" s="4"/>
      <c r="J122" s="4"/>
    </row>
    <row r="123" spans="1:10" ht="18" customHeight="1">
      <c r="A123" s="56"/>
      <c r="B123" s="4"/>
      <c r="C123" s="7" t="s">
        <v>162</v>
      </c>
      <c r="D123" s="8" t="s">
        <v>32</v>
      </c>
      <c r="E123" s="4">
        <f>'入力'!I21</f>
        <v>2</v>
      </c>
      <c r="F123" s="4" t="s">
        <v>25</v>
      </c>
      <c r="G123" s="4"/>
      <c r="H123" s="4"/>
      <c r="I123" s="4"/>
      <c r="J123" s="4"/>
    </row>
    <row r="124" spans="1:10" ht="18" customHeight="1">
      <c r="A124" s="56"/>
      <c r="B124" s="4"/>
      <c r="C124" s="7" t="s">
        <v>127</v>
      </c>
      <c r="D124" s="7" t="s">
        <v>199</v>
      </c>
      <c r="E124" s="4">
        <f>'入力'!I26</f>
        <v>30</v>
      </c>
      <c r="F124" s="14" t="s">
        <v>157</v>
      </c>
      <c r="G124" s="4"/>
      <c r="H124" s="4"/>
      <c r="I124" s="4"/>
      <c r="J124" s="4"/>
    </row>
    <row r="125" spans="1:10" ht="18" customHeight="1">
      <c r="A125" s="56"/>
      <c r="B125" s="4"/>
      <c r="C125" s="7" t="s">
        <v>128</v>
      </c>
      <c r="D125" s="8" t="s">
        <v>24</v>
      </c>
      <c r="E125" s="27">
        <f>'入力'!I27</f>
        <v>4.11</v>
      </c>
      <c r="F125" s="4" t="s">
        <v>25</v>
      </c>
      <c r="G125" s="4"/>
      <c r="H125" s="4"/>
      <c r="I125" s="4"/>
      <c r="J125" s="4"/>
    </row>
    <row r="126" spans="1:10" ht="18" customHeight="1">
      <c r="A126" s="56"/>
      <c r="B126" s="4"/>
      <c r="C126" s="7" t="s">
        <v>33</v>
      </c>
      <c r="D126" s="57" t="s">
        <v>129</v>
      </c>
      <c r="E126" s="10" t="s">
        <v>171</v>
      </c>
      <c r="F126" s="4">
        <f>'入力'!D31</f>
        <v>18</v>
      </c>
      <c r="G126" s="4" t="s">
        <v>172</v>
      </c>
      <c r="H126" s="4"/>
      <c r="I126" s="4"/>
      <c r="J126" s="4"/>
    </row>
    <row r="127" spans="1:10" ht="18" customHeight="1">
      <c r="A127" s="56"/>
      <c r="B127" s="4"/>
      <c r="C127" s="12"/>
      <c r="D127" s="57" t="s">
        <v>130</v>
      </c>
      <c r="E127" s="10" t="s">
        <v>173</v>
      </c>
      <c r="F127" s="4">
        <f>'入力'!I22</f>
        <v>20</v>
      </c>
      <c r="G127" s="4" t="s">
        <v>71</v>
      </c>
      <c r="H127" s="4"/>
      <c r="I127" s="4"/>
      <c r="J127" s="4"/>
    </row>
    <row r="128" spans="1:10" ht="18" customHeight="1">
      <c r="A128" s="56"/>
      <c r="B128" s="4"/>
      <c r="C128" s="7" t="s">
        <v>26</v>
      </c>
      <c r="D128" s="8" t="s">
        <v>72</v>
      </c>
      <c r="E128" s="4">
        <f>'入力'!D32</f>
        <v>13</v>
      </c>
      <c r="F128" s="4" t="s">
        <v>63</v>
      </c>
      <c r="G128" s="8" t="s">
        <v>236</v>
      </c>
      <c r="H128" s="4">
        <f>'入力'!D33</f>
        <v>5.6</v>
      </c>
      <c r="I128" s="4" t="s">
        <v>172</v>
      </c>
      <c r="J128" s="4"/>
    </row>
    <row r="129" spans="1:10" ht="18" customHeight="1">
      <c r="A129" s="56"/>
      <c r="B129" s="4"/>
      <c r="C129" s="7" t="s">
        <v>34</v>
      </c>
      <c r="D129" s="8" t="s">
        <v>73</v>
      </c>
      <c r="E129" s="15">
        <f>E128+H128/2*(E122+E123)</f>
        <v>20</v>
      </c>
      <c r="F129" s="4" t="s">
        <v>59</v>
      </c>
      <c r="G129" s="4"/>
      <c r="H129" s="4"/>
      <c r="I129" s="4"/>
      <c r="J129" s="4"/>
    </row>
    <row r="130" spans="1:10" ht="18" customHeight="1">
      <c r="A130" s="56"/>
      <c r="B130" s="4"/>
      <c r="C130" s="4"/>
      <c r="D130" s="8" t="s">
        <v>9</v>
      </c>
      <c r="E130" s="15">
        <f>E128+H128*(E122+E123+0.25*E125)</f>
        <v>32.754</v>
      </c>
      <c r="F130" s="4" t="s">
        <v>59</v>
      </c>
      <c r="G130" s="4"/>
      <c r="H130" s="4"/>
      <c r="I130" s="4"/>
      <c r="J130" s="4"/>
    </row>
    <row r="131" spans="1:10" ht="18" customHeight="1">
      <c r="A131" s="56"/>
      <c r="B131" s="4"/>
      <c r="C131" s="4"/>
      <c r="D131" s="8" t="s">
        <v>10</v>
      </c>
      <c r="E131" s="15">
        <f>E128+H128*(E122+E123+0.637*E125)</f>
        <v>41.661192</v>
      </c>
      <c r="F131" s="4" t="s">
        <v>59</v>
      </c>
      <c r="G131" s="4"/>
      <c r="H131" s="4"/>
      <c r="I131" s="4"/>
      <c r="J131" s="4"/>
    </row>
    <row r="132" spans="1:10" ht="18" customHeight="1">
      <c r="A132" s="56"/>
      <c r="B132" s="4"/>
      <c r="C132" s="7" t="s">
        <v>35</v>
      </c>
      <c r="D132" s="8" t="s">
        <v>74</v>
      </c>
      <c r="E132" s="15">
        <f>E125/E121*(2*E130+PI()*E131+(F126-F127)*E123)+1/E121*(E129*(E122+E123))+E122*F126</f>
        <v>476.06940740441377</v>
      </c>
      <c r="F132" s="4" t="s">
        <v>56</v>
      </c>
      <c r="G132" s="4"/>
      <c r="H132" s="4"/>
      <c r="I132" s="4"/>
      <c r="J132" s="4"/>
    </row>
    <row r="133" spans="1:10" ht="18" customHeight="1">
      <c r="A133" s="56"/>
      <c r="B133" s="6"/>
      <c r="C133" s="6"/>
      <c r="D133" s="6"/>
      <c r="E133" s="6"/>
      <c r="F133" s="6"/>
      <c r="G133" s="4"/>
      <c r="H133" s="4"/>
      <c r="I133" s="4"/>
      <c r="J133" s="4"/>
    </row>
    <row r="134" spans="1:10" ht="18" customHeight="1">
      <c r="A134" s="55"/>
      <c r="B134" s="4"/>
      <c r="C134" s="21" t="s">
        <v>131</v>
      </c>
      <c r="D134" s="6"/>
      <c r="E134" s="6"/>
      <c r="F134" s="29">
        <f>E132/MAX(E58,H58)</f>
        <v>3.6473944595947</v>
      </c>
      <c r="G134" s="18" t="str">
        <f>IF(F134&gt;=H134,"&gt;","&lt;")</f>
        <v>&gt;</v>
      </c>
      <c r="H134" s="2">
        <f>G94</f>
        <v>3</v>
      </c>
      <c r="I134" s="18" t="str">
        <f>IF(F134&gt;=H134,"SAFE","OUT")</f>
        <v>SAFE</v>
      </c>
      <c r="J134" s="4"/>
    </row>
    <row r="135" spans="1:10" ht="18" customHeight="1">
      <c r="A135" s="55"/>
      <c r="B135" s="6"/>
      <c r="C135" s="6"/>
      <c r="D135" s="6"/>
      <c r="E135" s="4"/>
      <c r="F135" s="4"/>
      <c r="G135" s="4"/>
      <c r="H135" s="4"/>
      <c r="I135" s="4"/>
      <c r="J135" s="4"/>
    </row>
    <row r="136" spans="1:10" ht="18" customHeight="1">
      <c r="A136" s="55"/>
      <c r="B136" s="6"/>
      <c r="C136" s="6"/>
      <c r="D136" s="6"/>
      <c r="E136" s="6"/>
      <c r="F136" s="6"/>
      <c r="G136" s="4"/>
      <c r="H136" s="4"/>
      <c r="I136" s="4"/>
      <c r="J136" s="4"/>
    </row>
    <row r="137" spans="1:10" ht="18" customHeight="1">
      <c r="A137" s="55" t="s">
        <v>217</v>
      </c>
      <c r="B137" s="4"/>
      <c r="C137" s="4"/>
      <c r="D137" s="4"/>
      <c r="E137" s="15"/>
      <c r="F137" s="13"/>
      <c r="G137" s="30"/>
      <c r="H137" s="13"/>
      <c r="I137" s="4"/>
      <c r="J137" s="4"/>
    </row>
    <row r="138" spans="1:10" ht="18" customHeight="1">
      <c r="A138" s="56"/>
      <c r="B138" s="4"/>
      <c r="C138" s="4"/>
      <c r="D138" s="4"/>
      <c r="E138" s="4"/>
      <c r="F138" s="4"/>
      <c r="G138" s="4"/>
      <c r="H138" s="4"/>
      <c r="I138" s="4"/>
      <c r="J138" s="4"/>
    </row>
    <row r="139" spans="1:10" ht="18" customHeight="1">
      <c r="A139" s="56" t="s">
        <v>218</v>
      </c>
      <c r="B139" s="4"/>
      <c r="C139" s="4"/>
      <c r="D139" s="4"/>
      <c r="E139" s="4"/>
      <c r="F139" s="4"/>
      <c r="G139" s="4"/>
      <c r="H139" s="4"/>
      <c r="I139" s="4"/>
      <c r="J139" s="4"/>
    </row>
    <row r="140" spans="1:10" ht="18" customHeight="1">
      <c r="A140" s="56"/>
      <c r="B140" s="4"/>
      <c r="C140" s="3" t="s">
        <v>132</v>
      </c>
      <c r="D140" s="4"/>
      <c r="E140" s="8" t="s">
        <v>30</v>
      </c>
      <c r="F140" s="4">
        <f>B</f>
        <v>1.8</v>
      </c>
      <c r="G140" s="4" t="s">
        <v>31</v>
      </c>
      <c r="H140" s="4"/>
      <c r="I140" s="4"/>
      <c r="J140" s="4"/>
    </row>
    <row r="141" spans="1:10" ht="18" customHeight="1">
      <c r="A141" s="56"/>
      <c r="B141" s="4"/>
      <c r="C141" s="3" t="s">
        <v>163</v>
      </c>
      <c r="D141" s="4"/>
      <c r="E141" s="8" t="s">
        <v>37</v>
      </c>
      <c r="F141" s="15">
        <f>'入力'!D27</f>
        <v>10</v>
      </c>
      <c r="G141" s="4" t="s">
        <v>31</v>
      </c>
      <c r="H141" s="4"/>
      <c r="I141" s="4"/>
      <c r="J141" s="4"/>
    </row>
    <row r="142" spans="1:10" ht="18" customHeight="1">
      <c r="A142" s="56"/>
      <c r="B142" s="4"/>
      <c r="D142" s="7" t="s">
        <v>38</v>
      </c>
      <c r="E142" s="8" t="s">
        <v>233</v>
      </c>
      <c r="F142" s="15">
        <f>'入力'!D30-'入力'!D28</f>
        <v>4.5</v>
      </c>
      <c r="G142" s="4" t="s">
        <v>39</v>
      </c>
      <c r="H142" s="4"/>
      <c r="I142" s="4"/>
      <c r="J142" s="4"/>
    </row>
    <row r="143" spans="1:10" ht="18" customHeight="1">
      <c r="A143" s="56"/>
      <c r="B143" s="4"/>
      <c r="C143" s="3" t="s">
        <v>22</v>
      </c>
      <c r="D143" s="4"/>
      <c r="E143" s="7" t="s">
        <v>76</v>
      </c>
      <c r="F143" s="4">
        <f>E124</f>
        <v>30</v>
      </c>
      <c r="G143" s="58" t="s">
        <v>229</v>
      </c>
      <c r="H143" s="4">
        <f>F143*PI()/180</f>
        <v>0.5235987755982988</v>
      </c>
      <c r="I143" s="4" t="s">
        <v>40</v>
      </c>
      <c r="J143" s="4"/>
    </row>
    <row r="144" spans="1:10" ht="18" customHeight="1">
      <c r="A144" s="56"/>
      <c r="B144" s="4"/>
      <c r="C144" s="12"/>
      <c r="D144" s="8"/>
      <c r="E144" s="5"/>
      <c r="F144" s="4"/>
      <c r="G144" s="4"/>
      <c r="H144" s="4"/>
      <c r="I144" s="4"/>
      <c r="J144" s="4"/>
    </row>
    <row r="145" spans="1:10" ht="18" customHeight="1">
      <c r="A145" s="56"/>
      <c r="B145" s="4"/>
      <c r="C145" s="7" t="s">
        <v>41</v>
      </c>
      <c r="D145" s="4"/>
      <c r="E145" s="4"/>
      <c r="F145" s="4"/>
      <c r="G145" s="4"/>
      <c r="H145" s="4"/>
      <c r="I145" s="4"/>
      <c r="J145" s="4"/>
    </row>
    <row r="146" spans="1:10" ht="18" customHeight="1">
      <c r="A146" s="56"/>
      <c r="B146" s="4"/>
      <c r="C146" s="117"/>
      <c r="D146" s="118"/>
      <c r="E146" s="59" t="s">
        <v>133</v>
      </c>
      <c r="F146" s="31" t="s">
        <v>164</v>
      </c>
      <c r="G146" s="4"/>
      <c r="H146" s="4"/>
      <c r="I146" s="4"/>
      <c r="J146" s="4"/>
    </row>
    <row r="147" spans="1:10" ht="18" customHeight="1">
      <c r="A147" s="56"/>
      <c r="B147" s="4"/>
      <c r="C147" s="32" t="s">
        <v>42</v>
      </c>
      <c r="D147" s="33" t="s">
        <v>21</v>
      </c>
      <c r="E147" s="34">
        <f>'入力'!I21</f>
        <v>2</v>
      </c>
      <c r="F147" s="35">
        <f>hn-'入力'!I21</f>
        <v>2.5</v>
      </c>
      <c r="G147" s="4"/>
      <c r="H147" s="4"/>
      <c r="I147" s="4"/>
      <c r="J147" s="4"/>
    </row>
    <row r="148" spans="1:10" ht="18" customHeight="1">
      <c r="A148" s="56"/>
      <c r="B148" s="4"/>
      <c r="C148" s="36" t="s">
        <v>77</v>
      </c>
      <c r="D148" s="33" t="s">
        <v>174</v>
      </c>
      <c r="E148" s="37">
        <f>'入力'!I25</f>
        <v>21000</v>
      </c>
      <c r="F148" s="38">
        <f>'入力'!D34</f>
        <v>10000</v>
      </c>
      <c r="G148" s="4"/>
      <c r="H148" s="4"/>
      <c r="I148" s="4"/>
      <c r="J148" s="4"/>
    </row>
    <row r="149" spans="1:10" ht="18" customHeight="1">
      <c r="A149" s="56"/>
      <c r="B149" s="4"/>
      <c r="C149" s="36" t="s">
        <v>175</v>
      </c>
      <c r="D149" s="33" t="s">
        <v>176</v>
      </c>
      <c r="E149" s="37">
        <v>0</v>
      </c>
      <c r="F149" s="38">
        <f>'入力'!D35</f>
        <v>20</v>
      </c>
      <c r="G149" s="4"/>
      <c r="H149" s="4"/>
      <c r="I149" s="4"/>
      <c r="J149" s="4"/>
    </row>
    <row r="150" spans="1:10" ht="18" customHeight="1">
      <c r="A150" s="56"/>
      <c r="B150" s="4"/>
      <c r="C150" s="32" t="s">
        <v>177</v>
      </c>
      <c r="D150" s="39" t="s">
        <v>134</v>
      </c>
      <c r="E150" s="37">
        <v>10</v>
      </c>
      <c r="F150" s="38">
        <v>20</v>
      </c>
      <c r="G150" s="4"/>
      <c r="H150" s="4"/>
      <c r="I150" s="4"/>
      <c r="J150" s="4"/>
    </row>
    <row r="151" spans="1:10" ht="18" customHeight="1">
      <c r="A151" s="56"/>
      <c r="B151" s="4"/>
      <c r="C151" s="40" t="s">
        <v>178</v>
      </c>
      <c r="D151" s="41" t="s">
        <v>135</v>
      </c>
      <c r="E151" s="42">
        <f>E147/E150</f>
        <v>0.2</v>
      </c>
      <c r="F151" s="43">
        <f>F147/F150</f>
        <v>0.125</v>
      </c>
      <c r="G151" s="4"/>
      <c r="H151" s="4"/>
      <c r="I151" s="4"/>
      <c r="J151" s="4"/>
    </row>
    <row r="152" spans="1:10" ht="18" customHeight="1">
      <c r="A152" s="56"/>
      <c r="B152" s="4"/>
      <c r="C152" s="16"/>
      <c r="D152" s="18"/>
      <c r="E152" s="6"/>
      <c r="F152" s="6"/>
      <c r="G152" s="4"/>
      <c r="H152" s="4"/>
      <c r="I152" s="4"/>
      <c r="J152" s="4"/>
    </row>
    <row r="153" spans="1:10" ht="18" customHeight="1">
      <c r="A153" s="56"/>
      <c r="B153" s="4"/>
      <c r="C153" s="25" t="s">
        <v>136</v>
      </c>
      <c r="D153" s="18"/>
      <c r="E153" s="6"/>
      <c r="F153" s="6"/>
      <c r="G153" s="4"/>
      <c r="H153" s="4"/>
      <c r="I153" s="4"/>
      <c r="J153" s="4"/>
    </row>
    <row r="154" spans="1:10" ht="18" customHeight="1">
      <c r="A154" s="56"/>
      <c r="B154" s="4"/>
      <c r="C154" s="16"/>
      <c r="D154" s="25" t="s">
        <v>137</v>
      </c>
      <c r="E154" s="9" t="s">
        <v>179</v>
      </c>
      <c r="F154" s="6">
        <f>'入力'!D21</f>
        <v>128.15</v>
      </c>
      <c r="G154" s="4" t="s">
        <v>16</v>
      </c>
      <c r="H154" s="4"/>
      <c r="I154" s="4"/>
      <c r="J154" s="4"/>
    </row>
    <row r="155" spans="1:10" ht="18" customHeight="1">
      <c r="A155" s="56"/>
      <c r="B155" s="4"/>
      <c r="C155" s="16"/>
      <c r="D155" s="25" t="s">
        <v>138</v>
      </c>
      <c r="E155" s="9" t="s">
        <v>180</v>
      </c>
      <c r="F155" s="6">
        <f>'入力'!D22</f>
        <v>32.52</v>
      </c>
      <c r="G155" s="4" t="s">
        <v>96</v>
      </c>
      <c r="H155" s="4"/>
      <c r="I155" s="4"/>
      <c r="J155" s="4"/>
    </row>
    <row r="156" spans="1:10" ht="18" customHeight="1">
      <c r="A156" s="56"/>
      <c r="B156" s="4"/>
      <c r="C156" s="16"/>
      <c r="D156" s="23" t="s">
        <v>139</v>
      </c>
      <c r="E156" s="9" t="s">
        <v>181</v>
      </c>
      <c r="F156" s="9" t="s">
        <v>182</v>
      </c>
      <c r="G156" s="4">
        <f>F154*E56</f>
        <v>32.0375</v>
      </c>
      <c r="H156" s="4" t="s">
        <v>140</v>
      </c>
      <c r="I156" s="4"/>
      <c r="J156" s="4"/>
    </row>
    <row r="157" spans="1:10" ht="18" customHeight="1">
      <c r="A157" s="56"/>
      <c r="B157" s="4"/>
      <c r="C157" s="16"/>
      <c r="D157" s="11"/>
      <c r="E157" s="9"/>
      <c r="F157" s="9"/>
      <c r="G157" s="4"/>
      <c r="H157" s="4"/>
      <c r="I157" s="4"/>
      <c r="J157" s="4"/>
    </row>
    <row r="158" spans="1:10" ht="18" customHeight="1">
      <c r="A158" s="56" t="s">
        <v>219</v>
      </c>
      <c r="B158" s="4"/>
      <c r="C158" s="4"/>
      <c r="D158" s="4"/>
      <c r="E158" s="4"/>
      <c r="F158" s="4"/>
      <c r="G158" s="4"/>
      <c r="H158" s="4"/>
      <c r="I158" s="4"/>
      <c r="J158" s="4"/>
    </row>
    <row r="159" spans="1:10" ht="18" customHeight="1">
      <c r="A159" s="56"/>
      <c r="B159" s="4"/>
      <c r="C159" s="4"/>
      <c r="D159" s="4"/>
      <c r="E159" s="4"/>
      <c r="F159" s="4"/>
      <c r="G159" s="4"/>
      <c r="H159" s="4"/>
      <c r="I159" s="4"/>
      <c r="J159" s="4"/>
    </row>
    <row r="160" spans="1:10" ht="18" customHeight="1">
      <c r="A160" s="56"/>
      <c r="B160" s="14" t="s">
        <v>232</v>
      </c>
      <c r="C160" s="4"/>
      <c r="D160" s="4"/>
      <c r="E160" s="4"/>
      <c r="F160" s="4"/>
      <c r="G160" s="4"/>
      <c r="H160" s="4"/>
      <c r="I160" s="4"/>
      <c r="J160" s="4"/>
    </row>
    <row r="161" spans="1:10" ht="18" customHeight="1">
      <c r="A161" s="56"/>
      <c r="B161" s="4"/>
      <c r="C161" s="4"/>
      <c r="D161" s="4"/>
      <c r="E161" s="4"/>
      <c r="F161" s="4"/>
      <c r="G161" s="4"/>
      <c r="H161" s="4"/>
      <c r="I161" s="4"/>
      <c r="J161" s="4"/>
    </row>
    <row r="162" spans="1:10" ht="18" customHeight="1">
      <c r="A162" s="56"/>
      <c r="B162" s="4"/>
      <c r="C162" s="4"/>
      <c r="D162" s="4"/>
      <c r="E162" s="4"/>
      <c r="F162" s="4"/>
      <c r="G162" s="4"/>
      <c r="H162" s="4"/>
      <c r="I162" s="4"/>
      <c r="J162" s="4"/>
    </row>
    <row r="163" spans="1:10" ht="18" customHeight="1">
      <c r="A163" s="56"/>
      <c r="B163" s="4"/>
      <c r="C163" s="4"/>
      <c r="D163" s="4"/>
      <c r="E163" s="4"/>
      <c r="F163" s="4"/>
      <c r="G163" s="4"/>
      <c r="H163" s="4"/>
      <c r="I163" s="4"/>
      <c r="J163" s="4"/>
    </row>
    <row r="164" spans="1:10" ht="18" customHeight="1">
      <c r="A164" s="56"/>
      <c r="B164" s="4"/>
      <c r="C164" s="4"/>
      <c r="D164" s="4"/>
      <c r="E164" s="4"/>
      <c r="F164" s="4"/>
      <c r="G164" s="4"/>
      <c r="H164" s="4"/>
      <c r="I164" s="4"/>
      <c r="J164" s="4"/>
    </row>
    <row r="165" spans="1:10" ht="18" customHeight="1">
      <c r="A165" s="56"/>
      <c r="B165" s="4"/>
      <c r="C165" s="4"/>
      <c r="D165" s="4"/>
      <c r="E165" s="4"/>
      <c r="F165" s="4"/>
      <c r="G165" s="4"/>
      <c r="H165" s="4"/>
      <c r="I165" s="4"/>
      <c r="J165" s="4"/>
    </row>
    <row r="166" spans="1:10" ht="18" customHeight="1">
      <c r="A166" s="56"/>
      <c r="B166" s="4"/>
      <c r="C166" s="4"/>
      <c r="D166" s="4"/>
      <c r="E166" s="4"/>
      <c r="F166" s="4"/>
      <c r="G166" s="4"/>
      <c r="H166" s="4"/>
      <c r="I166" s="4"/>
      <c r="J166" s="4"/>
    </row>
    <row r="167" spans="1:10" ht="18" customHeight="1">
      <c r="A167" s="56"/>
      <c r="B167" s="4"/>
      <c r="C167" s="4"/>
      <c r="D167" s="4"/>
      <c r="E167" s="4"/>
      <c r="F167" s="4"/>
      <c r="G167" s="4"/>
      <c r="H167" s="4"/>
      <c r="I167" s="4"/>
      <c r="J167" s="4"/>
    </row>
    <row r="168" spans="1:10" ht="18" customHeight="1">
      <c r="A168" s="56"/>
      <c r="B168" s="4"/>
      <c r="C168" s="4"/>
      <c r="D168" s="4"/>
      <c r="E168" s="4"/>
      <c r="F168" s="4"/>
      <c r="G168" s="4"/>
      <c r="H168" s="4"/>
      <c r="I168" s="4"/>
      <c r="J168" s="4"/>
    </row>
    <row r="169" spans="1:10" ht="18" customHeight="1">
      <c r="A169" s="56"/>
      <c r="B169" s="4"/>
      <c r="C169" s="4"/>
      <c r="D169" s="4"/>
      <c r="E169" s="4"/>
      <c r="F169" s="4"/>
      <c r="G169" s="4"/>
      <c r="H169" s="4"/>
      <c r="I169" s="4"/>
      <c r="J169" s="4"/>
    </row>
    <row r="170" spans="1:10" ht="18" customHeight="1">
      <c r="A170" s="56"/>
      <c r="B170" s="4"/>
      <c r="C170" s="4"/>
      <c r="D170" s="4"/>
      <c r="E170" s="4"/>
      <c r="F170" s="4"/>
      <c r="G170" s="4"/>
      <c r="H170" s="4"/>
      <c r="I170" s="4"/>
      <c r="J170" s="4"/>
    </row>
    <row r="171" spans="1:10" ht="18" customHeight="1">
      <c r="A171" s="56"/>
      <c r="B171" s="4"/>
      <c r="C171" s="4"/>
      <c r="D171" s="4"/>
      <c r="E171" s="4"/>
      <c r="F171" s="4"/>
      <c r="G171" s="4"/>
      <c r="H171" s="4"/>
      <c r="I171" s="4"/>
      <c r="J171" s="4"/>
    </row>
    <row r="172" spans="1:10" ht="18" customHeight="1">
      <c r="A172" s="56"/>
      <c r="B172" s="4"/>
      <c r="C172" s="4"/>
      <c r="D172" s="4"/>
      <c r="E172" s="4"/>
      <c r="F172" s="4"/>
      <c r="G172" s="4"/>
      <c r="H172" s="4"/>
      <c r="I172" s="4"/>
      <c r="J172" s="4"/>
    </row>
    <row r="173" spans="1:10" ht="18" customHeight="1">
      <c r="A173" s="56"/>
      <c r="B173" s="4"/>
      <c r="C173" s="4"/>
      <c r="D173" s="4"/>
      <c r="E173" s="4"/>
      <c r="F173" s="4"/>
      <c r="G173" s="4"/>
      <c r="H173" s="4"/>
      <c r="I173" s="4"/>
      <c r="J173" s="4"/>
    </row>
    <row r="174" spans="1:10" ht="18" customHeight="1">
      <c r="A174" s="56"/>
      <c r="B174" s="4"/>
      <c r="C174" s="4"/>
      <c r="D174" s="4"/>
      <c r="E174" s="4"/>
      <c r="F174" s="4"/>
      <c r="G174" s="4"/>
      <c r="H174" s="4"/>
      <c r="I174" s="4"/>
      <c r="J174" s="4"/>
    </row>
    <row r="175" spans="1:10" ht="18" customHeight="1">
      <c r="A175" s="56"/>
      <c r="B175" s="14" t="s">
        <v>183</v>
      </c>
      <c r="C175" s="4"/>
      <c r="D175" s="4"/>
      <c r="E175" s="4"/>
      <c r="F175" s="4"/>
      <c r="G175" s="4"/>
      <c r="H175" s="4"/>
      <c r="I175" s="4"/>
      <c r="J175" s="4"/>
    </row>
    <row r="176" spans="1:10" ht="18" customHeight="1">
      <c r="A176" s="56"/>
      <c r="B176" s="4" t="s">
        <v>141</v>
      </c>
      <c r="C176" s="4"/>
      <c r="D176" s="4"/>
      <c r="E176" s="4"/>
      <c r="F176" s="4"/>
      <c r="G176" s="4"/>
      <c r="H176" s="4"/>
      <c r="I176" s="4"/>
      <c r="J176" s="4"/>
    </row>
    <row r="177" spans="1:10" ht="18" customHeight="1">
      <c r="A177" s="56"/>
      <c r="B177" s="4"/>
      <c r="C177" s="4"/>
      <c r="D177" s="4"/>
      <c r="E177" s="4"/>
      <c r="F177" s="4"/>
      <c r="G177" s="4"/>
      <c r="H177" s="4"/>
      <c r="I177" s="4"/>
      <c r="J177" s="4"/>
    </row>
    <row r="178" spans="1:10" ht="18" customHeight="1">
      <c r="A178" s="56"/>
      <c r="B178" s="4"/>
      <c r="C178" s="4"/>
      <c r="D178" s="4"/>
      <c r="E178" s="4"/>
      <c r="F178" s="4"/>
      <c r="G178" s="4"/>
      <c r="H178" s="4"/>
      <c r="I178" s="4"/>
      <c r="J178" s="4"/>
    </row>
    <row r="179" spans="1:10" ht="18" customHeight="1">
      <c r="A179" s="56"/>
      <c r="B179" s="4"/>
      <c r="C179" s="4"/>
      <c r="D179" s="4"/>
      <c r="E179" s="4"/>
      <c r="F179" s="4"/>
      <c r="G179" s="4"/>
      <c r="H179" s="4"/>
      <c r="I179" s="4"/>
      <c r="J179" s="4"/>
    </row>
    <row r="180" spans="1:10" ht="18" customHeight="1">
      <c r="A180" s="56"/>
      <c r="B180" s="4"/>
      <c r="C180" s="4"/>
      <c r="D180" s="4"/>
      <c r="E180" s="4"/>
      <c r="F180" s="4"/>
      <c r="G180" s="4"/>
      <c r="H180" s="4"/>
      <c r="I180" s="4"/>
      <c r="J180" s="4"/>
    </row>
    <row r="181" spans="1:10" ht="18" customHeight="1">
      <c r="A181" s="56"/>
      <c r="B181" s="14" t="s">
        <v>142</v>
      </c>
      <c r="C181" s="4"/>
      <c r="D181" s="4"/>
      <c r="E181" s="4"/>
      <c r="F181" s="4"/>
      <c r="G181" s="4"/>
      <c r="H181" s="4"/>
      <c r="I181" s="4"/>
      <c r="J181" s="4"/>
    </row>
    <row r="182" spans="1:10" ht="18" customHeight="1">
      <c r="A182" s="56"/>
      <c r="B182" s="4"/>
      <c r="C182" s="4"/>
      <c r="D182" s="4"/>
      <c r="E182" s="4"/>
      <c r="F182" s="4"/>
      <c r="G182" s="4"/>
      <c r="H182" s="4"/>
      <c r="I182" s="4"/>
      <c r="J182" s="4"/>
    </row>
    <row r="183" spans="1:10" ht="18" customHeight="1">
      <c r="A183" s="56"/>
      <c r="B183" s="4"/>
      <c r="C183" s="4"/>
      <c r="D183" s="4"/>
      <c r="E183" s="4"/>
      <c r="F183" s="4"/>
      <c r="G183" s="4"/>
      <c r="H183" s="4"/>
      <c r="I183" s="4"/>
      <c r="J183" s="4"/>
    </row>
    <row r="184" spans="1:10" ht="18" customHeight="1">
      <c r="A184" s="56"/>
      <c r="B184" s="4"/>
      <c r="C184" s="4"/>
      <c r="D184" s="4"/>
      <c r="E184" s="4"/>
      <c r="F184" s="4"/>
      <c r="G184" s="4"/>
      <c r="H184" s="4"/>
      <c r="I184" s="4"/>
      <c r="J184" s="4"/>
    </row>
    <row r="185" spans="1:10" ht="18" customHeight="1">
      <c r="A185" s="56"/>
      <c r="B185" s="4"/>
      <c r="C185" s="4"/>
      <c r="D185" s="4"/>
      <c r="E185" s="4"/>
      <c r="F185" s="4"/>
      <c r="G185" s="4"/>
      <c r="H185" s="4"/>
      <c r="I185" s="4"/>
      <c r="J185" s="4"/>
    </row>
    <row r="186" spans="1:10" ht="18" customHeight="1">
      <c r="A186" s="56"/>
      <c r="B186" s="4"/>
      <c r="C186" s="4"/>
      <c r="D186" s="4"/>
      <c r="E186" s="4"/>
      <c r="F186" s="4"/>
      <c r="G186" s="4"/>
      <c r="H186" s="4"/>
      <c r="I186" s="4"/>
      <c r="J186" s="4"/>
    </row>
    <row r="187" spans="1:10" ht="18" customHeight="1">
      <c r="A187" s="56"/>
      <c r="B187" s="4"/>
      <c r="C187" s="4"/>
      <c r="D187" s="4"/>
      <c r="E187" s="4"/>
      <c r="F187" s="4"/>
      <c r="G187" s="4"/>
      <c r="H187" s="4"/>
      <c r="I187" s="4"/>
      <c r="J187" s="4"/>
    </row>
    <row r="188" spans="1:10" ht="18" customHeight="1">
      <c r="A188" s="56"/>
      <c r="B188" s="4"/>
      <c r="C188" s="4"/>
      <c r="D188" s="4"/>
      <c r="E188" s="4"/>
      <c r="F188" s="4"/>
      <c r="G188" s="4"/>
      <c r="H188" s="4"/>
      <c r="I188" s="4"/>
      <c r="J188" s="4"/>
    </row>
    <row r="189" spans="1:10" ht="18" customHeight="1">
      <c r="A189" s="56"/>
      <c r="B189" s="14" t="s">
        <v>143</v>
      </c>
      <c r="C189" s="4"/>
      <c r="D189" s="4"/>
      <c r="E189" s="4"/>
      <c r="F189" s="4"/>
      <c r="G189" s="4"/>
      <c r="H189" s="4"/>
      <c r="I189" s="4"/>
      <c r="J189" s="4"/>
    </row>
    <row r="190" spans="1:10" ht="18" customHeight="1">
      <c r="A190" s="56"/>
      <c r="B190" s="4"/>
      <c r="C190" s="4"/>
      <c r="D190" s="4"/>
      <c r="E190" s="4"/>
      <c r="F190" s="4"/>
      <c r="G190" s="4"/>
      <c r="H190" s="4"/>
      <c r="I190" s="4"/>
      <c r="J190" s="4"/>
    </row>
    <row r="191" spans="1:10" ht="18" customHeight="1">
      <c r="A191" s="56"/>
      <c r="B191" s="4"/>
      <c r="C191" s="4"/>
      <c r="D191" s="4"/>
      <c r="E191" s="4"/>
      <c r="F191" s="4"/>
      <c r="G191" s="4"/>
      <c r="H191" s="4"/>
      <c r="I191" s="4"/>
      <c r="J191" s="4"/>
    </row>
    <row r="192" spans="1:10" ht="18" customHeight="1">
      <c r="A192" s="56"/>
      <c r="B192" s="4"/>
      <c r="C192" s="4"/>
      <c r="D192" s="4"/>
      <c r="E192" s="4"/>
      <c r="F192" s="4"/>
      <c r="G192" s="4"/>
      <c r="H192" s="4"/>
      <c r="I192" s="4"/>
      <c r="J192" s="4"/>
    </row>
    <row r="193" spans="1:10" ht="18" customHeight="1">
      <c r="A193" s="56"/>
      <c r="B193" s="4"/>
      <c r="C193" s="4"/>
      <c r="D193" s="4"/>
      <c r="E193" s="4"/>
      <c r="F193" s="4"/>
      <c r="G193" s="4"/>
      <c r="H193" s="4"/>
      <c r="I193" s="4"/>
      <c r="J193" s="4"/>
    </row>
    <row r="194" spans="1:10" ht="18" customHeight="1">
      <c r="A194" s="56"/>
      <c r="B194" s="14" t="s">
        <v>14</v>
      </c>
      <c r="C194" s="4"/>
      <c r="D194" s="4"/>
      <c r="E194" s="4"/>
      <c r="F194" s="4"/>
      <c r="G194" s="4"/>
      <c r="H194" s="4"/>
      <c r="I194" s="4"/>
      <c r="J194" s="4"/>
    </row>
    <row r="195" spans="1:10" ht="18" customHeight="1">
      <c r="A195" s="56"/>
      <c r="B195" s="4"/>
      <c r="C195" s="4"/>
      <c r="D195" s="4"/>
      <c r="E195" s="4"/>
      <c r="F195" s="4"/>
      <c r="G195" s="4"/>
      <c r="H195" s="4"/>
      <c r="I195" s="4"/>
      <c r="J195" s="4"/>
    </row>
    <row r="196" spans="1:10" ht="18" customHeight="1">
      <c r="A196" s="56"/>
      <c r="B196" s="14" t="s">
        <v>43</v>
      </c>
      <c r="C196" s="4"/>
      <c r="D196" s="4"/>
      <c r="E196" s="4"/>
      <c r="F196" s="4"/>
      <c r="G196" s="4"/>
      <c r="H196" s="4"/>
      <c r="I196" s="4"/>
      <c r="J196" s="4"/>
    </row>
    <row r="197" spans="1:10" ht="18" customHeight="1">
      <c r="A197" s="56"/>
      <c r="B197" s="4"/>
      <c r="C197" s="4"/>
      <c r="D197" s="4"/>
      <c r="E197" s="4"/>
      <c r="F197" s="4"/>
      <c r="G197" s="4"/>
      <c r="H197" s="4"/>
      <c r="I197" s="4"/>
      <c r="J197" s="4"/>
    </row>
    <row r="198" spans="1:10" ht="18" customHeight="1">
      <c r="A198" s="56"/>
      <c r="B198" s="14" t="s">
        <v>44</v>
      </c>
      <c r="C198" s="4"/>
      <c r="D198" s="4"/>
      <c r="E198" s="4"/>
      <c r="F198" s="4"/>
      <c r="G198" s="4"/>
      <c r="H198" s="4"/>
      <c r="I198" s="4"/>
      <c r="J198" s="4"/>
    </row>
    <row r="199" spans="1:10" ht="18" customHeight="1">
      <c r="A199" s="56"/>
      <c r="B199" s="4"/>
      <c r="C199" s="4"/>
      <c r="D199" s="4"/>
      <c r="E199" s="4"/>
      <c r="F199" s="4"/>
      <c r="G199" s="4"/>
      <c r="H199" s="4"/>
      <c r="I199" s="4"/>
      <c r="J199" s="4"/>
    </row>
    <row r="200" spans="1:10" ht="18" customHeight="1">
      <c r="A200" s="56"/>
      <c r="B200" s="14" t="s">
        <v>78</v>
      </c>
      <c r="C200" s="4"/>
      <c r="D200" s="4"/>
      <c r="E200" s="4"/>
      <c r="F200" s="4"/>
      <c r="G200" s="4"/>
      <c r="H200" s="4"/>
      <c r="I200" s="4"/>
      <c r="J200" s="4"/>
    </row>
    <row r="201" spans="1:10" ht="18" customHeight="1">
      <c r="A201" s="56"/>
      <c r="B201" s="4"/>
      <c r="C201" s="4"/>
      <c r="D201" s="4"/>
      <c r="E201" s="4"/>
      <c r="F201" s="4"/>
      <c r="G201" s="4"/>
      <c r="H201" s="4"/>
      <c r="I201" s="4"/>
      <c r="J201" s="4"/>
    </row>
    <row r="202" spans="1:10" ht="18" customHeight="1">
      <c r="A202" s="56"/>
      <c r="B202" s="4"/>
      <c r="C202" s="4"/>
      <c r="D202" s="4"/>
      <c r="E202" s="4"/>
      <c r="F202" s="4"/>
      <c r="G202" s="4"/>
      <c r="H202" s="4"/>
      <c r="I202" s="4"/>
      <c r="J202" s="4"/>
    </row>
    <row r="203" spans="1:10" ht="18" customHeight="1">
      <c r="A203" s="56"/>
      <c r="B203" s="4"/>
      <c r="C203" s="4"/>
      <c r="D203" s="4"/>
      <c r="E203" s="4"/>
      <c r="F203" s="4"/>
      <c r="G203" s="4"/>
      <c r="H203" s="4"/>
      <c r="I203" s="4"/>
      <c r="J203" s="4"/>
    </row>
    <row r="204" spans="1:10" ht="18" customHeight="1">
      <c r="A204" s="56"/>
      <c r="B204" s="4"/>
      <c r="C204" s="4"/>
      <c r="D204" s="4"/>
      <c r="E204" s="4"/>
      <c r="F204" s="4"/>
      <c r="G204" s="4"/>
      <c r="H204" s="4"/>
      <c r="I204" s="4"/>
      <c r="J204" s="4"/>
    </row>
    <row r="205" spans="1:10" ht="18" customHeight="1">
      <c r="A205" s="56"/>
      <c r="B205" s="4"/>
      <c r="C205" s="4"/>
      <c r="D205" s="4"/>
      <c r="E205" s="4"/>
      <c r="F205" s="4"/>
      <c r="G205" s="4"/>
      <c r="H205" s="4"/>
      <c r="I205" s="4"/>
      <c r="J205" s="4"/>
    </row>
    <row r="206" spans="1:10" ht="18" customHeight="1">
      <c r="A206" s="56"/>
      <c r="B206" s="14" t="s">
        <v>13</v>
      </c>
      <c r="C206" s="4"/>
      <c r="D206" s="4"/>
      <c r="E206" s="4"/>
      <c r="F206" s="4"/>
      <c r="G206" s="4"/>
      <c r="H206" s="4"/>
      <c r="I206" s="4"/>
      <c r="J206" s="4"/>
    </row>
    <row r="207" spans="1:10" ht="18" customHeight="1">
      <c r="A207" s="56"/>
      <c r="B207" s="14" t="s">
        <v>79</v>
      </c>
      <c r="C207" s="4"/>
      <c r="D207" s="4"/>
      <c r="E207" s="4"/>
      <c r="F207" s="4"/>
      <c r="G207" s="4"/>
      <c r="H207" s="4"/>
      <c r="I207" s="4"/>
      <c r="J207" s="4"/>
    </row>
    <row r="208" spans="1:10" ht="18" customHeight="1">
      <c r="A208" s="56"/>
      <c r="B208" s="14" t="s">
        <v>80</v>
      </c>
      <c r="C208" s="4"/>
      <c r="D208" s="4"/>
      <c r="E208" s="4"/>
      <c r="F208" s="4"/>
      <c r="G208" s="4"/>
      <c r="H208" s="4"/>
      <c r="I208" s="4"/>
      <c r="J208" s="4"/>
    </row>
    <row r="209" spans="1:10" ht="18" customHeight="1">
      <c r="A209" s="56"/>
      <c r="B209" s="14" t="s">
        <v>81</v>
      </c>
      <c r="C209" s="4"/>
      <c r="D209" s="4"/>
      <c r="E209" s="4"/>
      <c r="F209" s="4"/>
      <c r="G209" s="4"/>
      <c r="H209" s="4"/>
      <c r="I209" s="4"/>
      <c r="J209" s="4"/>
    </row>
    <row r="210" spans="1:10" ht="18" customHeight="1">
      <c r="A210" s="56"/>
      <c r="B210" s="14" t="s">
        <v>184</v>
      </c>
      <c r="C210" s="4"/>
      <c r="D210" s="4"/>
      <c r="E210" s="4"/>
      <c r="F210" s="4"/>
      <c r="G210" s="4"/>
      <c r="H210" s="4"/>
      <c r="I210" s="4"/>
      <c r="J210" s="4"/>
    </row>
    <row r="211" spans="1:10" ht="18" customHeight="1">
      <c r="A211" s="56"/>
      <c r="B211" s="14" t="s">
        <v>82</v>
      </c>
      <c r="C211" s="4"/>
      <c r="D211" s="4"/>
      <c r="E211" s="4"/>
      <c r="F211" s="4"/>
      <c r="G211" s="4"/>
      <c r="H211" s="4"/>
      <c r="I211" s="4"/>
      <c r="J211" s="4"/>
    </row>
    <row r="212" spans="1:10" ht="18" customHeight="1">
      <c r="A212" s="56"/>
      <c r="B212" s="14" t="s">
        <v>185</v>
      </c>
      <c r="C212" s="4"/>
      <c r="D212" s="4"/>
      <c r="E212" s="4"/>
      <c r="F212" s="4"/>
      <c r="G212" s="4"/>
      <c r="H212" s="4"/>
      <c r="I212" s="4"/>
      <c r="J212" s="4"/>
    </row>
    <row r="213" spans="1:10" ht="18" customHeight="1">
      <c r="A213" s="56"/>
      <c r="B213" s="14" t="s">
        <v>144</v>
      </c>
      <c r="C213" s="4"/>
      <c r="D213" s="4"/>
      <c r="E213" s="4"/>
      <c r="F213" s="4"/>
      <c r="G213" s="4"/>
      <c r="H213" s="4"/>
      <c r="I213" s="4"/>
      <c r="J213" s="4"/>
    </row>
    <row r="214" spans="1:10" ht="18" customHeight="1">
      <c r="A214" s="56"/>
      <c r="B214" s="14"/>
      <c r="C214" s="4"/>
      <c r="D214" s="4"/>
      <c r="E214" s="4"/>
      <c r="F214" s="4"/>
      <c r="G214" s="4"/>
      <c r="H214" s="4"/>
      <c r="I214" s="4"/>
      <c r="J214" s="4"/>
    </row>
    <row r="215" spans="1:10" ht="18" customHeight="1">
      <c r="A215" s="56"/>
      <c r="B215" s="14"/>
      <c r="C215" s="4"/>
      <c r="D215" s="4"/>
      <c r="E215" s="4"/>
      <c r="F215" s="4"/>
      <c r="G215" s="4"/>
      <c r="H215" s="4"/>
      <c r="I215" s="4"/>
      <c r="J215" s="4"/>
    </row>
    <row r="216" spans="1:10" ht="18" customHeight="1">
      <c r="A216" s="56"/>
      <c r="B216" s="14"/>
      <c r="C216" s="4"/>
      <c r="D216" s="4"/>
      <c r="E216" s="4"/>
      <c r="F216" s="4"/>
      <c r="G216" s="4"/>
      <c r="H216" s="4"/>
      <c r="I216" s="4"/>
      <c r="J216" s="4"/>
    </row>
    <row r="217" spans="1:10" ht="18" customHeight="1">
      <c r="A217" s="56"/>
      <c r="B217" s="14"/>
      <c r="C217" s="4"/>
      <c r="D217" s="4"/>
      <c r="E217" s="4"/>
      <c r="F217" s="4"/>
      <c r="G217" s="4"/>
      <c r="H217" s="4"/>
      <c r="I217" s="4"/>
      <c r="J217" s="4"/>
    </row>
    <row r="218" spans="1:10" ht="18" customHeight="1">
      <c r="A218" s="56"/>
      <c r="B218" s="14"/>
      <c r="C218" s="4"/>
      <c r="D218" s="4"/>
      <c r="E218" s="4"/>
      <c r="F218" s="4"/>
      <c r="G218" s="4"/>
      <c r="H218" s="4"/>
      <c r="I218" s="4"/>
      <c r="J218" s="4"/>
    </row>
    <row r="219" spans="1:10" ht="18" customHeight="1">
      <c r="A219" s="56"/>
      <c r="B219" s="14"/>
      <c r="C219" s="4"/>
      <c r="D219" s="4"/>
      <c r="E219" s="4"/>
      <c r="F219" s="4"/>
      <c r="G219" s="4"/>
      <c r="H219" s="4"/>
      <c r="I219" s="4"/>
      <c r="J219" s="4"/>
    </row>
    <row r="220" spans="1:10" ht="18" customHeight="1">
      <c r="A220" s="56"/>
      <c r="B220" s="14"/>
      <c r="C220" s="4"/>
      <c r="D220" s="4"/>
      <c r="E220" s="4"/>
      <c r="F220" s="4"/>
      <c r="G220" s="4"/>
      <c r="H220" s="4"/>
      <c r="I220" s="4"/>
      <c r="J220" s="4"/>
    </row>
    <row r="221" spans="1:10" ht="18" customHeight="1">
      <c r="A221" s="56"/>
      <c r="B221" s="14"/>
      <c r="C221" s="4"/>
      <c r="D221" s="4"/>
      <c r="E221" s="4"/>
      <c r="F221" s="4"/>
      <c r="G221" s="4"/>
      <c r="H221" s="4"/>
      <c r="I221" s="4"/>
      <c r="J221" s="4"/>
    </row>
    <row r="222" spans="1:10" ht="18" customHeight="1">
      <c r="A222" s="56"/>
      <c r="B222" s="14"/>
      <c r="C222" s="4"/>
      <c r="D222" s="4"/>
      <c r="E222" s="4"/>
      <c r="F222" s="4"/>
      <c r="G222" s="4"/>
      <c r="H222" s="4"/>
      <c r="I222" s="4"/>
      <c r="J222" s="4"/>
    </row>
    <row r="223" spans="1:10" ht="18" customHeight="1">
      <c r="A223" s="56"/>
      <c r="B223" s="14"/>
      <c r="C223" s="4"/>
      <c r="D223" s="4"/>
      <c r="E223" s="4"/>
      <c r="F223" s="4"/>
      <c r="G223" s="4"/>
      <c r="H223" s="4"/>
      <c r="I223" s="4"/>
      <c r="J223" s="4"/>
    </row>
    <row r="224" spans="1:10" ht="18" customHeight="1">
      <c r="A224" s="56"/>
      <c r="B224" s="14"/>
      <c r="C224" s="4"/>
      <c r="D224" s="4"/>
      <c r="E224" s="4"/>
      <c r="F224" s="4"/>
      <c r="G224" s="4"/>
      <c r="H224" s="4"/>
      <c r="I224" s="4"/>
      <c r="J224" s="4"/>
    </row>
    <row r="225" spans="1:10" ht="18" customHeight="1">
      <c r="A225" s="56"/>
      <c r="B225" s="14"/>
      <c r="C225" s="4"/>
      <c r="D225" s="4"/>
      <c r="E225" s="4"/>
      <c r="F225" s="4"/>
      <c r="G225" s="4"/>
      <c r="H225" s="4"/>
      <c r="I225" s="4"/>
      <c r="J225" s="4"/>
    </row>
    <row r="226" spans="1:10" ht="18" customHeight="1">
      <c r="A226" s="56"/>
      <c r="B226" s="14"/>
      <c r="C226" s="4"/>
      <c r="D226" s="4"/>
      <c r="E226" s="4"/>
      <c r="F226" s="4"/>
      <c r="G226" s="4"/>
      <c r="H226" s="4"/>
      <c r="I226" s="4"/>
      <c r="J226" s="4"/>
    </row>
    <row r="227" spans="1:10" ht="18" customHeight="1">
      <c r="A227" s="56"/>
      <c r="B227" s="14"/>
      <c r="C227" s="4"/>
      <c r="D227" s="4"/>
      <c r="E227" s="4"/>
      <c r="F227" s="4"/>
      <c r="G227" s="4"/>
      <c r="H227" s="4"/>
      <c r="I227" s="4"/>
      <c r="J227" s="4"/>
    </row>
    <row r="228" spans="1:10" ht="18" customHeight="1">
      <c r="A228" s="56"/>
      <c r="B228" s="14"/>
      <c r="C228" s="4"/>
      <c r="D228" s="4"/>
      <c r="E228" s="4"/>
      <c r="F228" s="4"/>
      <c r="G228" s="4"/>
      <c r="H228" s="4"/>
      <c r="I228" s="4"/>
      <c r="J228" s="4"/>
    </row>
    <row r="229" spans="1:10" ht="18" customHeight="1">
      <c r="A229" s="56"/>
      <c r="B229" s="14"/>
      <c r="C229" s="4"/>
      <c r="D229" s="4"/>
      <c r="E229" s="4"/>
      <c r="F229" s="4"/>
      <c r="G229" s="4"/>
      <c r="H229" s="4"/>
      <c r="I229" s="4"/>
      <c r="J229" s="4"/>
    </row>
    <row r="230" spans="1:10" ht="18" customHeight="1">
      <c r="A230" s="56"/>
      <c r="B230" s="14"/>
      <c r="C230" s="4"/>
      <c r="D230" s="4"/>
      <c r="E230" s="4"/>
      <c r="F230" s="4"/>
      <c r="G230" s="4"/>
      <c r="H230" s="4"/>
      <c r="I230" s="4"/>
      <c r="J230" s="4"/>
    </row>
    <row r="231" spans="1:10" ht="18" customHeight="1">
      <c r="A231" s="56" t="s">
        <v>220</v>
      </c>
      <c r="B231" s="4"/>
      <c r="C231" s="4"/>
      <c r="D231" s="4"/>
      <c r="E231" s="4"/>
      <c r="F231" s="4"/>
      <c r="G231" s="4"/>
      <c r="H231" s="4"/>
      <c r="I231" s="4"/>
      <c r="J231" s="4"/>
    </row>
    <row r="232" spans="1:10" ht="18" customHeight="1">
      <c r="A232" s="56"/>
      <c r="B232" s="4"/>
      <c r="C232" s="44" t="s">
        <v>145</v>
      </c>
      <c r="D232" s="45" t="s">
        <v>83</v>
      </c>
      <c r="E232" s="60" t="s">
        <v>84</v>
      </c>
      <c r="F232" s="31" t="s">
        <v>45</v>
      </c>
      <c r="G232" s="4"/>
      <c r="H232" s="4"/>
      <c r="I232" s="4"/>
      <c r="J232" s="4"/>
    </row>
    <row r="233" spans="1:10" ht="18" customHeight="1">
      <c r="A233" s="56"/>
      <c r="B233" s="4"/>
      <c r="C233" s="119" t="s">
        <v>146</v>
      </c>
      <c r="D233" s="46">
        <v>0</v>
      </c>
      <c r="E233" s="46">
        <f aca="true" t="shared" si="0" ref="E233:E243">$E$148+$E$149*D233</f>
        <v>21000</v>
      </c>
      <c r="F233" s="47"/>
      <c r="G233" s="4"/>
      <c r="H233" s="4"/>
      <c r="I233" s="4"/>
      <c r="J233" s="4"/>
    </row>
    <row r="234" spans="1:10" ht="18" customHeight="1">
      <c r="A234" s="56"/>
      <c r="B234" s="4"/>
      <c r="C234" s="120"/>
      <c r="D234" s="46">
        <f aca="true" t="shared" si="1" ref="D234:D243">$E$151+D233</f>
        <v>0.2</v>
      </c>
      <c r="E234" s="46">
        <f t="shared" si="0"/>
        <v>21000</v>
      </c>
      <c r="F234" s="47">
        <f>1/E234*LN((B+2*D234*TAN(θ))*(D+2*D233*TAN(θ))/(D+2*D234*TAN(θ))/(B+2*D233*TAN(θ)))</f>
        <v>4.660988014251506E-06</v>
      </c>
      <c r="G234" s="4"/>
      <c r="H234" s="4"/>
      <c r="I234" s="4"/>
      <c r="J234" s="4"/>
    </row>
    <row r="235" spans="1:10" ht="18" customHeight="1">
      <c r="A235" s="56"/>
      <c r="B235" s="4"/>
      <c r="C235" s="120"/>
      <c r="D235" s="46">
        <f t="shared" si="1"/>
        <v>0.4</v>
      </c>
      <c r="E235" s="46">
        <f t="shared" si="0"/>
        <v>21000</v>
      </c>
      <c r="F235" s="47">
        <f aca="true" t="shared" si="2" ref="F235:F263">1/E235*LN((B+2*D235*TAN(θ))*(D+2*D234*TAN(θ))/(D+2*D235*TAN(θ))/(B+2*D234*TAN(θ)))</f>
        <v>4.0655193097990264E-06</v>
      </c>
      <c r="G235" s="4"/>
      <c r="H235" s="4"/>
      <c r="I235" s="4"/>
      <c r="J235" s="4"/>
    </row>
    <row r="236" spans="1:10" ht="18" customHeight="1">
      <c r="A236" s="56"/>
      <c r="B236" s="4"/>
      <c r="C236" s="120"/>
      <c r="D236" s="46">
        <f t="shared" si="1"/>
        <v>0.6000000000000001</v>
      </c>
      <c r="E236" s="46">
        <f t="shared" si="0"/>
        <v>21000</v>
      </c>
      <c r="F236" s="47">
        <f t="shared" si="2"/>
        <v>3.589713582787418E-06</v>
      </c>
      <c r="G236" s="4"/>
      <c r="H236" s="4"/>
      <c r="I236" s="4"/>
      <c r="J236" s="4"/>
    </row>
    <row r="237" spans="1:10" ht="18" customHeight="1">
      <c r="A237" s="56"/>
      <c r="B237" s="4"/>
      <c r="C237" s="120"/>
      <c r="D237" s="46">
        <f t="shared" si="1"/>
        <v>0.8</v>
      </c>
      <c r="E237" s="46">
        <f t="shared" si="0"/>
        <v>21000</v>
      </c>
      <c r="F237" s="47">
        <f t="shared" si="2"/>
        <v>3.201473953883312E-06</v>
      </c>
      <c r="G237" s="4"/>
      <c r="H237" s="4"/>
      <c r="I237" s="4"/>
      <c r="J237" s="4"/>
    </row>
    <row r="238" spans="1:10" ht="18" customHeight="1">
      <c r="A238" s="56"/>
      <c r="B238" s="4"/>
      <c r="C238" s="120"/>
      <c r="D238" s="46">
        <f t="shared" si="1"/>
        <v>1</v>
      </c>
      <c r="E238" s="46">
        <f t="shared" si="0"/>
        <v>21000</v>
      </c>
      <c r="F238" s="47">
        <f t="shared" si="2"/>
        <v>2.8791980510238475E-06</v>
      </c>
      <c r="G238" s="4"/>
      <c r="H238" s="4"/>
      <c r="I238" s="4"/>
      <c r="J238" s="4"/>
    </row>
    <row r="239" spans="1:10" ht="18" customHeight="1">
      <c r="A239" s="56"/>
      <c r="B239" s="4"/>
      <c r="C239" s="120"/>
      <c r="D239" s="46">
        <f t="shared" si="1"/>
        <v>1.2</v>
      </c>
      <c r="E239" s="46">
        <f t="shared" si="0"/>
        <v>21000</v>
      </c>
      <c r="F239" s="47">
        <f t="shared" si="2"/>
        <v>2.607815309761376E-06</v>
      </c>
      <c r="G239" s="4"/>
      <c r="H239" s="4"/>
      <c r="I239" s="4"/>
      <c r="J239" s="4"/>
    </row>
    <row r="240" spans="1:10" ht="18" customHeight="1">
      <c r="A240" s="56"/>
      <c r="B240" s="4"/>
      <c r="C240" s="120"/>
      <c r="D240" s="46">
        <f t="shared" si="1"/>
        <v>1.4</v>
      </c>
      <c r="E240" s="46">
        <f t="shared" si="0"/>
        <v>21000</v>
      </c>
      <c r="F240" s="47">
        <f t="shared" si="2"/>
        <v>2.3764939972147218E-06</v>
      </c>
      <c r="G240" s="4"/>
      <c r="H240" s="4"/>
      <c r="I240" s="4"/>
      <c r="J240" s="4"/>
    </row>
    <row r="241" spans="1:10" ht="18" customHeight="1">
      <c r="A241" s="56"/>
      <c r="B241" s="4"/>
      <c r="C241" s="120"/>
      <c r="D241" s="46">
        <f t="shared" si="1"/>
        <v>1.5999999999999999</v>
      </c>
      <c r="E241" s="46">
        <f t="shared" si="0"/>
        <v>21000</v>
      </c>
      <c r="F241" s="47">
        <f t="shared" si="2"/>
        <v>2.1772507896531602E-06</v>
      </c>
      <c r="G241" s="4"/>
      <c r="H241" s="4"/>
      <c r="I241" s="4"/>
      <c r="J241" s="4"/>
    </row>
    <row r="242" spans="1:10" ht="18" customHeight="1">
      <c r="A242" s="56"/>
      <c r="B242" s="4"/>
      <c r="C242" s="120"/>
      <c r="D242" s="46">
        <f t="shared" si="1"/>
        <v>1.7999999999999998</v>
      </c>
      <c r="E242" s="46">
        <f t="shared" si="0"/>
        <v>21000</v>
      </c>
      <c r="F242" s="47">
        <f t="shared" si="2"/>
        <v>2.004073868590082E-06</v>
      </c>
      <c r="G242" s="4"/>
      <c r="H242" s="4"/>
      <c r="I242" s="4"/>
      <c r="J242" s="4"/>
    </row>
    <row r="243" spans="1:10" ht="18" customHeight="1">
      <c r="A243" s="56"/>
      <c r="B243" s="4"/>
      <c r="C243" s="121"/>
      <c r="D243" s="48">
        <f t="shared" si="1"/>
        <v>1.9999999999999998</v>
      </c>
      <c r="E243" s="48">
        <f t="shared" si="0"/>
        <v>21000</v>
      </c>
      <c r="F243" s="49">
        <f t="shared" si="2"/>
        <v>1.8523510727056528E-06</v>
      </c>
      <c r="G243" s="4"/>
      <c r="H243" s="4"/>
      <c r="I243" s="4"/>
      <c r="J243" s="4"/>
    </row>
    <row r="244" spans="1:10" ht="18" customHeight="1">
      <c r="A244" s="56"/>
      <c r="B244" s="4"/>
      <c r="C244" s="108" t="s">
        <v>147</v>
      </c>
      <c r="D244" s="51">
        <f aca="true" t="shared" si="3" ref="D244:D263">D243+$F$151</f>
        <v>2.125</v>
      </c>
      <c r="E244" s="51">
        <f aca="true" t="shared" si="4" ref="E244:E263">$F$148+$F$149*D244</f>
        <v>10042.5</v>
      </c>
      <c r="F244" s="47">
        <f t="shared" si="2"/>
        <v>2.276663960153188E-06</v>
      </c>
      <c r="G244" s="4"/>
      <c r="H244" s="4"/>
      <c r="I244" s="4"/>
      <c r="J244" s="4"/>
    </row>
    <row r="245" spans="1:10" ht="18" customHeight="1">
      <c r="A245" s="56"/>
      <c r="B245" s="4"/>
      <c r="C245" s="109"/>
      <c r="D245" s="46">
        <f t="shared" si="3"/>
        <v>2.25</v>
      </c>
      <c r="E245" s="46">
        <f t="shared" si="4"/>
        <v>10045</v>
      </c>
      <c r="F245" s="47">
        <f t="shared" si="2"/>
        <v>2.1747828062159506E-06</v>
      </c>
      <c r="G245" s="4"/>
      <c r="H245" s="4"/>
      <c r="I245" s="4"/>
      <c r="J245" s="4"/>
    </row>
    <row r="246" spans="1:10" ht="18" customHeight="1">
      <c r="A246" s="56"/>
      <c r="B246" s="4"/>
      <c r="C246" s="109"/>
      <c r="D246" s="46">
        <f t="shared" si="3"/>
        <v>2.375</v>
      </c>
      <c r="E246" s="46">
        <f t="shared" si="4"/>
        <v>10047.5</v>
      </c>
      <c r="F246" s="47">
        <f t="shared" si="2"/>
        <v>2.0800540775285926E-06</v>
      </c>
      <c r="G246" s="4"/>
      <c r="H246" s="4"/>
      <c r="I246" s="4"/>
      <c r="J246" s="4"/>
    </row>
    <row r="247" spans="1:10" ht="18" customHeight="1">
      <c r="A247" s="56"/>
      <c r="B247" s="4"/>
      <c r="C247" s="109"/>
      <c r="D247" s="46">
        <f t="shared" si="3"/>
        <v>2.5</v>
      </c>
      <c r="E247" s="46">
        <f t="shared" si="4"/>
        <v>10050</v>
      </c>
      <c r="F247" s="47">
        <f t="shared" si="2"/>
        <v>1.9917876821491936E-06</v>
      </c>
      <c r="G247" s="4"/>
      <c r="H247" s="4"/>
      <c r="I247" s="4"/>
      <c r="J247" s="4"/>
    </row>
    <row r="248" spans="1:10" ht="18" customHeight="1">
      <c r="A248" s="56"/>
      <c r="B248" s="4"/>
      <c r="C248" s="109"/>
      <c r="D248" s="46">
        <f t="shared" si="3"/>
        <v>2.625</v>
      </c>
      <c r="E248" s="46">
        <f t="shared" si="4"/>
        <v>10052.5</v>
      </c>
      <c r="F248" s="47">
        <f t="shared" si="2"/>
        <v>1.909378092382334E-06</v>
      </c>
      <c r="G248" s="4"/>
      <c r="H248" s="4"/>
      <c r="I248" s="4"/>
      <c r="J248" s="4"/>
    </row>
    <row r="249" spans="1:10" ht="18" customHeight="1">
      <c r="A249" s="56"/>
      <c r="B249" s="4"/>
      <c r="C249" s="109"/>
      <c r="D249" s="46">
        <f t="shared" si="3"/>
        <v>2.75</v>
      </c>
      <c r="E249" s="46">
        <f t="shared" si="4"/>
        <v>10055</v>
      </c>
      <c r="F249" s="47">
        <f t="shared" si="2"/>
        <v>1.8322918491079018E-06</v>
      </c>
      <c r="G249" s="4"/>
      <c r="H249" s="4"/>
      <c r="I249" s="4"/>
      <c r="J249" s="4"/>
    </row>
    <row r="250" spans="1:10" ht="18" customHeight="1">
      <c r="A250" s="56"/>
      <c r="B250" s="4"/>
      <c r="C250" s="109"/>
      <c r="D250" s="46">
        <f t="shared" si="3"/>
        <v>2.875</v>
      </c>
      <c r="E250" s="46">
        <f t="shared" si="4"/>
        <v>10057.5</v>
      </c>
      <c r="F250" s="47">
        <f t="shared" si="2"/>
        <v>1.760057213882713E-06</v>
      </c>
      <c r="G250" s="4"/>
      <c r="H250" s="4"/>
      <c r="I250" s="4"/>
      <c r="J250" s="4"/>
    </row>
    <row r="251" spans="1:10" ht="18" customHeight="1">
      <c r="A251" s="56"/>
      <c r="B251" s="4"/>
      <c r="C251" s="109"/>
      <c r="D251" s="46">
        <f t="shared" si="3"/>
        <v>3</v>
      </c>
      <c r="E251" s="46">
        <f t="shared" si="4"/>
        <v>10060</v>
      </c>
      <c r="F251" s="47">
        <f t="shared" si="2"/>
        <v>1.6922555504112917E-06</v>
      </c>
      <c r="G251" s="4"/>
      <c r="H251" s="4"/>
      <c r="I251" s="4"/>
      <c r="J251" s="4"/>
    </row>
    <row r="252" spans="1:10" ht="18" customHeight="1">
      <c r="A252" s="56"/>
      <c r="B252" s="4"/>
      <c r="C252" s="109"/>
      <c r="D252" s="46">
        <f t="shared" si="3"/>
        <v>3.125</v>
      </c>
      <c r="E252" s="46">
        <f t="shared" si="4"/>
        <v>10062.5</v>
      </c>
      <c r="F252" s="47">
        <f t="shared" si="2"/>
        <v>1.6285141075938527E-06</v>
      </c>
      <c r="G252" s="4"/>
      <c r="H252" s="4"/>
      <c r="I252" s="4"/>
      <c r="J252" s="4"/>
    </row>
    <row r="253" spans="1:10" ht="18" customHeight="1">
      <c r="A253" s="56"/>
      <c r="B253" s="4"/>
      <c r="C253" s="109"/>
      <c r="D253" s="46">
        <f t="shared" si="3"/>
        <v>3.25</v>
      </c>
      <c r="E253" s="46">
        <f t="shared" si="4"/>
        <v>10065</v>
      </c>
      <c r="F253" s="47">
        <f t="shared" si="2"/>
        <v>1.5684999454751755E-06</v>
      </c>
      <c r="G253" s="4"/>
      <c r="H253" s="4"/>
      <c r="I253" s="4"/>
      <c r="J253" s="4"/>
    </row>
    <row r="254" spans="1:10" ht="18" customHeight="1">
      <c r="A254" s="56"/>
      <c r="B254" s="4"/>
      <c r="C254" s="109"/>
      <c r="D254" s="46">
        <f t="shared" si="3"/>
        <v>3.375</v>
      </c>
      <c r="E254" s="46">
        <f t="shared" si="4"/>
        <v>10067.5</v>
      </c>
      <c r="F254" s="47">
        <f t="shared" si="2"/>
        <v>1.5119147985623854E-06</v>
      </c>
      <c r="G254" s="4"/>
      <c r="H254" s="4"/>
      <c r="I254" s="4"/>
      <c r="J254" s="4"/>
    </row>
    <row r="255" spans="1:10" ht="18" customHeight="1">
      <c r="A255" s="56"/>
      <c r="B255" s="4"/>
      <c r="C255" s="109"/>
      <c r="D255" s="46">
        <f t="shared" si="3"/>
        <v>3.5</v>
      </c>
      <c r="E255" s="46">
        <f t="shared" si="4"/>
        <v>10070</v>
      </c>
      <c r="F255" s="47">
        <f t="shared" si="2"/>
        <v>1.4584907121495319E-06</v>
      </c>
      <c r="G255" s="4"/>
      <c r="H255" s="4"/>
      <c r="I255" s="4"/>
      <c r="J255" s="4"/>
    </row>
    <row r="256" spans="1:10" ht="18" customHeight="1">
      <c r="A256" s="56"/>
      <c r="B256" s="4"/>
      <c r="C256" s="109"/>
      <c r="D256" s="46">
        <f t="shared" si="3"/>
        <v>3.625</v>
      </c>
      <c r="E256" s="46">
        <f t="shared" si="4"/>
        <v>10072.5</v>
      </c>
      <c r="F256" s="47">
        <f t="shared" si="2"/>
        <v>1.4079863194063407E-06</v>
      </c>
      <c r="G256" s="4"/>
      <c r="H256" s="4"/>
      <c r="I256" s="4"/>
      <c r="J256" s="4"/>
    </row>
    <row r="257" spans="1:10" ht="18" customHeight="1">
      <c r="A257" s="56"/>
      <c r="B257" s="4"/>
      <c r="C257" s="109"/>
      <c r="D257" s="46">
        <f t="shared" si="3"/>
        <v>3.75</v>
      </c>
      <c r="E257" s="46">
        <f t="shared" si="4"/>
        <v>10075</v>
      </c>
      <c r="F257" s="47">
        <f t="shared" si="2"/>
        <v>1.3601836522154059E-06</v>
      </c>
      <c r="G257" s="4"/>
      <c r="H257" s="4"/>
      <c r="I257" s="4"/>
      <c r="J257" s="4"/>
    </row>
    <row r="258" spans="1:10" ht="18" customHeight="1">
      <c r="A258" s="56"/>
      <c r="B258" s="4"/>
      <c r="C258" s="109"/>
      <c r="D258" s="46">
        <f t="shared" si="3"/>
        <v>3.875</v>
      </c>
      <c r="E258" s="46">
        <f t="shared" si="4"/>
        <v>10077.5</v>
      </c>
      <c r="F258" s="47">
        <f t="shared" si="2"/>
        <v>1.3148853986838443E-06</v>
      </c>
      <c r="G258" s="4"/>
      <c r="H258" s="4"/>
      <c r="I258" s="4"/>
      <c r="J258" s="4"/>
    </row>
    <row r="259" spans="1:10" ht="18" customHeight="1">
      <c r="A259" s="56"/>
      <c r="B259" s="4"/>
      <c r="C259" s="109"/>
      <c r="D259" s="46">
        <f t="shared" si="3"/>
        <v>4</v>
      </c>
      <c r="E259" s="46">
        <f t="shared" si="4"/>
        <v>10080</v>
      </c>
      <c r="F259" s="47">
        <f t="shared" si="2"/>
        <v>1.2719125361103097E-06</v>
      </c>
      <c r="G259" s="4"/>
      <c r="H259" s="4"/>
      <c r="I259" s="4"/>
      <c r="J259" s="4"/>
    </row>
    <row r="260" spans="1:10" ht="18" customHeight="1">
      <c r="A260" s="56"/>
      <c r="B260" s="4"/>
      <c r="C260" s="109"/>
      <c r="D260" s="46">
        <f t="shared" si="3"/>
        <v>4.125</v>
      </c>
      <c r="E260" s="46">
        <f t="shared" si="4"/>
        <v>10082.5</v>
      </c>
      <c r="F260" s="47">
        <f t="shared" si="2"/>
        <v>1.23110228086954E-06</v>
      </c>
      <c r="G260" s="4"/>
      <c r="H260" s="4"/>
      <c r="I260" s="4"/>
      <c r="J260" s="4"/>
    </row>
    <row r="261" spans="1:10" ht="18" customHeight="1">
      <c r="A261" s="56"/>
      <c r="B261" s="4"/>
      <c r="C261" s="109"/>
      <c r="D261" s="46">
        <f t="shared" si="3"/>
        <v>4.25</v>
      </c>
      <c r="E261" s="46">
        <f t="shared" si="4"/>
        <v>10085</v>
      </c>
      <c r="F261" s="47">
        <f t="shared" si="2"/>
        <v>1.192306306874059E-06</v>
      </c>
      <c r="G261" s="4"/>
      <c r="H261" s="4"/>
      <c r="I261" s="4"/>
      <c r="J261" s="4"/>
    </row>
    <row r="262" spans="1:10" ht="18" customHeight="1">
      <c r="A262" s="56"/>
      <c r="B262" s="4"/>
      <c r="C262" s="109"/>
      <c r="D262" s="46">
        <f t="shared" si="3"/>
        <v>4.375</v>
      </c>
      <c r="E262" s="46">
        <f t="shared" si="4"/>
        <v>10087.5</v>
      </c>
      <c r="F262" s="47">
        <f t="shared" si="2"/>
        <v>1.1553891925124523E-06</v>
      </c>
      <c r="G262" s="4"/>
      <c r="H262" s="4"/>
      <c r="I262" s="4"/>
      <c r="J262" s="4"/>
    </row>
    <row r="263" spans="1:10" ht="18" customHeight="1">
      <c r="A263" s="56"/>
      <c r="B263" s="4"/>
      <c r="C263" s="110"/>
      <c r="D263" s="48">
        <f t="shared" si="3"/>
        <v>4.5</v>
      </c>
      <c r="E263" s="48">
        <f t="shared" si="4"/>
        <v>10090</v>
      </c>
      <c r="F263" s="49">
        <f t="shared" si="2"/>
        <v>1.1202270626596763E-06</v>
      </c>
      <c r="G263" s="4"/>
      <c r="H263" s="4"/>
      <c r="I263" s="2"/>
      <c r="J263" s="4"/>
    </row>
    <row r="264" spans="1:10" ht="18" customHeight="1">
      <c r="A264" s="56"/>
      <c r="B264" s="4"/>
      <c r="C264" s="111" t="s">
        <v>186</v>
      </c>
      <c r="D264" s="112"/>
      <c r="E264" s="113"/>
      <c r="F264" s="49">
        <f>SUM(F234:F263)</f>
        <v>6.135356149461385E-05</v>
      </c>
      <c r="G264" s="4"/>
      <c r="H264" s="4"/>
      <c r="I264" s="4"/>
      <c r="J264" s="4"/>
    </row>
    <row r="265" spans="1:10" ht="18" customHeight="1">
      <c r="A265" s="56"/>
      <c r="B265" s="4"/>
      <c r="C265" s="4"/>
      <c r="D265" s="4"/>
      <c r="E265" s="4"/>
      <c r="F265" s="4"/>
      <c r="G265" s="4"/>
      <c r="H265" s="4"/>
      <c r="I265" s="4"/>
      <c r="J265" s="4"/>
    </row>
    <row r="266" spans="1:10" ht="18" customHeight="1">
      <c r="A266" s="56"/>
      <c r="B266" s="4"/>
      <c r="C266" s="7" t="s">
        <v>148</v>
      </c>
      <c r="D266" s="8" t="s">
        <v>85</v>
      </c>
      <c r="E266" s="2">
        <f>(LN((B+2*hn*TAN(θ))*D/(D+2*hn*TAN(θ))/B))/F264</f>
        <v>15306.633935036307</v>
      </c>
      <c r="F266" s="4" t="s">
        <v>86</v>
      </c>
      <c r="G266" s="4"/>
      <c r="H266" s="4"/>
      <c r="I266" s="4"/>
      <c r="J266" s="4"/>
    </row>
    <row r="267" spans="1:10" ht="18" customHeight="1">
      <c r="A267" s="56" t="s">
        <v>221</v>
      </c>
      <c r="B267" s="4"/>
      <c r="C267" s="12"/>
      <c r="D267" s="8"/>
      <c r="E267" s="2"/>
      <c r="F267" s="4"/>
      <c r="G267" s="4"/>
      <c r="H267" s="4"/>
      <c r="I267" s="4"/>
      <c r="J267" s="4"/>
    </row>
    <row r="268" spans="1:10" ht="18" customHeight="1">
      <c r="A268" s="56"/>
      <c r="B268" s="4"/>
      <c r="C268" s="12"/>
      <c r="D268" s="8"/>
      <c r="E268" s="2"/>
      <c r="F268" s="4"/>
      <c r="G268" s="4"/>
      <c r="H268" s="4"/>
      <c r="I268" s="4"/>
      <c r="J268" s="4"/>
    </row>
    <row r="269" spans="1:10" ht="18" customHeight="1">
      <c r="A269" s="56"/>
      <c r="B269" s="4"/>
      <c r="C269" s="7" t="s">
        <v>46</v>
      </c>
      <c r="D269" s="8"/>
      <c r="F269" s="17">
        <f>(B*F141)^0.5</f>
        <v>4.242640687119285</v>
      </c>
      <c r="G269" s="4" t="s">
        <v>6</v>
      </c>
      <c r="H269" s="4"/>
      <c r="I269" s="4"/>
      <c r="J269" s="4"/>
    </row>
    <row r="270" spans="1:10" ht="18" customHeight="1">
      <c r="A270" s="56"/>
      <c r="B270" s="4"/>
      <c r="C270" s="7" t="s">
        <v>47</v>
      </c>
      <c r="D270" s="7" t="s">
        <v>87</v>
      </c>
      <c r="E270" s="4">
        <v>4</v>
      </c>
      <c r="F270" s="4"/>
      <c r="G270" s="4"/>
      <c r="H270" s="4"/>
      <c r="I270" s="4"/>
      <c r="J270" s="4"/>
    </row>
    <row r="271" spans="1:10" ht="18" customHeight="1">
      <c r="A271" s="56"/>
      <c r="B271" s="4"/>
      <c r="C271" s="4"/>
      <c r="D271" s="4"/>
      <c r="E271" s="4"/>
      <c r="F271" s="4"/>
      <c r="G271" s="4"/>
      <c r="H271" s="4"/>
      <c r="I271" s="4"/>
      <c r="J271" s="4"/>
    </row>
    <row r="272" spans="1:10" ht="18" customHeight="1">
      <c r="A272" s="56"/>
      <c r="B272" s="4"/>
      <c r="C272" s="7" t="s">
        <v>149</v>
      </c>
      <c r="D272" s="8"/>
      <c r="E272" s="4"/>
      <c r="F272" s="4"/>
      <c r="H272" s="52">
        <f>1/0.3*E270*E266*(F269/0.3)^(-3/4)</f>
        <v>27985.442882848234</v>
      </c>
      <c r="I272" s="4" t="s">
        <v>88</v>
      </c>
      <c r="J272" s="4"/>
    </row>
    <row r="273" spans="1:10" ht="18" customHeight="1">
      <c r="A273" s="56"/>
      <c r="B273" s="4"/>
      <c r="C273" s="12"/>
      <c r="D273" s="8"/>
      <c r="E273" s="2"/>
      <c r="F273" s="4"/>
      <c r="G273" s="4"/>
      <c r="H273" s="4"/>
      <c r="I273" s="4"/>
      <c r="J273" s="4"/>
    </row>
    <row r="274" spans="1:10" ht="18" customHeight="1">
      <c r="A274" s="56"/>
      <c r="B274" s="4"/>
      <c r="C274" s="7" t="s">
        <v>48</v>
      </c>
      <c r="D274" s="8"/>
      <c r="E274" s="4"/>
      <c r="F274" s="2">
        <f>H272/3</f>
        <v>9328.480960949411</v>
      </c>
      <c r="G274" s="4" t="s">
        <v>89</v>
      </c>
      <c r="H274" s="4"/>
      <c r="I274" s="4"/>
      <c r="J274" s="4"/>
    </row>
    <row r="275" spans="1:28" ht="18" customHeight="1">
      <c r="A275" s="56"/>
      <c r="B275" s="4"/>
      <c r="C275" s="12"/>
      <c r="D275" s="8"/>
      <c r="E275" s="2"/>
      <c r="F275" s="4"/>
      <c r="G275" s="4"/>
      <c r="H275" s="4"/>
      <c r="I275" s="4"/>
      <c r="J275" s="4"/>
      <c r="AB275" t="str">
        <f>"δh="&amp;E286&amp;"mm"</f>
        <v>δh=9mm</v>
      </c>
    </row>
    <row r="276" spans="1:28" ht="18" customHeight="1">
      <c r="A276" s="56" t="s">
        <v>222</v>
      </c>
      <c r="B276" s="4"/>
      <c r="C276" s="12"/>
      <c r="D276" s="8"/>
      <c r="E276" s="2"/>
      <c r="F276" s="4"/>
      <c r="G276" s="4"/>
      <c r="H276" s="4"/>
      <c r="I276" s="4"/>
      <c r="J276" s="4"/>
      <c r="AB276" t="str">
        <f>"δv="&amp;E288&amp;"mm"</f>
        <v>δv=4.7mm</v>
      </c>
    </row>
    <row r="277" spans="1:28" ht="18" customHeight="1">
      <c r="A277" s="56"/>
      <c r="B277" s="4"/>
      <c r="C277" s="12"/>
      <c r="D277" s="8"/>
      <c r="E277" s="2"/>
      <c r="F277" s="4"/>
      <c r="G277" s="4"/>
      <c r="H277" s="4"/>
      <c r="I277" s="4"/>
      <c r="J277" s="4"/>
      <c r="AB277" t="str">
        <f>"α="&amp;E282&amp;"rad"</f>
        <v>α=0.00236rad</v>
      </c>
    </row>
    <row r="278" spans="1:10" ht="18" customHeight="1">
      <c r="A278" s="56"/>
      <c r="B278" s="7" t="s">
        <v>150</v>
      </c>
      <c r="D278" s="4"/>
      <c r="E278" s="2">
        <f>'入力'!D22/B/F274*1000</f>
        <v>1.9367211813259597</v>
      </c>
      <c r="F278" s="4" t="s">
        <v>49</v>
      </c>
      <c r="G278" s="4"/>
      <c r="H278" s="8"/>
      <c r="I278" s="4"/>
      <c r="J278" s="4"/>
    </row>
    <row r="279" spans="1:10" ht="18" customHeight="1">
      <c r="A279" s="56"/>
      <c r="B279" s="4"/>
      <c r="D279" s="4"/>
      <c r="E279" s="4"/>
      <c r="F279" s="4"/>
      <c r="G279" s="4"/>
      <c r="H279" s="8"/>
      <c r="I279" s="4"/>
      <c r="J279" s="4"/>
    </row>
    <row r="280" spans="1:10" ht="18" customHeight="1">
      <c r="A280" s="56"/>
      <c r="B280" s="7" t="s">
        <v>165</v>
      </c>
      <c r="D280" s="4"/>
      <c r="E280" s="2">
        <f>'入力'!D21/B/H272*1000</f>
        <v>2.543981338529333</v>
      </c>
      <c r="F280" s="4" t="s">
        <v>50</v>
      </c>
      <c r="G280" s="4"/>
      <c r="H280" s="12"/>
      <c r="I280" s="4"/>
      <c r="J280" s="4"/>
    </row>
    <row r="281" spans="1:10" ht="18" customHeight="1">
      <c r="A281" s="56"/>
      <c r="B281" s="4"/>
      <c r="D281" s="4"/>
      <c r="E281" s="4"/>
      <c r="F281" s="4"/>
      <c r="G281" s="4"/>
      <c r="H281" s="12"/>
      <c r="I281" s="4"/>
      <c r="J281" s="4"/>
    </row>
    <row r="282" spans="1:10" ht="18" customHeight="1">
      <c r="A282" s="56"/>
      <c r="B282" s="7" t="s">
        <v>51</v>
      </c>
      <c r="D282" s="4"/>
      <c r="E282" s="53">
        <f>ROUND(12*G156/H272/B^3,5)</f>
        <v>0.00236</v>
      </c>
      <c r="F282" s="4" t="s">
        <v>40</v>
      </c>
      <c r="G282" s="4"/>
      <c r="H282" s="8"/>
      <c r="I282" s="4"/>
      <c r="J282" s="4"/>
    </row>
    <row r="283" spans="1:10" ht="18" customHeight="1">
      <c r="A283" s="56"/>
      <c r="B283" s="4"/>
      <c r="C283" s="4"/>
      <c r="D283" s="4"/>
      <c r="E283" s="4"/>
      <c r="F283" s="4"/>
      <c r="G283" s="4"/>
      <c r="H283" s="8"/>
      <c r="I283" s="4"/>
      <c r="J283" s="4"/>
    </row>
    <row r="284" spans="1:10" ht="18" customHeight="1">
      <c r="A284" s="56"/>
      <c r="B284" s="4"/>
      <c r="C284" s="4"/>
      <c r="D284" s="4"/>
      <c r="E284" s="4"/>
      <c r="F284" s="4"/>
      <c r="G284" s="4"/>
      <c r="H284" s="4"/>
      <c r="I284" s="4"/>
      <c r="J284" s="4"/>
    </row>
    <row r="285" spans="1:10" ht="18" customHeight="1">
      <c r="A285" s="61" t="s">
        <v>223</v>
      </c>
      <c r="B285" s="4"/>
      <c r="C285" s="4"/>
      <c r="D285" s="4"/>
      <c r="E285" s="4"/>
      <c r="F285" s="4"/>
      <c r="G285" s="4"/>
      <c r="H285" s="4"/>
      <c r="I285" s="4"/>
      <c r="J285" s="4"/>
    </row>
    <row r="286" spans="1:10" ht="18" customHeight="1">
      <c r="A286" s="56"/>
      <c r="B286" s="7" t="s">
        <v>151</v>
      </c>
      <c r="D286" s="4"/>
      <c r="E286" s="2">
        <f>ROUND('入力'!D25*E282*1000+E278,0)</f>
        <v>9</v>
      </c>
      <c r="F286" s="4" t="s">
        <v>49</v>
      </c>
      <c r="H286" s="4"/>
      <c r="I286" s="4"/>
      <c r="J286" s="4"/>
    </row>
    <row r="287" spans="1:10" ht="18" customHeight="1">
      <c r="A287" s="56"/>
      <c r="B287" s="4"/>
      <c r="D287" s="4"/>
      <c r="E287" s="4"/>
      <c r="F287" s="4"/>
      <c r="H287" s="4"/>
      <c r="I287" s="4"/>
      <c r="J287" s="4"/>
    </row>
    <row r="288" spans="1:10" ht="18" customHeight="1">
      <c r="A288" s="56"/>
      <c r="B288" s="7" t="s">
        <v>165</v>
      </c>
      <c r="D288" s="4"/>
      <c r="E288" s="2">
        <f>ROUND(B/2*E282*1000+E280,1)</f>
        <v>4.7</v>
      </c>
      <c r="F288" s="4" t="s">
        <v>50</v>
      </c>
      <c r="H288" s="4"/>
      <c r="I288" s="4"/>
      <c r="J288" s="4"/>
    </row>
    <row r="289" spans="1:10" ht="18" customHeight="1">
      <c r="A289" s="56"/>
      <c r="B289" s="4"/>
      <c r="C289" s="4"/>
      <c r="D289" s="4"/>
      <c r="E289" s="4"/>
      <c r="F289" s="4"/>
      <c r="G289" s="4"/>
      <c r="H289" s="4"/>
      <c r="I289" s="4"/>
      <c r="J289" s="4"/>
    </row>
    <row r="290" spans="1:10" ht="18" customHeight="1">
      <c r="A290" s="56"/>
      <c r="B290" s="4"/>
      <c r="C290" s="4"/>
      <c r="D290" s="4"/>
      <c r="E290" s="4"/>
      <c r="F290" s="4"/>
      <c r="G290" s="4"/>
      <c r="H290" s="4"/>
      <c r="I290" s="4"/>
      <c r="J290" s="4"/>
    </row>
    <row r="291" spans="1:10" ht="18" customHeight="1">
      <c r="A291" s="56"/>
      <c r="B291" s="4"/>
      <c r="C291" s="4"/>
      <c r="D291" s="4"/>
      <c r="E291" s="4"/>
      <c r="F291" s="4"/>
      <c r="G291" s="4"/>
      <c r="H291" s="4"/>
      <c r="I291" s="4"/>
      <c r="J291" s="4"/>
    </row>
    <row r="292" spans="1:10" ht="18" customHeight="1">
      <c r="A292" s="56"/>
      <c r="B292" s="4"/>
      <c r="C292" s="4"/>
      <c r="D292" s="4"/>
      <c r="E292" s="4"/>
      <c r="F292" s="4"/>
      <c r="G292" s="4"/>
      <c r="H292" s="4"/>
      <c r="I292" s="4"/>
      <c r="J292" s="4"/>
    </row>
    <row r="293" spans="1:10" ht="18" customHeight="1">
      <c r="A293" s="56"/>
      <c r="B293" s="4"/>
      <c r="C293" s="4"/>
      <c r="D293" s="4"/>
      <c r="E293" s="4"/>
      <c r="F293" s="4"/>
      <c r="G293" s="4"/>
      <c r="H293" s="4"/>
      <c r="I293" s="4"/>
      <c r="J293" s="4"/>
    </row>
    <row r="294" spans="1:10" ht="18" customHeight="1">
      <c r="A294" s="56"/>
      <c r="B294" s="4"/>
      <c r="C294" s="4"/>
      <c r="D294" s="4"/>
      <c r="E294" s="4"/>
      <c r="F294" s="4"/>
      <c r="G294" s="4"/>
      <c r="H294" s="4"/>
      <c r="I294" s="4"/>
      <c r="J294" s="4"/>
    </row>
    <row r="295" spans="1:10" ht="18" customHeight="1">
      <c r="A295" s="56"/>
      <c r="B295" s="4"/>
      <c r="C295" s="4"/>
      <c r="D295" s="4"/>
      <c r="E295" s="4"/>
      <c r="F295" s="4"/>
      <c r="G295" s="4"/>
      <c r="H295" s="4"/>
      <c r="I295" s="4"/>
      <c r="J295" s="4"/>
    </row>
    <row r="296" spans="1:10" ht="18" customHeight="1">
      <c r="A296" s="56"/>
      <c r="B296" s="4"/>
      <c r="C296" s="4"/>
      <c r="D296" s="4"/>
      <c r="E296" s="4"/>
      <c r="F296" s="4"/>
      <c r="G296" s="4"/>
      <c r="H296" s="4"/>
      <c r="I296" s="4"/>
      <c r="J296" s="4"/>
    </row>
    <row r="297" spans="1:27" ht="18" customHeight="1">
      <c r="A297" s="56"/>
      <c r="B297" s="4"/>
      <c r="C297" s="4"/>
      <c r="D297" s="4"/>
      <c r="E297" s="4"/>
      <c r="F297" s="4"/>
      <c r="G297" s="4"/>
      <c r="H297" s="4"/>
      <c r="I297" s="4"/>
      <c r="J297" s="4"/>
      <c r="Z297" s="4" t="s">
        <v>230</v>
      </c>
      <c r="AA297" s="4" t="s">
        <v>231</v>
      </c>
    </row>
    <row r="298" spans="1:27" ht="18" customHeight="1">
      <c r="A298" s="56"/>
      <c r="B298" s="4"/>
      <c r="C298" s="4"/>
      <c r="D298" s="4"/>
      <c r="E298" s="4"/>
      <c r="F298" s="4"/>
      <c r="G298" s="4"/>
      <c r="H298" s="4"/>
      <c r="I298" s="4"/>
      <c r="J298" s="4"/>
      <c r="Z298">
        <v>10</v>
      </c>
      <c r="AA298">
        <v>6513.553666290224</v>
      </c>
    </row>
    <row r="299" spans="1:10" ht="18" customHeight="1">
      <c r="A299" s="56"/>
      <c r="B299" s="4"/>
      <c r="C299" s="4"/>
      <c r="D299" s="4"/>
      <c r="E299" s="4"/>
      <c r="F299" s="4"/>
      <c r="G299" s="4"/>
      <c r="H299" s="4"/>
      <c r="I299" s="4"/>
      <c r="J299" s="4"/>
    </row>
    <row r="300" spans="1:10" ht="18" customHeight="1">
      <c r="A300" s="56"/>
      <c r="B300" s="4"/>
      <c r="C300" s="4"/>
      <c r="D300" s="4"/>
      <c r="E300" s="4"/>
      <c r="F300" s="4"/>
      <c r="G300" s="4"/>
      <c r="H300" s="4"/>
      <c r="I300" s="4"/>
      <c r="J300" s="4"/>
    </row>
    <row r="301" spans="1:10" ht="18" customHeight="1">
      <c r="A301" s="56"/>
      <c r="B301" s="4"/>
      <c r="C301" s="4"/>
      <c r="D301" s="4"/>
      <c r="E301" s="4"/>
      <c r="F301" s="4"/>
      <c r="G301" s="4"/>
      <c r="H301" s="4"/>
      <c r="I301" s="4"/>
      <c r="J301" s="4"/>
    </row>
    <row r="302" spans="1:10" ht="18" customHeight="1">
      <c r="A302" s="56"/>
      <c r="B302" s="4"/>
      <c r="C302" s="4"/>
      <c r="D302" s="4"/>
      <c r="E302" s="4"/>
      <c r="F302" s="4"/>
      <c r="G302" s="4"/>
      <c r="H302" s="4"/>
      <c r="I302" s="4"/>
      <c r="J302" s="4"/>
    </row>
    <row r="303" spans="1:10" ht="18" customHeight="1">
      <c r="A303" s="56"/>
      <c r="B303" s="4"/>
      <c r="C303" s="4"/>
      <c r="D303" s="4"/>
      <c r="E303" s="4"/>
      <c r="F303" s="4"/>
      <c r="G303" s="4"/>
      <c r="H303" s="4"/>
      <c r="I303" s="4"/>
      <c r="J303" s="4"/>
    </row>
    <row r="304" spans="1:10" ht="18" customHeight="1">
      <c r="A304" s="56"/>
      <c r="B304" s="4"/>
      <c r="C304" s="4"/>
      <c r="D304" s="4"/>
      <c r="E304" s="4"/>
      <c r="F304" s="4"/>
      <c r="G304" s="4"/>
      <c r="H304" s="4"/>
      <c r="I304" s="4"/>
      <c r="J304" s="4"/>
    </row>
    <row r="305" spans="1:10" ht="18" customHeight="1">
      <c r="A305" s="56"/>
      <c r="B305" s="4"/>
      <c r="C305" s="4"/>
      <c r="D305" s="4"/>
      <c r="E305" s="4"/>
      <c r="F305" s="4"/>
      <c r="G305" s="4"/>
      <c r="H305" s="4"/>
      <c r="I305" s="4"/>
      <c r="J305" s="4"/>
    </row>
    <row r="306" spans="1:10" ht="18" customHeight="1">
      <c r="A306" s="56"/>
      <c r="B306" s="4"/>
      <c r="C306" s="4"/>
      <c r="D306" s="4"/>
      <c r="E306" s="4"/>
      <c r="F306" s="4"/>
      <c r="G306" s="4"/>
      <c r="H306" s="4"/>
      <c r="I306" s="4"/>
      <c r="J306" s="4"/>
    </row>
    <row r="307" spans="1:10" ht="18" customHeight="1">
      <c r="A307" s="56"/>
      <c r="B307" s="4"/>
      <c r="C307" s="4"/>
      <c r="D307" s="4"/>
      <c r="E307" s="4"/>
      <c r="F307" s="4"/>
      <c r="G307" s="4"/>
      <c r="H307" s="4"/>
      <c r="I307" s="4"/>
      <c r="J307" s="4"/>
    </row>
    <row r="308" spans="1:10" ht="18" customHeight="1">
      <c r="A308" s="56"/>
      <c r="B308" s="4"/>
      <c r="C308" s="4"/>
      <c r="D308" s="4"/>
      <c r="E308" s="4"/>
      <c r="F308" s="4"/>
      <c r="G308" s="4"/>
      <c r="H308" s="4"/>
      <c r="I308" s="4"/>
      <c r="J308" s="4"/>
    </row>
    <row r="309" spans="1:10" ht="18" customHeight="1">
      <c r="A309" s="56"/>
      <c r="B309" s="4"/>
      <c r="C309" s="4"/>
      <c r="D309" s="4"/>
      <c r="E309" s="4"/>
      <c r="F309" s="4"/>
      <c r="G309" s="4"/>
      <c r="H309" s="4"/>
      <c r="I309" s="4"/>
      <c r="J309" s="4"/>
    </row>
    <row r="310" spans="1:10" ht="18" customHeight="1">
      <c r="A310" s="56"/>
      <c r="B310" s="4"/>
      <c r="C310" s="4"/>
      <c r="D310" s="4"/>
      <c r="E310" s="4"/>
      <c r="F310" s="4"/>
      <c r="G310" s="4"/>
      <c r="H310" s="4"/>
      <c r="I310" s="4"/>
      <c r="J310" s="4"/>
    </row>
    <row r="311" spans="1:10" ht="18" customHeight="1">
      <c r="A311" s="56"/>
      <c r="B311" s="4"/>
      <c r="C311" s="4"/>
      <c r="D311" s="4"/>
      <c r="E311" s="4"/>
      <c r="F311" s="4"/>
      <c r="G311" s="4"/>
      <c r="H311" s="4"/>
      <c r="I311" s="4"/>
      <c r="J311" s="4"/>
    </row>
    <row r="312" spans="1:10" ht="18" customHeight="1">
      <c r="A312" s="56"/>
      <c r="B312" s="4"/>
      <c r="C312" s="4"/>
      <c r="D312" s="4"/>
      <c r="E312" s="4"/>
      <c r="F312" s="4"/>
      <c r="G312" s="4"/>
      <c r="H312" s="4"/>
      <c r="I312" s="4"/>
      <c r="J312" s="4"/>
    </row>
  </sheetData>
  <sheetProtection/>
  <mergeCells count="6">
    <mergeCell ref="C244:C263"/>
    <mergeCell ref="C264:E264"/>
    <mergeCell ref="H91:H92"/>
    <mergeCell ref="I91:I92"/>
    <mergeCell ref="C146:D146"/>
    <mergeCell ref="C233:C243"/>
  </mergeCells>
  <printOptions/>
  <pageMargins left="0.75" right="0.75" top="1" bottom="1" header="0.512" footer="0.512"/>
  <pageSetup horizontalDpi="600" verticalDpi="600" orientation="portrait" paperSize="9" r:id="rId2"/>
  <headerFooter alignWithMargins="0">
    <oddHeader>&amp;C&amp;9置き換え基礎</oddHeader>
    <oddFooter>&amp;C&amp;P</oddFooter>
  </headerFooter>
  <rowBreaks count="8" manualBreakCount="8">
    <brk id="34" max="255" man="1"/>
    <brk id="59" max="255" man="1"/>
    <brk id="96" max="255" man="1"/>
    <brk id="136" max="255" man="1"/>
    <brk id="157" max="255" man="1"/>
    <brk id="193" max="255" man="1"/>
    <brk id="230" max="255" man="1"/>
    <brk id="2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(株)第一コンサルタンツ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NTUser</dc:creator>
  <cp:keywords/>
  <dc:description/>
  <cp:lastModifiedBy>Owner</cp:lastModifiedBy>
  <cp:lastPrinted>2003-08-02T23:23:18Z</cp:lastPrinted>
  <dcterms:created xsi:type="dcterms:W3CDTF">1999-09-04T05:24:10Z</dcterms:created>
  <dcterms:modified xsi:type="dcterms:W3CDTF">2015-04-11T22:33:04Z</dcterms:modified>
  <cp:category/>
  <cp:version/>
  <cp:contentType/>
  <cp:contentStatus/>
</cp:coreProperties>
</file>