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60" windowHeight="12150" activeTab="0"/>
  </bookViews>
  <sheets>
    <sheet name="入力" sheetId="1" r:id="rId1"/>
    <sheet name="計算" sheetId="2" r:id="rId2"/>
    <sheet name="data" sheetId="3" state="hidden" r:id="rId3"/>
  </sheets>
  <definedNames>
    <definedName name="∑H">'計算'!$D$200</definedName>
    <definedName name="∑M">'計算'!$D$201</definedName>
    <definedName name="∑V">'計算'!$D$199</definedName>
    <definedName name="B">'計算'!$C$87</definedName>
    <definedName name="Bd">'計算'!$AT$428</definedName>
    <definedName name="bq">'計算'!$BG$171</definedName>
    <definedName name="bt">'計算'!$C$8</definedName>
    <definedName name="bu">'計算'!$C$7</definedName>
    <definedName name="cu">'計算'!$D$27</definedName>
    <definedName name="cuf">'計算'!$D$44</definedName>
    <definedName name="d">'計算'!$D$204</definedName>
    <definedName name="Df">'計算'!$D$41</definedName>
    <definedName name="e">'計算'!$D$205</definedName>
    <definedName name="H">'計算'!$C$4</definedName>
    <definedName name="Hf">'計算'!$C$6</definedName>
    <definedName name="Ho">'計算'!$D$23</definedName>
    <definedName name="hp">'計算'!$D$35</definedName>
    <definedName name="Hw">'計算'!$C$5</definedName>
    <definedName name="KA">'計算'!$G$183</definedName>
    <definedName name="Kh">'計算'!$D$31</definedName>
    <definedName name="Ks">'計算'!#REF!</definedName>
    <definedName name="Kt">'計算'!$F$301</definedName>
    <definedName name="Kx">'計算'!$E$298</definedName>
    <definedName name="Ky">'計算'!$F$295</definedName>
    <definedName name="L">'計算'!$E$289</definedName>
    <definedName name="Lc">'計算'!$BH$171</definedName>
    <definedName name="Lov">'計算'!$D$304</definedName>
    <definedName name="lt">'計算'!$AT$424</definedName>
    <definedName name="Lun">'計算'!$D$303</definedName>
    <definedName name="Lw">'計算'!$G$6</definedName>
    <definedName name="m">'計算'!$D$24</definedName>
    <definedName name="Mo">'計算'!$E$284</definedName>
    <definedName name="Nb">'計算'!$D$37</definedName>
    <definedName name="NbNw">'計算'!$BJ$219</definedName>
    <definedName name="nf">'計算'!$G$4</definedName>
    <definedName name="nr">'計算'!$G$5</definedName>
    <definedName name="Nw">'計算'!$D$28</definedName>
    <definedName name="P">'計算'!$D$34</definedName>
    <definedName name="PA">'計算'!$BD$171</definedName>
    <definedName name="_xlnm.Print_Area" localSheetId="1">'計算'!$A$1:$I$732</definedName>
    <definedName name="_xlnm.Print_Area" localSheetId="0">'入力'!$A$1:$V$39</definedName>
    <definedName name="Puq">'計算'!$CV$78</definedName>
    <definedName name="q">'計算'!$D$30</definedName>
    <definedName name="qd">'計算'!$D$39</definedName>
    <definedName name="qmax">'計算'!$BB$304</definedName>
    <definedName name="Qt">'計算'!$E$317</definedName>
    <definedName name="qtl">'計算'!$E$322</definedName>
    <definedName name="qtu">'計算'!$E$323</definedName>
    <definedName name="scal">'入力'!$I$20</definedName>
    <definedName name="solver_adj" localSheetId="1" hidden="1">'計算'!$D$303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'計算'!$D$303</definedName>
    <definedName name="solver_lhs2" localSheetId="1" hidden="1">'計算'!$D$303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'計算'!$AT$415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hs1" localSheetId="1" hidden="1">0</definedName>
    <definedName name="solver_rhs2" localSheetId="1" hidden="1">L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  <definedName name="TH">'計算'!$BJ$114</definedName>
    <definedName name="u0">'計算'!$E$311</definedName>
    <definedName name="v0">'計算'!$E$312</definedName>
    <definedName name="Vo">'計算'!$E$283</definedName>
    <definedName name="Ws">'計算'!$BI$171</definedName>
    <definedName name="zc">'計算'!$F$150</definedName>
    <definedName name="α">'計算'!$R$173</definedName>
    <definedName name="β">'計算'!$R$174</definedName>
    <definedName name="γ">'計算'!$D$25</definedName>
    <definedName name="γ1">'計算'!$D$42</definedName>
    <definedName name="γc">'計算'!$E$46</definedName>
    <definedName name="δ">'計算'!$R$171</definedName>
    <definedName name="θ">'計算'!$R$172</definedName>
    <definedName name="θo">'計算'!$E$313</definedName>
    <definedName name="μ">'計算'!$D$38</definedName>
    <definedName name="σca">'計算'!$E$48</definedName>
    <definedName name="σck">'計算'!$E$47</definedName>
    <definedName name="σsa">'計算'!$E$59</definedName>
    <definedName name="σta">'計算'!$E$49</definedName>
    <definedName name="τca">'計算'!$E$50</definedName>
    <definedName name="φ">'計算'!$R$170</definedName>
    <definedName name="φ1">'計算'!$D$43</definedName>
    <definedName name="ωa">'計算'!$BF$171</definedName>
    <definedName name="ωAd">'計算'!$BE$171</definedName>
    <definedName name="ωo">'計算'!$BJ$115</definedName>
  </definedNames>
  <calcPr fullCalcOnLoad="1"/>
</workbook>
</file>

<file path=xl/comments1.xml><?xml version="1.0" encoding="utf-8"?>
<comments xmlns="http://schemas.openxmlformats.org/spreadsheetml/2006/main">
  <authors>
    <author>T.Ushiro</author>
  </authors>
  <commentList>
    <comment ref="D22" authorId="0">
      <text>
        <r>
          <rPr>
            <b/>
            <sz val="9"/>
            <rFont val="ＭＳ Ｐゴシック"/>
            <family val="3"/>
          </rPr>
          <t>0.2～0.5の範囲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支持地盤が土砂なら0.6
支持地盤が岩盤なら0.7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b/>
            <sz val="9"/>
            <rFont val="ＭＳ Ｐゴシック"/>
            <family val="3"/>
          </rPr>
          <t>目地間隔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礫質土２０
砂質土１９
粘性土１８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礫質土３５
砂質土３０
粘性土２５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標準はc=H(擁壁高)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標準は１０
</t>
        </r>
      </text>
    </comment>
    <comment ref="D16" authorId="0">
      <text>
        <r>
          <rPr>
            <b/>
            <sz val="9"/>
            <rFont val="ＭＳ Ｐゴシック"/>
            <family val="3"/>
          </rPr>
          <t>衝突時，地震時は0とする。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<sst xmlns="http://schemas.openxmlformats.org/spreadsheetml/2006/main" count="1728" uniqueCount="554">
  <si>
    <t>番号</t>
  </si>
  <si>
    <t>種別</t>
  </si>
  <si>
    <t>衝突荷重</t>
  </si>
  <si>
    <t>衝突高さ</t>
  </si>
  <si>
    <r>
      <t>C</t>
    </r>
    <r>
      <rPr>
        <sz val="11"/>
        <rFont val="ＭＳ 明朝"/>
        <family val="1"/>
      </rPr>
      <t>種</t>
    </r>
  </si>
  <si>
    <r>
      <t>B</t>
    </r>
    <r>
      <rPr>
        <sz val="11"/>
        <rFont val="ＭＳ 明朝"/>
        <family val="1"/>
      </rPr>
      <t>種</t>
    </r>
  </si>
  <si>
    <r>
      <t>A</t>
    </r>
    <r>
      <rPr>
        <sz val="11"/>
        <rFont val="ＭＳ 明朝"/>
        <family val="1"/>
      </rPr>
      <t>種</t>
    </r>
  </si>
  <si>
    <r>
      <t>SC</t>
    </r>
    <r>
      <rPr>
        <sz val="11"/>
        <rFont val="ＭＳ 明朝"/>
        <family val="1"/>
      </rPr>
      <t>種</t>
    </r>
  </si>
  <si>
    <r>
      <t>SB</t>
    </r>
    <r>
      <rPr>
        <sz val="11"/>
        <rFont val="ＭＳ 明朝"/>
        <family val="1"/>
      </rPr>
      <t>種</t>
    </r>
  </si>
  <si>
    <r>
      <t>SA</t>
    </r>
    <r>
      <rPr>
        <sz val="11"/>
        <rFont val="ＭＳ 明朝"/>
        <family val="1"/>
      </rPr>
      <t>種</t>
    </r>
  </si>
  <si>
    <r>
      <t>SS</t>
    </r>
    <r>
      <rPr>
        <sz val="11"/>
        <rFont val="ＭＳ 明朝"/>
        <family val="1"/>
      </rPr>
      <t>種</t>
    </r>
  </si>
  <si>
    <t>なし</t>
  </si>
  <si>
    <t>種別</t>
  </si>
  <si>
    <t>kN</t>
  </si>
  <si>
    <t>衝突位置</t>
  </si>
  <si>
    <t>m</t>
  </si>
  <si>
    <t>擁壁高</t>
  </si>
  <si>
    <t>H=</t>
  </si>
  <si>
    <t>m</t>
  </si>
  <si>
    <t>◆安定計算結果</t>
  </si>
  <si>
    <t>壁高</t>
  </si>
  <si>
    <t>検討項目</t>
  </si>
  <si>
    <t>計算値</t>
  </si>
  <si>
    <t>規定値</t>
  </si>
  <si>
    <t>判定</t>
  </si>
  <si>
    <t>底版先厚</t>
  </si>
  <si>
    <t>転倒</t>
  </si>
  <si>
    <t>安全率</t>
  </si>
  <si>
    <t>天端幅</t>
  </si>
  <si>
    <t>危険率</t>
  </si>
  <si>
    <t>つま先長</t>
  </si>
  <si>
    <t>滑動</t>
  </si>
  <si>
    <t>壁前勾配</t>
  </si>
  <si>
    <t>支持</t>
  </si>
  <si>
    <t>壁後勾配</t>
  </si>
  <si>
    <t>擁壁延長</t>
  </si>
  <si>
    <t>嵩上げ高さ</t>
  </si>
  <si>
    <t>盛土勾配</t>
  </si>
  <si>
    <t>単位体積重量</t>
  </si>
  <si>
    <t>内部摩擦角</t>
  </si>
  <si>
    <t>度</t>
  </si>
  <si>
    <t>粘着力</t>
  </si>
  <si>
    <t>c=</t>
  </si>
  <si>
    <t>荷重図</t>
  </si>
  <si>
    <t>縮尺</t>
  </si>
  <si>
    <t>1:S=1:</t>
  </si>
  <si>
    <t>地盤反力図</t>
  </si>
  <si>
    <t>載荷重</t>
  </si>
  <si>
    <t>q=</t>
  </si>
  <si>
    <t>設計震度</t>
  </si>
  <si>
    <t>ｶﾞｰﾄﾞﾚｰﾙ</t>
  </si>
  <si>
    <t>摩擦係数</t>
  </si>
  <si>
    <t>極限支持力度</t>
  </si>
  <si>
    <t>根入れ深さ</t>
  </si>
  <si>
    <t>設計基準強度</t>
  </si>
  <si>
    <t>種別</t>
  </si>
  <si>
    <t>衝突荷重</t>
  </si>
  <si>
    <t>P=</t>
  </si>
  <si>
    <t>kN</t>
  </si>
  <si>
    <t>作用高</t>
  </si>
  <si>
    <t>座標値法によって計算する．</t>
  </si>
  <si>
    <t>No.</t>
  </si>
  <si>
    <t>A</t>
  </si>
  <si>
    <t>∑</t>
  </si>
  <si>
    <t>重量</t>
  </si>
  <si>
    <t>kN/m</t>
  </si>
  <si>
    <t>地震時慣性力</t>
  </si>
  <si>
    <t>重心位置</t>
  </si>
  <si>
    <t>荷重の縮尺</t>
  </si>
  <si>
    <t>x</t>
  </si>
  <si>
    <t>擁壁</t>
  </si>
  <si>
    <t>前面地盤</t>
  </si>
  <si>
    <t>盛土</t>
  </si>
  <si>
    <t>すべり面</t>
  </si>
  <si>
    <t>自重</t>
  </si>
  <si>
    <t>慣性力</t>
  </si>
  <si>
    <t>土圧</t>
  </si>
  <si>
    <t>合力</t>
  </si>
  <si>
    <t>支柱</t>
  </si>
  <si>
    <t>レール</t>
  </si>
  <si>
    <t>試行くさび法による．</t>
  </si>
  <si>
    <t>TH=</t>
  </si>
  <si>
    <t>rad</t>
  </si>
  <si>
    <t>deg</t>
  </si>
  <si>
    <t>壁面摩擦角</t>
  </si>
  <si>
    <t>地震合成角</t>
  </si>
  <si>
    <t>壁面傾斜角</t>
  </si>
  <si>
    <t>盛土傾斜角</t>
  </si>
  <si>
    <t>自立高さ</t>
  </si>
  <si>
    <t>主働すべり角</t>
  </si>
  <si>
    <t>主働土圧合力</t>
  </si>
  <si>
    <t>主働土圧の鉛直成分</t>
  </si>
  <si>
    <t>主働土圧の水平成分</t>
  </si>
  <si>
    <t>土圧合力作用位置</t>
  </si>
  <si>
    <t>擁壁ﾌﾞﾛｯｸ長</t>
  </si>
  <si>
    <t>荷重</t>
  </si>
  <si>
    <t>鉛直力</t>
  </si>
  <si>
    <t>水平力</t>
  </si>
  <si>
    <t>y</t>
  </si>
  <si>
    <t>Vx</t>
  </si>
  <si>
    <t>Hy</t>
  </si>
  <si>
    <t>計</t>
  </si>
  <si>
    <t>モーメント</t>
  </si>
  <si>
    <t>kNm/m</t>
  </si>
  <si>
    <t>底面幅</t>
  </si>
  <si>
    <t>B=</t>
  </si>
  <si>
    <t>合力位置</t>
  </si>
  <si>
    <t>d=</t>
  </si>
  <si>
    <t>偏心量</t>
  </si>
  <si>
    <t>変位法によって計算する．</t>
  </si>
  <si>
    <t>誤差</t>
  </si>
  <si>
    <t>min</t>
  </si>
  <si>
    <t>荷重ﾍﾞｸﾄﾙ</t>
  </si>
  <si>
    <t>剛性ﾏﾄﾘｯｸｽ</t>
  </si>
  <si>
    <t>変位ﾍﾞｸﾄﾙ</t>
  </si>
  <si>
    <t>θ</t>
  </si>
  <si>
    <t>変位量</t>
  </si>
  <si>
    <t>収束誤差</t>
  </si>
  <si>
    <t>剛性方程式</t>
  </si>
  <si>
    <t>照査</t>
  </si>
  <si>
    <t>x=</t>
  </si>
  <si>
    <t>Bd=</t>
  </si>
  <si>
    <t>擁壁形状</t>
  </si>
  <si>
    <t>壁傾角</t>
  </si>
  <si>
    <t>基礎地盤</t>
  </si>
  <si>
    <t>背面地盤</t>
  </si>
  <si>
    <t>底面</t>
  </si>
  <si>
    <t>壁面</t>
  </si>
  <si>
    <t>塑性場</t>
  </si>
  <si>
    <t>弾性場</t>
  </si>
  <si>
    <t>剛性マトリックス</t>
  </si>
  <si>
    <t>水平変位</t>
  </si>
  <si>
    <t>鉛直変位</t>
  </si>
  <si>
    <t>回転角</t>
  </si>
  <si>
    <t>地盤反力</t>
  </si>
  <si>
    <t>底面鉛直</t>
  </si>
  <si>
    <t>底面水平</t>
  </si>
  <si>
    <t>地盤反力度</t>
  </si>
  <si>
    <t>鉛直前端</t>
  </si>
  <si>
    <t>鉛直後端</t>
  </si>
  <si>
    <t>反力縮尺率</t>
  </si>
  <si>
    <t>底面反力</t>
  </si>
  <si>
    <t>背面反力</t>
  </si>
  <si>
    <t>荷重の偏心量</t>
  </si>
  <si>
    <t>許容偏心量</t>
  </si>
  <si>
    <t>荷重による抵抗モーメント</t>
  </si>
  <si>
    <t>荷重による転倒モーメント</t>
  </si>
  <si>
    <t>受動土圧</t>
  </si>
  <si>
    <t>最大地盤反力度</t>
  </si>
  <si>
    <t>部材厚さ</t>
  </si>
  <si>
    <t>軸力</t>
  </si>
  <si>
    <t>せん断力</t>
  </si>
  <si>
    <t>(m)</t>
  </si>
  <si>
    <t>(kN/m)</t>
  </si>
  <si>
    <t>(kN-m/m)</t>
  </si>
  <si>
    <t>主働土圧</t>
  </si>
  <si>
    <t>有効長</t>
  </si>
  <si>
    <t>壁面長</t>
  </si>
  <si>
    <t>壁面地盤反力</t>
  </si>
  <si>
    <t>ア－ム長</t>
  </si>
  <si>
    <t>圧縮応力</t>
  </si>
  <si>
    <t>引張応力</t>
  </si>
  <si>
    <t>せん断応力</t>
  </si>
  <si>
    <t>許容応力度</t>
  </si>
  <si>
    <t>max=</t>
  </si>
  <si>
    <t>min=</t>
  </si>
  <si>
    <t>圧縮応力度</t>
  </si>
  <si>
    <t>引張応力度</t>
  </si>
  <si>
    <t>せん断応力度</t>
  </si>
  <si>
    <r>
      <t xml:space="preserve"> (1)</t>
    </r>
    <r>
      <rPr>
        <sz val="11"/>
        <rFont val="ＭＳ 明朝"/>
        <family val="1"/>
      </rPr>
      <t>擁壁の形状寸法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</si>
  <si>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</si>
  <si>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</si>
  <si>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G</t>
    </r>
    <r>
      <rPr>
        <i/>
        <vertAlign val="subscript"/>
        <sz val="11"/>
        <rFont val="Times New Roman"/>
        <family val="1"/>
      </rPr>
      <t>y</t>
    </r>
  </si>
  <si>
    <r>
      <t>G</t>
    </r>
    <r>
      <rPr>
        <i/>
        <vertAlign val="subscript"/>
        <sz val="11"/>
        <rFont val="Times New Roman"/>
        <family val="1"/>
      </rPr>
      <t>x</t>
    </r>
  </si>
  <si>
    <r>
      <t>u</t>
    </r>
    <r>
      <rPr>
        <i/>
        <vertAlign val="subscript"/>
        <sz val="11"/>
        <color indexed="8"/>
        <rFont val="Times New Roman"/>
        <family val="1"/>
      </rPr>
      <t>o</t>
    </r>
  </si>
  <si>
    <r>
      <t>v</t>
    </r>
    <r>
      <rPr>
        <i/>
        <vertAlign val="subscript"/>
        <sz val="11"/>
        <color indexed="8"/>
        <rFont val="Times New Roman"/>
        <family val="1"/>
      </rPr>
      <t>o</t>
    </r>
  </si>
  <si>
    <r>
      <t>水平</t>
    </r>
    <r>
      <rPr>
        <i/>
        <sz val="11"/>
        <color indexed="8"/>
        <rFont val="Times New Roman"/>
        <family val="1"/>
      </rPr>
      <t xml:space="preserve"> u</t>
    </r>
    <r>
      <rPr>
        <i/>
        <vertAlign val="subscript"/>
        <sz val="11"/>
        <color indexed="8"/>
        <rFont val="Times New Roman"/>
        <family val="1"/>
      </rPr>
      <t>o</t>
    </r>
    <r>
      <rPr>
        <i/>
        <sz val="11"/>
        <color indexed="8"/>
        <rFont val="Times New Roman"/>
        <family val="1"/>
      </rPr>
      <t>=</t>
    </r>
  </si>
  <si>
    <r>
      <t>鉛直</t>
    </r>
    <r>
      <rPr>
        <i/>
        <sz val="11"/>
        <color indexed="8"/>
        <rFont val="Times New Roman"/>
        <family val="1"/>
      </rPr>
      <t xml:space="preserve"> v</t>
    </r>
    <r>
      <rPr>
        <i/>
        <vertAlign val="subscript"/>
        <sz val="11"/>
        <color indexed="8"/>
        <rFont val="Times New Roman"/>
        <family val="1"/>
      </rPr>
      <t>o</t>
    </r>
    <r>
      <rPr>
        <i/>
        <sz val="11"/>
        <color indexed="8"/>
        <rFont val="Times New Roman"/>
        <family val="1"/>
      </rPr>
      <t>=</t>
    </r>
  </si>
  <si>
    <r>
      <t>ﾓｰﾒﾝﾄ</t>
    </r>
    <r>
      <rPr>
        <sz val="11"/>
        <color indexed="8"/>
        <rFont val="Times New Roman"/>
        <family val="1"/>
      </rPr>
      <t xml:space="preserve"> </t>
    </r>
  </si>
  <si>
    <r>
      <t>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ＭＳ 明朝"/>
        <family val="1"/>
      </rPr>
      <t>さ</t>
    </r>
  </si>
  <si>
    <r>
      <t>H</t>
    </r>
    <r>
      <rPr>
        <sz val="11"/>
        <color indexed="8"/>
        <rFont val="Times New Roman"/>
        <family val="1"/>
      </rPr>
      <t>=</t>
    </r>
  </si>
  <si>
    <r>
      <t>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ＭＳ 明朝"/>
        <family val="1"/>
      </rPr>
      <t>長</t>
    </r>
  </si>
  <si>
    <r>
      <t>B</t>
    </r>
    <r>
      <rPr>
        <sz val="11"/>
        <color indexed="8"/>
        <rFont val="Times New Roman"/>
        <family val="1"/>
      </rPr>
      <t>=</t>
    </r>
  </si>
  <si>
    <r>
      <t>N</t>
    </r>
    <r>
      <rPr>
        <sz val="11"/>
        <color indexed="8"/>
        <rFont val="ＭＳ 明朝"/>
        <family val="1"/>
      </rPr>
      <t>値</t>
    </r>
  </si>
  <si>
    <r>
      <t>N</t>
    </r>
    <r>
      <rPr>
        <i/>
        <vertAlign val="subscript"/>
        <sz val="11"/>
        <color indexed="8"/>
        <rFont val="Times New Roman"/>
        <family val="1"/>
      </rPr>
      <t>b</t>
    </r>
    <r>
      <rPr>
        <sz val="11"/>
        <color indexed="8"/>
        <rFont val="Times New Roman"/>
        <family val="1"/>
      </rPr>
      <t>=</t>
    </r>
  </si>
  <si>
    <r>
      <t>N</t>
    </r>
    <r>
      <rPr>
        <i/>
        <vertAlign val="subscript"/>
        <sz val="11"/>
        <color indexed="8"/>
        <rFont val="Times New Roman"/>
        <family val="1"/>
      </rPr>
      <t>w</t>
    </r>
    <r>
      <rPr>
        <sz val="11"/>
        <color indexed="8"/>
        <rFont val="Times New Roman"/>
        <family val="1"/>
      </rPr>
      <t>=</t>
    </r>
  </si>
  <si>
    <r>
      <t>l</t>
    </r>
    <r>
      <rPr>
        <vertAlign val="sub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>=</t>
    </r>
  </si>
  <si>
    <r>
      <t>l</t>
    </r>
    <r>
      <rPr>
        <vertAlign val="sub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</si>
  <si>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</t>
    </r>
  </si>
  <si>
    <r>
      <t>天端からの深さ</t>
    </r>
    <r>
      <rPr>
        <i/>
        <sz val="11"/>
        <rFont val="Times New Roman"/>
        <family val="1"/>
      </rPr>
      <t>z</t>
    </r>
  </si>
  <si>
    <r>
      <t>天端からの深さ</t>
    </r>
    <r>
      <rPr>
        <i/>
        <sz val="11"/>
        <rFont val="Times New Roman"/>
        <family val="1"/>
      </rPr>
      <t>z</t>
    </r>
  </si>
  <si>
    <r>
      <t>前面σ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1</t>
    </r>
  </si>
  <si>
    <r>
      <t>背面σ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2</t>
    </r>
  </si>
  <si>
    <t>せん断力</t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</si>
  <si>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</si>
  <si>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</si>
  <si>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</si>
  <si>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</si>
  <si>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=</t>
    </r>
  </si>
  <si>
    <t>kN/m</t>
  </si>
  <si>
    <t>曲げモーメント</t>
  </si>
  <si>
    <t>kN-m/m</t>
  </si>
  <si>
    <t>コンクリートの引張応力度</t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</si>
  <si>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</si>
  <si>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m=</t>
    </r>
    <r>
      <rPr>
        <sz val="11"/>
        <rFont val="Times New Roman"/>
        <family val="1"/>
      </rPr>
      <t>1:</t>
    </r>
  </si>
  <si>
    <t>引張応力</t>
  </si>
  <si>
    <r>
      <t>γ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</si>
  <si>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</si>
  <si>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t>せん断</t>
  </si>
  <si>
    <r>
      <t>φ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</si>
  <si>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</si>
  <si>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N</t>
    </r>
    <r>
      <rPr>
        <sz val="11"/>
        <rFont val="ＭＳ 明朝"/>
        <family val="1"/>
      </rPr>
      <t>値</t>
    </r>
  </si>
  <si>
    <r>
      <t>N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</si>
  <si>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 xml:space="preserve"> (3)</t>
    </r>
    <r>
      <rPr>
        <sz val="11"/>
        <rFont val="ＭＳ 明朝"/>
        <family val="1"/>
      </rPr>
      <t>荷重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</si>
  <si>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</si>
  <si>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=</t>
    </r>
  </si>
  <si>
    <r>
      <t xml:space="preserve"> (4)</t>
    </r>
    <r>
      <rPr>
        <sz val="11"/>
        <rFont val="ＭＳ 明朝"/>
        <family val="1"/>
      </rPr>
      <t>支持地盤</t>
    </r>
    <r>
      <rPr>
        <sz val="11"/>
        <rFont val="Times New Roman"/>
        <family val="1"/>
      </rPr>
      <t xml:space="preserve">    N</t>
    </r>
    <r>
      <rPr>
        <sz val="11"/>
        <rFont val="ＭＳ 明朝"/>
        <family val="1"/>
      </rPr>
      <t>値</t>
    </r>
  </si>
  <si>
    <r>
      <t>N</t>
    </r>
    <r>
      <rPr>
        <i/>
        <vertAlign val="subscript"/>
        <sz val="11"/>
        <rFont val="Times New Roman"/>
        <family val="1"/>
      </rPr>
      <t>b</t>
    </r>
    <r>
      <rPr>
        <i/>
        <sz val="11"/>
        <rFont val="Times New Roman"/>
        <family val="1"/>
      </rPr>
      <t>=</t>
    </r>
  </si>
  <si>
    <r>
      <t>μ</t>
    </r>
    <r>
      <rPr>
        <i/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</si>
  <si>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</si>
  <si>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</si>
  <si>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 xml:space="preserve"> (5)</t>
    </r>
    <r>
      <rPr>
        <sz val="11"/>
        <rFont val="ＭＳ 明朝"/>
        <family val="1"/>
      </rPr>
      <t>根入れ地盤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</si>
  <si>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</si>
  <si>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</si>
  <si>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</si>
  <si>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</si>
  <si>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</si>
  <si>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</si>
  <si>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 xml:space="preserve"> (6)</t>
    </r>
    <r>
      <rPr>
        <sz val="11"/>
        <rFont val="ＭＳ 明朝"/>
        <family val="1"/>
      </rPr>
      <t>コンクリート</t>
    </r>
  </si>
  <si>
    <r>
      <t>γ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</si>
  <si>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</si>
  <si>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</si>
  <si>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t>mm</t>
  </si>
  <si>
    <r>
      <t>H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</si>
  <si>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</si>
  <si>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</si>
  <si>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t</t>
    </r>
    <r>
      <rPr>
        <i/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</si>
  <si>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</si>
  <si>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r>
      <t>1:</t>
    </r>
    <r>
      <rPr>
        <i/>
        <sz val="11"/>
        <rFont val="Times New Roman"/>
        <family val="1"/>
      </rPr>
      <t>nr=</t>
    </r>
    <r>
      <rPr>
        <sz val="11"/>
        <rFont val="Times New Roman"/>
        <family val="1"/>
      </rPr>
      <t>1: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</si>
  <si>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</si>
  <si>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m=</t>
    </r>
    <r>
      <rPr>
        <sz val="11"/>
        <rFont val="Times New Roman"/>
        <family val="1"/>
      </rPr>
      <t>1:</t>
    </r>
  </si>
  <si>
    <r>
      <t>γ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</si>
  <si>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</si>
  <si>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</si>
  <si>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</si>
  <si>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N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</si>
  <si>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</si>
  <si>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p</t>
    </r>
    <r>
      <rPr>
        <i/>
        <sz val="11"/>
        <rFont val="Times New Roman"/>
        <family val="1"/>
      </rPr>
      <t>=</t>
    </r>
  </si>
  <si>
    <r>
      <t>m    (</t>
    </r>
    <r>
      <rPr>
        <sz val="11"/>
        <color indexed="8"/>
        <rFont val="ＭＳ 明朝"/>
        <family val="1"/>
      </rPr>
      <t>路面からの高さ</t>
    </r>
    <r>
      <rPr>
        <sz val="11"/>
        <color indexed="8"/>
        <rFont val="Times New Roman"/>
        <family val="1"/>
      </rPr>
      <t>)</t>
    </r>
  </si>
  <si>
    <r>
      <t>N</t>
    </r>
    <r>
      <rPr>
        <sz val="11"/>
        <rFont val="ＭＳ 明朝"/>
        <family val="1"/>
      </rPr>
      <t>値</t>
    </r>
  </si>
  <si>
    <t>許容圧縮応力度</t>
  </si>
  <si>
    <r>
      <t>σ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</si>
  <si>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ta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</si>
  <si>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</si>
  <si>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τ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</si>
  <si>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ε</t>
    </r>
    <r>
      <rPr>
        <sz val="11"/>
        <color indexed="8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</si>
  <si>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o=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</si>
  <si>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</si>
  <si>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</si>
  <si>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sz val="11"/>
        <rFont val="Times New Roman"/>
        <family val="1"/>
      </rPr>
      <t>(rad)</t>
    </r>
  </si>
  <si>
    <r>
      <t>b</t>
    </r>
    <r>
      <rPr>
        <sz val="11"/>
        <rFont val="Times New Roman"/>
        <family val="1"/>
      </rPr>
      <t>(m)</t>
    </r>
  </si>
  <si>
    <r>
      <t>l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</si>
  <si>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</si>
  <si>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</si>
  <si>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</si>
  <si>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sz val="11"/>
        <rFont val="Times New Roman"/>
        <family val="1"/>
      </rPr>
      <t>(rad)</t>
    </r>
  </si>
  <si>
    <r>
      <t>b</t>
    </r>
    <r>
      <rPr>
        <sz val="11"/>
        <rFont val="Times New Roman"/>
        <family val="1"/>
      </rPr>
      <t>(m)</t>
    </r>
  </si>
  <si>
    <r>
      <t>l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</si>
  <si>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</si>
  <si>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r>
      <t>φ</t>
    </r>
    <r>
      <rPr>
        <sz val="11"/>
        <rFont val="Times New Roman"/>
        <family val="1"/>
      </rPr>
      <t>=</t>
    </r>
  </si>
  <si>
    <t>rad)</t>
  </si>
  <si>
    <r>
      <t>δ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</si>
  <si>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</si>
  <si>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</si>
  <si>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</si>
  <si>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</si>
  <si>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</si>
  <si>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</si>
  <si>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=H</t>
    </r>
    <r>
      <rPr>
        <sz val="11"/>
        <rFont val="Times New Roman"/>
        <family val="1"/>
      </rPr>
      <t>/3=</t>
    </r>
  </si>
  <si>
    <r>
      <t>l</t>
    </r>
    <r>
      <rPr>
        <sz val="11"/>
        <rFont val="Times New Roman"/>
        <family val="1"/>
      </rPr>
      <t>lun</t>
    </r>
  </si>
  <si>
    <r>
      <t>P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</si>
  <si>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</si>
  <si>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</si>
  <si>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P</t>
    </r>
    <r>
      <rPr>
        <sz val="11"/>
        <rFont val="Times New Roman"/>
        <family val="1"/>
      </rPr>
      <t>=</t>
    </r>
  </si>
  <si>
    <r>
      <t>アーム</t>
    </r>
    <r>
      <rPr>
        <sz val="11"/>
        <rFont val="Times New Roman"/>
        <family val="1"/>
      </rPr>
      <t>(m)</t>
    </r>
  </si>
  <si>
    <r>
      <t>モーメント</t>
    </r>
    <r>
      <rPr>
        <sz val="11"/>
        <rFont val="Times New Roman"/>
        <family val="1"/>
      </rPr>
      <t>(kNm/m)</t>
    </r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</si>
  <si>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</si>
  <si>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</si>
  <si>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l</t>
    </r>
    <r>
      <rPr>
        <sz val="11"/>
        <rFont val="Times New Roman"/>
        <family val="1"/>
      </rPr>
      <t>lun</t>
    </r>
    <r>
      <rPr>
        <i/>
        <sz val="11"/>
        <rFont val="Times New Roman"/>
        <family val="1"/>
      </rPr>
      <t>=</t>
    </r>
  </si>
  <si>
    <r>
      <t>l</t>
    </r>
    <r>
      <rPr>
        <sz val="11"/>
        <rFont val="Times New Roman"/>
        <family val="1"/>
      </rPr>
      <t>ov=</t>
    </r>
  </si>
  <si>
    <r>
      <t>∑</t>
    </r>
    <r>
      <rPr>
        <i/>
        <sz val="11"/>
        <rFont val="Times New Roman"/>
        <family val="1"/>
      </rPr>
      <t>V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</si>
  <si>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</si>
  <si>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</t>
    </r>
  </si>
  <si>
    <r>
      <t>回転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θ</t>
    </r>
    <r>
      <rPr>
        <sz val="11"/>
        <color indexed="8"/>
        <rFont val="Times New Roman"/>
        <family val="1"/>
      </rPr>
      <t>=</t>
    </r>
  </si>
  <si>
    <r>
      <t>B</t>
    </r>
    <r>
      <rPr>
        <sz val="11"/>
        <rFont val="Times New Roman"/>
        <family val="1"/>
      </rPr>
      <t>/6=</t>
    </r>
  </si>
  <si>
    <r>
      <t>∑</t>
    </r>
    <r>
      <rPr>
        <sz val="11"/>
        <rFont val="Times New Roman"/>
        <family val="1"/>
      </rPr>
      <t>H=</t>
    </r>
  </si>
  <si>
    <r>
      <t>∑</t>
    </r>
    <r>
      <rPr>
        <sz val="11"/>
        <rFont val="Times New Roman"/>
        <family val="1"/>
      </rPr>
      <t>V=</t>
    </r>
  </si>
  <si>
    <r>
      <t>∑</t>
    </r>
    <r>
      <rPr>
        <sz val="11"/>
        <rFont val="Times New Roman"/>
        <family val="1"/>
      </rPr>
      <t>M=</t>
    </r>
  </si>
  <si>
    <r>
      <t>l</t>
    </r>
    <r>
      <rPr>
        <i/>
        <vertAlign val="subscript"/>
        <sz val="11"/>
        <color indexed="8"/>
        <rFont val="Times New Roman"/>
        <family val="1"/>
      </rPr>
      <t>t</t>
    </r>
    <r>
      <rPr>
        <sz val="11"/>
        <color indexed="8"/>
        <rFont val="Times New Roman"/>
        <family val="1"/>
      </rPr>
      <t>=</t>
    </r>
  </si>
  <si>
    <r>
      <t>∑</t>
    </r>
    <r>
      <rPr>
        <i/>
        <sz val="11"/>
        <rFont val="Times New Roman"/>
        <family val="1"/>
      </rPr>
      <t>V=</t>
    </r>
  </si>
  <si>
    <r>
      <t>∑</t>
    </r>
    <r>
      <rPr>
        <i/>
        <sz val="11"/>
        <rFont val="Times New Roman"/>
        <family val="1"/>
      </rPr>
      <t>H=</t>
    </r>
  </si>
  <si>
    <r>
      <t>μ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</si>
  <si>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</si>
  <si>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</si>
  <si>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</si>
  <si>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</si>
  <si>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</si>
  <si>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</si>
  <si>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</si>
  <si>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</si>
  <si>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</si>
  <si>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z</t>
    </r>
  </si>
  <si>
    <r>
      <t>N</t>
    </r>
    <r>
      <rPr>
        <i/>
        <vertAlign val="subscript"/>
        <sz val="11"/>
        <rFont val="Times New Roman"/>
        <family val="1"/>
      </rPr>
      <t>cz</t>
    </r>
  </si>
  <si>
    <r>
      <t>S</t>
    </r>
    <r>
      <rPr>
        <i/>
        <vertAlign val="subscript"/>
        <sz val="11"/>
        <rFont val="Times New Roman"/>
        <family val="1"/>
      </rPr>
      <t>cz</t>
    </r>
  </si>
  <si>
    <r>
      <t>M</t>
    </r>
    <r>
      <rPr>
        <i/>
        <vertAlign val="subscript"/>
        <sz val="11"/>
        <rFont val="Times New Roman"/>
        <family val="1"/>
      </rPr>
      <t>cz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</si>
  <si>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</si>
  <si>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Az</t>
    </r>
  </si>
  <si>
    <r>
      <t>N</t>
    </r>
    <r>
      <rPr>
        <i/>
        <vertAlign val="subscript"/>
        <sz val="11"/>
        <rFont val="Times New Roman"/>
        <family val="1"/>
      </rPr>
      <t>Az</t>
    </r>
  </si>
  <si>
    <r>
      <t>S</t>
    </r>
    <r>
      <rPr>
        <i/>
        <vertAlign val="subscript"/>
        <sz val="11"/>
        <rFont val="Times New Roman"/>
        <family val="1"/>
      </rPr>
      <t>Az</t>
    </r>
  </si>
  <si>
    <r>
      <t>M</t>
    </r>
    <r>
      <rPr>
        <i/>
        <vertAlign val="subscript"/>
        <sz val="11"/>
        <rFont val="Times New Roman"/>
        <family val="1"/>
      </rPr>
      <t>Az</t>
    </r>
  </si>
  <si>
    <r>
      <t>L</t>
    </r>
    <r>
      <rPr>
        <i/>
        <vertAlign val="subscript"/>
        <sz val="11"/>
        <rFont val="Times New Roman"/>
        <family val="1"/>
      </rPr>
      <t>z</t>
    </r>
  </si>
  <si>
    <r>
      <t>l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</si>
  <si>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t>m</t>
  </si>
  <si>
    <r>
      <t>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</si>
  <si>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tl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</si>
  <si>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</si>
  <si>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q</t>
    </r>
    <r>
      <rPr>
        <i/>
        <vertAlign val="subscript"/>
        <sz val="11"/>
        <rFont val="Times New Roman"/>
        <family val="1"/>
      </rPr>
      <t>tu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</si>
  <si>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z</t>
    </r>
  </si>
  <si>
    <r>
      <t>q</t>
    </r>
    <r>
      <rPr>
        <i/>
        <vertAlign val="subscript"/>
        <sz val="11"/>
        <rFont val="Times New Roman"/>
        <family val="1"/>
      </rPr>
      <t>tz</t>
    </r>
  </si>
  <si>
    <r>
      <t>Q</t>
    </r>
    <r>
      <rPr>
        <i/>
        <vertAlign val="subscript"/>
        <sz val="11"/>
        <rFont val="Times New Roman"/>
        <family val="1"/>
      </rPr>
      <t>tz</t>
    </r>
  </si>
  <si>
    <r>
      <t>a</t>
    </r>
    <r>
      <rPr>
        <i/>
        <vertAlign val="subscript"/>
        <sz val="11"/>
        <rFont val="Times New Roman"/>
        <family val="1"/>
      </rPr>
      <t>z</t>
    </r>
  </si>
  <si>
    <r>
      <t>N</t>
    </r>
    <r>
      <rPr>
        <i/>
        <vertAlign val="subscript"/>
        <sz val="11"/>
        <rFont val="Times New Roman"/>
        <family val="1"/>
      </rPr>
      <t>tz</t>
    </r>
  </si>
  <si>
    <r>
      <t>S</t>
    </r>
    <r>
      <rPr>
        <i/>
        <vertAlign val="subscript"/>
        <sz val="11"/>
        <rFont val="Times New Roman"/>
        <family val="1"/>
      </rPr>
      <t>tz</t>
    </r>
  </si>
  <si>
    <r>
      <t>M</t>
    </r>
    <r>
      <rPr>
        <i/>
        <vertAlign val="subscript"/>
        <sz val="11"/>
        <rFont val="Times New Roman"/>
        <family val="1"/>
      </rPr>
      <t>tz</t>
    </r>
  </si>
  <si>
    <r>
      <t>N</t>
    </r>
    <r>
      <rPr>
        <i/>
        <vertAlign val="subscript"/>
        <sz val="11"/>
        <rFont val="Times New Roman"/>
        <family val="1"/>
      </rPr>
      <t>z</t>
    </r>
  </si>
  <si>
    <r>
      <t>S</t>
    </r>
    <r>
      <rPr>
        <i/>
        <vertAlign val="subscript"/>
        <sz val="11"/>
        <rFont val="Times New Roman"/>
        <family val="1"/>
      </rPr>
      <t>z</t>
    </r>
  </si>
  <si>
    <r>
      <t>M</t>
    </r>
    <r>
      <rPr>
        <i/>
        <vertAlign val="subscript"/>
        <sz val="11"/>
        <rFont val="Times New Roman"/>
        <family val="1"/>
      </rPr>
      <t>z</t>
    </r>
  </si>
  <si>
    <t>z</t>
  </si>
  <si>
    <t>軸力</t>
  </si>
  <si>
    <t>曲げﾓｰﾒﾝﾄ</t>
  </si>
  <si>
    <r>
      <t>τ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1</t>
    </r>
  </si>
  <si>
    <r>
      <t>σ</t>
    </r>
    <r>
      <rPr>
        <i/>
        <vertAlign val="subscript"/>
        <sz val="11"/>
        <rFont val="Times New Roman"/>
        <family val="1"/>
      </rPr>
      <t>ca</t>
    </r>
  </si>
  <si>
    <r>
      <t>σ</t>
    </r>
    <r>
      <rPr>
        <i/>
        <vertAlign val="subscript"/>
        <sz val="11"/>
        <rFont val="Times New Roman"/>
        <family val="1"/>
      </rPr>
      <t>ta</t>
    </r>
  </si>
  <si>
    <r>
      <t>τ</t>
    </r>
    <r>
      <rPr>
        <i/>
        <vertAlign val="subscript"/>
        <sz val="11"/>
        <rFont val="Times New Roman"/>
        <family val="1"/>
      </rPr>
      <t>ca</t>
    </r>
  </si>
  <si>
    <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</si>
  <si>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z</t>
  </si>
  <si>
    <t>前面応力</t>
  </si>
  <si>
    <t>背面応力</t>
  </si>
  <si>
    <t>許容引張応力</t>
  </si>
  <si>
    <r>
      <t>σ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</si>
  <si>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</si>
  <si>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</si>
  <si>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</si>
  <si>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t>m</t>
  </si>
  <si>
    <r>
      <t>t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</si>
  <si>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t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</si>
  <si>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t>B=</t>
  </si>
  <si>
    <r>
      <t>l</t>
    </r>
    <r>
      <rPr>
        <i/>
        <vertAlign val="subscript"/>
        <sz val="11"/>
        <rFont val="Times New Roman"/>
        <family val="1"/>
      </rPr>
      <t>m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</si>
  <si>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</si>
  <si>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t>自重</t>
  </si>
  <si>
    <r>
      <t>w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a</t>
    </r>
    <r>
      <rPr>
        <sz val="11"/>
        <rFont val="ＭＳ 明朝"/>
        <family val="1"/>
      </rP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</si>
  <si>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w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b</t>
    </r>
    <r>
      <rPr>
        <sz val="11"/>
        <rFont val="ＭＳ 明朝"/>
        <family val="1"/>
      </rP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</si>
  <si>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w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c</t>
    </r>
    <r>
      <rPr>
        <sz val="11"/>
        <rFont val="ＭＳ 明朝"/>
        <family val="1"/>
      </rPr>
      <t>γ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</si>
  <si>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</si>
  <si>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</si>
  <si>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t>コンクリートのせん断応力度</t>
  </si>
  <si>
    <r>
      <t>N/mm</t>
    </r>
    <r>
      <rPr>
        <vertAlign val="superscript"/>
        <sz val="11"/>
        <rFont val="Times New Roman"/>
        <family val="1"/>
      </rPr>
      <t>2</t>
    </r>
  </si>
  <si>
    <t>◆応力計算結果</t>
  </si>
  <si>
    <r>
      <t>(2)</t>
    </r>
    <r>
      <rPr>
        <sz val="11"/>
        <rFont val="ＭＳ 明朝"/>
        <family val="1"/>
      </rPr>
      <t>盛土</t>
    </r>
  </si>
  <si>
    <t>ピッチ</t>
  </si>
  <si>
    <t>かぶり</t>
  </si>
  <si>
    <t>主働土圧係数</t>
  </si>
  <si>
    <r>
      <t>1m</t>
    </r>
    <r>
      <rPr>
        <sz val="11"/>
        <rFont val="ＭＳ 明朝"/>
        <family val="1"/>
      </rPr>
      <t>当り衝突荷重</t>
    </r>
  </si>
  <si>
    <r>
      <t>壁面長</t>
    </r>
  </si>
  <si>
    <r>
      <t>壁面</t>
    </r>
  </si>
  <si>
    <r>
      <t>水平</t>
    </r>
  </si>
  <si>
    <r>
      <t>下端</t>
    </r>
  </si>
  <si>
    <r>
      <t>上端</t>
    </r>
  </si>
  <si>
    <t>安全側を考え，曲げモーメントのみを受ける長方形断面として計算する．</t>
  </si>
  <si>
    <t>コンクリートの圧縮応力度</t>
  </si>
  <si>
    <r>
      <t>H</t>
    </r>
    <r>
      <rPr>
        <i/>
        <vertAlign val="subscript"/>
        <sz val="11"/>
        <rFont val="Times New Roman"/>
        <family val="1"/>
      </rPr>
      <t>w</t>
    </r>
    <r>
      <rPr>
        <i/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</si>
  <si>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</si>
  <si>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u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</si>
  <si>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t</t>
    </r>
    <r>
      <rPr>
        <i/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</si>
  <si>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</si>
  <si>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t>圧縮応力</t>
  </si>
  <si>
    <t>たて壁基部の応力度</t>
  </si>
  <si>
    <r>
      <t>直径</t>
    </r>
    <r>
      <rPr>
        <i/>
        <sz val="11"/>
        <rFont val="Times New Roman"/>
        <family val="1"/>
      </rPr>
      <t>D</t>
    </r>
  </si>
  <si>
    <t>許容引張応力度</t>
  </si>
  <si>
    <t>許容せん断応力度</t>
  </si>
  <si>
    <r>
      <t>∑</t>
    </r>
    <r>
      <rPr>
        <i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</t>
    </r>
  </si>
  <si>
    <r>
      <t>∑</t>
    </r>
    <r>
      <rPr>
        <i/>
        <sz val="11"/>
        <color indexed="8"/>
        <rFont val="Times New Roman"/>
        <family val="1"/>
      </rPr>
      <t>V</t>
    </r>
    <r>
      <rPr>
        <sz val="11"/>
        <color indexed="8"/>
        <rFont val="Times New Roman"/>
        <family val="1"/>
      </rPr>
      <t>=</t>
    </r>
  </si>
  <si>
    <r>
      <t>∑</t>
    </r>
    <r>
      <rPr>
        <i/>
        <sz val="11"/>
        <color indexed="8"/>
        <rFont val="Times New Roman"/>
        <family val="1"/>
      </rPr>
      <t>M</t>
    </r>
    <r>
      <rPr>
        <sz val="11"/>
        <color indexed="8"/>
        <rFont val="Times New Roman"/>
        <family val="1"/>
      </rPr>
      <t>=</t>
    </r>
  </si>
  <si>
    <r>
      <t>L</t>
    </r>
    <r>
      <rPr>
        <i/>
        <vertAlign val="subscript"/>
        <sz val="11"/>
        <color indexed="8"/>
        <rFont val="Times New Roman"/>
        <family val="1"/>
      </rPr>
      <t>W</t>
    </r>
    <r>
      <rPr>
        <sz val="11"/>
        <color indexed="8"/>
        <rFont val="Times New Roman"/>
        <family val="1"/>
      </rPr>
      <t>=</t>
    </r>
  </si>
  <si>
    <r>
      <t>α</t>
    </r>
    <r>
      <rPr>
        <sz val="11"/>
        <color indexed="8"/>
        <rFont val="Times New Roman"/>
        <family val="1"/>
      </rPr>
      <t>=</t>
    </r>
  </si>
  <si>
    <r>
      <t>kN/m</t>
    </r>
    <r>
      <rPr>
        <vertAlign val="superscript"/>
        <sz val="11"/>
        <color indexed="8"/>
        <rFont val="Times New Roman"/>
        <family val="1"/>
      </rPr>
      <t>3</t>
    </r>
  </si>
  <si>
    <r>
      <t>θ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</si>
  <si>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</si>
  <si>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t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</si>
  <si>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</si>
  <si>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</si>
  <si>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V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</si>
  <si>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tl</t>
    </r>
    <r>
      <rPr>
        <sz val="11"/>
        <color indexed="8"/>
        <rFont val="Times New Roman"/>
        <family val="1"/>
      </rPr>
      <t>=</t>
    </r>
  </si>
  <si>
    <r>
      <t>q</t>
    </r>
    <r>
      <rPr>
        <i/>
        <vertAlign val="subscript"/>
        <sz val="11"/>
        <color indexed="8"/>
        <rFont val="Times New Roman"/>
        <family val="1"/>
      </rPr>
      <t>tu</t>
    </r>
    <r>
      <rPr>
        <sz val="11"/>
        <color indexed="8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</si>
  <si>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</si>
  <si>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M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</si>
  <si>
    <r>
      <t>M</t>
    </r>
    <r>
      <rPr>
        <i/>
        <vertAlign val="subscript"/>
        <sz val="11"/>
        <rFont val="Times New Roman"/>
        <family val="1"/>
      </rPr>
      <t>o</t>
    </r>
    <r>
      <rPr>
        <i/>
        <sz val="11"/>
        <rFont val="Times New Roman"/>
        <family val="1"/>
      </rPr>
      <t>=</t>
    </r>
  </si>
  <si>
    <r>
      <t>擁壁天端から</t>
    </r>
    <r>
      <rPr>
        <sz val="11"/>
        <rFont val="Times New Roman"/>
        <family val="1"/>
      </rPr>
      <t>z</t>
    </r>
    <r>
      <rPr>
        <sz val="11"/>
        <rFont val="ＭＳ 明朝"/>
        <family val="1"/>
      </rPr>
      <t>の深さでの部材厚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</si>
  <si>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ＭＳ 明朝"/>
        <family val="1"/>
      </rPr>
      <t>は安定計算時に算出した土圧係数</t>
    </r>
  </si>
  <si>
    <t>せん断力</t>
  </si>
  <si>
    <t>各部の寸法</t>
  </si>
  <si>
    <t>地盤反力</t>
  </si>
  <si>
    <t>無筋コンクリートとして計算する．</t>
  </si>
  <si>
    <t>有効幅</t>
  </si>
  <si>
    <r>
      <t>b</t>
    </r>
    <r>
      <rPr>
        <sz val="11"/>
        <rFont val="Times New Roman"/>
        <family val="1"/>
      </rPr>
      <t>=</t>
    </r>
  </si>
  <si>
    <t>mm</t>
  </si>
  <si>
    <t>鉄筋中心かぶり</t>
  </si>
  <si>
    <r>
      <t>i</t>
    </r>
    <r>
      <rPr>
        <sz val="11"/>
        <rFont val="Times New Roman"/>
        <family val="1"/>
      </rPr>
      <t>=</t>
    </r>
  </si>
  <si>
    <t>mm</t>
  </si>
  <si>
    <t>鉄筋径</t>
  </si>
  <si>
    <t>公称断面積</t>
  </si>
  <si>
    <r>
      <t>A</t>
    </r>
    <r>
      <rPr>
        <i/>
        <vertAlign val="subscript"/>
        <sz val="11"/>
        <rFont val="Times New Roman"/>
        <family val="1"/>
      </rPr>
      <t>s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</si>
  <si>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本</t>
    </r>
  </si>
  <si>
    <t>鉄筋本数</t>
  </si>
  <si>
    <r>
      <t>m</t>
    </r>
    <r>
      <rPr>
        <sz val="11"/>
        <rFont val="Times New Roman"/>
        <family val="1"/>
      </rPr>
      <t>=</t>
    </r>
  </si>
  <si>
    <t>本/m</t>
  </si>
  <si>
    <t>鉄筋量</t>
  </si>
  <si>
    <r>
      <t>A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</si>
  <si>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mm</t>
    </r>
    <r>
      <rPr>
        <vertAlign val="superscript"/>
        <sz val="11"/>
        <rFont val="Times New Roman"/>
        <family val="1"/>
      </rPr>
      <t>2</t>
    </r>
  </si>
  <si>
    <t>D=</t>
  </si>
  <si>
    <t>M</t>
  </si>
  <si>
    <t>d</t>
  </si>
  <si>
    <t>k</t>
  </si>
  <si>
    <t>j</t>
  </si>
  <si>
    <t>σc</t>
  </si>
  <si>
    <t>σs</t>
  </si>
  <si>
    <t>モーメント</t>
  </si>
  <si>
    <t>(kN-m)</t>
  </si>
  <si>
    <t>有効高</t>
  </si>
  <si>
    <t>(mm)</t>
  </si>
  <si>
    <t>鉄筋比</t>
  </si>
  <si>
    <t>係数</t>
  </si>
  <si>
    <t>応力度</t>
  </si>
  <si>
    <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</si>
  <si>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最大応力度</t>
  </si>
  <si>
    <t>min</t>
  </si>
  <si>
    <t>σz2/σta</t>
  </si>
  <si>
    <r>
      <t>σ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</si>
  <si>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t>コンクリート</t>
  </si>
  <si>
    <t>鉄筋</t>
  </si>
  <si>
    <r>
      <t>(7)</t>
    </r>
    <r>
      <rPr>
        <sz val="11"/>
        <rFont val="ＭＳ 明朝"/>
        <family val="1"/>
      </rPr>
      <t>たて壁</t>
    </r>
  </si>
  <si>
    <t>無筋コンクリート</t>
  </si>
  <si>
    <t>鉄筋コンクリート</t>
  </si>
  <si>
    <t>区分</t>
  </si>
  <si>
    <t>種別</t>
  </si>
  <si>
    <r>
      <t>H</t>
    </r>
    <r>
      <rPr>
        <vertAlign val="subscript"/>
        <sz val="11"/>
        <rFont val="Times New Roman"/>
        <family val="1"/>
      </rPr>
      <t>0</t>
    </r>
    <r>
      <rPr>
        <i/>
        <sz val="11"/>
        <rFont val="Times New Roman"/>
        <family val="1"/>
      </rPr>
      <t>=</t>
    </r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</si>
  <si>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=</t>
    </r>
    <r>
      <rPr>
        <sz val="11"/>
        <rFont val="Times New Roman"/>
        <family val="1"/>
      </rPr>
      <t>1:</t>
    </r>
  </si>
  <si>
    <t>max=</t>
  </si>
  <si>
    <t>min=</t>
  </si>
  <si>
    <t>B=</t>
  </si>
  <si>
    <t>d=</t>
  </si>
  <si>
    <t>誤差</t>
  </si>
  <si>
    <t>つま先版　(無筋)</t>
  </si>
  <si>
    <r>
      <t>(kN/m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</si>
  <si>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g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鉄筋コンクリートとしての応力度</t>
    </r>
  </si>
  <si>
    <t>度</t>
  </si>
  <si>
    <t>kN-m/m</t>
  </si>
  <si>
    <r>
      <t>天端からの深さ</t>
    </r>
    <r>
      <rPr>
        <i/>
        <sz val="11"/>
        <rFont val="ＭＳ 明朝"/>
        <family val="1"/>
      </rPr>
      <t>z</t>
    </r>
  </si>
  <si>
    <r>
      <t>天端からの深さ</t>
    </r>
    <r>
      <rPr>
        <i/>
        <sz val="11"/>
        <rFont val="Times New Roman"/>
        <family val="1"/>
      </rPr>
      <t>z</t>
    </r>
  </si>
  <si>
    <t>鉛直バネ定数</t>
  </si>
  <si>
    <t>せん断バネ定数</t>
  </si>
  <si>
    <t>バネ定数比</t>
  </si>
  <si>
    <t>λ=</t>
  </si>
  <si>
    <t>バネ定数比</t>
  </si>
  <si>
    <t>λ=</t>
  </si>
  <si>
    <t>垂直バネ定数</t>
  </si>
  <si>
    <t>αo=</t>
  </si>
  <si>
    <t>|e|=</t>
  </si>
  <si>
    <t>つま先から合力作用位置までの距離</t>
  </si>
  <si>
    <t>m</t>
  </si>
  <si>
    <t>荷重合力の偏心量</t>
  </si>
  <si>
    <t>e=</t>
  </si>
  <si>
    <t>np</t>
  </si>
  <si>
    <t>m</t>
  </si>
  <si>
    <r>
      <t>度</t>
    </r>
    <r>
      <rPr>
        <sz val="11"/>
        <rFont val="Times New Roman"/>
        <family val="1"/>
      </rPr>
      <t xml:space="preserve"> </t>
    </r>
  </si>
  <si>
    <t>底面幅</t>
  </si>
  <si>
    <r>
      <t>B</t>
    </r>
    <r>
      <rPr>
        <i/>
        <sz val="11"/>
        <rFont val="Times New Roman"/>
        <family val="1"/>
      </rPr>
      <t>=</t>
    </r>
  </si>
  <si>
    <t>－</t>
  </si>
  <si>
    <t>－</t>
  </si>
  <si>
    <r>
      <t>x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</si>
  <si>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</si>
  <si>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sin(</t>
    </r>
    <r>
      <rPr>
        <sz val="11"/>
        <rFont val="ＭＳ Ｐ明朝"/>
        <family val="1"/>
      </rPr>
      <t>α+δ)=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</si>
  <si>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sz val="11"/>
        <rFont val="Times New Roman"/>
        <family val="1"/>
      </rPr>
      <t>=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cos(</t>
    </r>
    <r>
      <rPr>
        <sz val="11"/>
        <rFont val="ＭＳ Ｐ明朝"/>
        <family val="1"/>
      </rPr>
      <t>α+δ)=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</si>
  <si>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=B+n</t>
    </r>
    <r>
      <rPr>
        <i/>
        <vertAlign val="subscript"/>
        <sz val="11"/>
        <rFont val="Times New Roman"/>
        <family val="1"/>
      </rPr>
      <t>r</t>
    </r>
    <r>
      <rPr>
        <i/>
        <sz val="11"/>
        <rFont val="Times New Roman"/>
        <family val="1"/>
      </rP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</si>
  <si>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d</t>
    </r>
    <r>
      <rPr>
        <sz val="11"/>
        <rFont val="Times New Roman"/>
        <family val="1"/>
      </rPr>
      <t>=</t>
    </r>
  </si>
  <si>
    <t>度</t>
  </si>
  <si>
    <t>∑H</t>
  </si>
  <si>
    <t>∑V</t>
  </si>
  <si>
    <t>∑M</t>
  </si>
  <si>
    <t>Qt</t>
  </si>
  <si>
    <t>Qv</t>
  </si>
  <si>
    <t>QH</t>
  </si>
  <si>
    <t>total</t>
  </si>
  <si>
    <t>（２）　つま先版</t>
  </si>
  <si>
    <r>
      <t>e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全荷重による断面力</t>
    </r>
  </si>
  <si>
    <r>
      <t>f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無筋コンクリートとしての応力度</t>
    </r>
  </si>
  <si>
    <r>
      <t>c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衝突荷重による断面力</t>
    </r>
  </si>
  <si>
    <r>
      <t>b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主働土圧による断面力</t>
    </r>
  </si>
  <si>
    <r>
      <t>a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擁壁自重による断面力</t>
    </r>
  </si>
  <si>
    <t>４．　応力度の計算</t>
  </si>
  <si>
    <t>(3)　支持力に対する照査</t>
  </si>
  <si>
    <t>(2)　滑動に対する検討</t>
  </si>
  <si>
    <t>(1)　転倒に対する検討</t>
  </si>
  <si>
    <t>４．　安定計算</t>
  </si>
  <si>
    <t>(６)　底面における荷重合力位置(壁背面の地盤反力を考慮)</t>
  </si>
  <si>
    <t>(5)　地盤反力度</t>
  </si>
  <si>
    <t>(4)　バネ定数</t>
  </si>
  <si>
    <t>(3)　解析条件</t>
  </si>
  <si>
    <t>(1)　解析モデル</t>
  </si>
  <si>
    <t>３．　地盤反力</t>
  </si>
  <si>
    <t>(4)　荷重の集計(壁背面の地盤反力を無視)</t>
  </si>
  <si>
    <t>(3)　衝突荷重</t>
  </si>
  <si>
    <r>
      <t>c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すべり角と滑り土塊重量，主働土圧</t>
    </r>
  </si>
  <si>
    <r>
      <t>b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計算条件</t>
    </r>
  </si>
  <si>
    <t>(2)　主働土圧</t>
  </si>
  <si>
    <t>(1)　擁壁自重</t>
  </si>
  <si>
    <t>２．　荷　　重</t>
  </si>
  <si>
    <t>(9)　許容応力度の割増率</t>
  </si>
  <si>
    <t xml:space="preserve"> (8)　コンクリート</t>
  </si>
  <si>
    <t xml:space="preserve"> (7)　根入れ地盤</t>
  </si>
  <si>
    <t xml:space="preserve"> (6)　支持地盤</t>
  </si>
  <si>
    <t>(5)　ｶﾞｰﾄﾞﾚｰﾙ</t>
  </si>
  <si>
    <t xml:space="preserve"> (4)　作用荷重</t>
  </si>
  <si>
    <t>(3)　盛　　土</t>
  </si>
  <si>
    <t xml:space="preserve"> (2)　擁壁の形状寸法</t>
  </si>
  <si>
    <t xml:space="preserve"> (1)　荷重条件</t>
  </si>
  <si>
    <t>１．　設計条件</t>
  </si>
  <si>
    <r>
      <t>a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式</t>
    </r>
  </si>
  <si>
    <r>
      <t>l</t>
    </r>
    <r>
      <rPr>
        <sz val="11"/>
        <color indexed="8"/>
        <rFont val="Times New Roman"/>
        <family val="1"/>
      </rPr>
      <t>=</t>
    </r>
  </si>
  <si>
    <r>
      <t>u</t>
    </r>
    <r>
      <rPr>
        <i/>
        <vertAlign val="sub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=</t>
    </r>
  </si>
  <si>
    <r>
      <t>v</t>
    </r>
    <r>
      <rPr>
        <i/>
        <vertAlign val="sub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=</t>
    </r>
  </si>
  <si>
    <r>
      <t>d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任意点の地盤反力度</t>
    </r>
  </si>
  <si>
    <r>
      <t>a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底面の任意点の変位</t>
    </r>
  </si>
  <si>
    <r>
      <t>b)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>かかと</t>
    </r>
    <r>
      <rPr>
        <sz val="11"/>
        <rFont val="Times New Roman"/>
        <family val="1"/>
      </rPr>
      <t>(0'</t>
    </r>
    <r>
      <rPr>
        <sz val="11"/>
        <rFont val="ＭＳ 明朝"/>
        <family val="1"/>
      </rPr>
      <t>点</t>
    </r>
    <r>
      <rPr>
        <sz val="11"/>
        <rFont val="Times New Roman"/>
        <family val="1"/>
      </rPr>
      <t>)</t>
    </r>
    <r>
      <rPr>
        <sz val="11"/>
        <rFont val="ＭＳ 明朝"/>
        <family val="1"/>
      </rPr>
      <t>の変位</t>
    </r>
  </si>
  <si>
    <r>
      <t>c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壁面の任意点の変位</t>
    </r>
  </si>
  <si>
    <r>
      <t>e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剛性方程式</t>
    </r>
  </si>
  <si>
    <r>
      <t>f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適合条件式</t>
    </r>
  </si>
  <si>
    <r>
      <t>d</t>
    </r>
    <r>
      <rPr>
        <sz val="11"/>
        <rFont val="ＭＳ 明朝"/>
        <family val="1"/>
      </rPr>
      <t>)　</t>
    </r>
    <r>
      <rPr>
        <sz val="11"/>
        <rFont val="ＭＳ 明朝"/>
        <family val="1"/>
      </rPr>
      <t>壁面地盤による断面力</t>
    </r>
  </si>
  <si>
    <t>a)　荷　　重</t>
  </si>
  <si>
    <t>b)　断 面 力</t>
  </si>
  <si>
    <t>ｃ）　応 力 度</t>
  </si>
  <si>
    <t>(1)　た て 壁</t>
  </si>
  <si>
    <t>(2)　計 算 式</t>
  </si>
  <si>
    <t>(10)　た て 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</si>
</sst>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"/>
    <numFmt numFmtId="179" formatCode="0.0"/>
    <numFmt numFmtId="180" formatCode="0.000000"/>
    <numFmt numFmtId="181" formatCode="0.00_ "/>
    <numFmt numFmtId="182" formatCode="0.0_ "/>
    <numFmt numFmtId="183" formatCode="0.000_);[Red]\(0.000\)"/>
    <numFmt numFmtId="184" formatCode="0.00_);[Red]\(0.00\)"/>
    <numFmt numFmtId="185" formatCode="0_);[Red]\(0\)"/>
    <numFmt numFmtId="186" formatCode="0_ "/>
    <numFmt numFmtId="187" formatCode="0.0_);[Red]\(0.0\)"/>
    <numFmt numFmtId="188" formatCode="0.0000000"/>
    <numFmt numFmtId="189" formatCode="0.00000000"/>
    <numFmt numFmtId="190" formatCode="0.000000000"/>
    <numFmt numFmtId="191" formatCode="0.0000000000"/>
    <numFmt numFmtId="192" formatCode="0.0_ ;[Red]\-0.0\ "/>
    <numFmt numFmtId="193" formatCode="0.0000000000000_);[Red]\(0.0000000000000\)"/>
    <numFmt numFmtId="194" formatCode="0.000000000000000000_);[Red]\(0.000000000000000000\)"/>
  </numFmts>
  <fonts count="53"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sz val="11"/>
      <name val="ＭＳ Ｐ明朝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vertAlign val="subscript"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i/>
      <sz val="11"/>
      <name val="ＭＳ 明朝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i/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ＭＳ 明朝"/>
      <family val="1"/>
    </font>
    <font>
      <vertAlign val="superscript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vertAlign val="subscript"/>
      <sz val="11"/>
      <color indexed="8"/>
      <name val="Times New Roman"/>
      <family val="1"/>
    </font>
    <font>
      <sz val="8"/>
      <name val="ＭＳ 明朝"/>
      <family val="1"/>
    </font>
    <font>
      <sz val="8"/>
      <name val="Times New Roman"/>
      <family val="1"/>
    </font>
    <font>
      <sz val="8.25"/>
      <name val="ＭＳ 明朝"/>
      <family val="1"/>
    </font>
    <font>
      <sz val="8.25"/>
      <name val="Times New Roman"/>
      <family val="1"/>
    </font>
    <font>
      <sz val="10"/>
      <name val="ＭＳ 明朝"/>
      <family val="1"/>
    </font>
    <font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i/>
      <vertAlign val="subscript"/>
      <sz val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9.25"/>
      <name val="ＭＳ 明朝"/>
      <family val="1"/>
    </font>
    <font>
      <sz val="9.25"/>
      <name val="Times New Roman"/>
      <family val="1"/>
    </font>
    <font>
      <sz val="10.25"/>
      <name val="ＭＳ 明朝"/>
      <family val="1"/>
    </font>
    <font>
      <i/>
      <sz val="10.25"/>
      <name val="Times New Roman"/>
      <family val="1"/>
    </font>
    <font>
      <sz val="10.25"/>
      <name val="Times New Roman"/>
      <family val="1"/>
    </font>
    <font>
      <vertAlign val="superscript"/>
      <sz val="10.25"/>
      <name val="Times New Roman"/>
      <family val="1"/>
    </font>
    <font>
      <sz val="12"/>
      <name val="ＭＳ 明朝"/>
      <family val="1"/>
    </font>
    <font>
      <sz val="11"/>
      <name val="ＭＳ Ｐゴシック"/>
      <family val="0"/>
    </font>
    <font>
      <sz val="11"/>
      <color indexed="8"/>
      <name val="ＭＳ Ｐゴシック"/>
      <family val="3"/>
    </font>
    <font>
      <sz val="14"/>
      <name val="Times New Roman"/>
      <family val="1"/>
    </font>
    <font>
      <sz val="14"/>
      <name val="ＭＳ Ｐゴシック"/>
      <family val="3"/>
    </font>
    <font>
      <i/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12"/>
      <name val="Times New Roman"/>
      <family val="1"/>
    </font>
    <font>
      <sz val="14"/>
      <color indexed="12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1"/>
      <color indexed="36"/>
      <name val="ＭＳ 明朝"/>
      <family val="1"/>
    </font>
    <font>
      <sz val="9"/>
      <name val="MS UI Gothic"/>
      <family val="3"/>
    </font>
    <font>
      <b/>
      <sz val="8"/>
      <name val="ＭＳ 明朝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2" fontId="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horizontal="right"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horizontal="center" vertical="center" shrinkToFit="1"/>
    </xf>
    <xf numFmtId="1" fontId="9" fillId="0" borderId="3" xfId="0" applyNumberFormat="1" applyFont="1" applyFill="1" applyBorder="1" applyAlignment="1">
      <alignment vertical="center" shrinkToFit="1"/>
    </xf>
    <xf numFmtId="0" fontId="15" fillId="0" borderId="3" xfId="0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quotePrefix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 shrinkToFit="1"/>
    </xf>
    <xf numFmtId="178" fontId="9" fillId="0" borderId="0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horizontal="center" vertical="center" shrinkToFit="1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 quotePrefix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Font="1" applyAlignment="1" quotePrefix="1">
      <alignment horizontal="left" vertical="center"/>
    </xf>
    <xf numFmtId="0" fontId="31" fillId="0" borderId="0" xfId="0" applyFont="1" applyFill="1" applyAlignment="1" quotePrefix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15" fillId="0" borderId="13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 quotePrefix="1">
      <alignment horizontal="right" vertical="center"/>
    </xf>
    <xf numFmtId="0" fontId="3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left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4" borderId="4" xfId="0" applyFont="1" applyFill="1" applyBorder="1" applyAlignment="1" quotePrefix="1">
      <alignment horizontal="left" vertical="center"/>
    </xf>
    <xf numFmtId="0" fontId="2" fillId="4" borderId="2" xfId="0" applyFont="1" applyFill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 shrinkToFit="1"/>
    </xf>
    <xf numFmtId="0" fontId="0" fillId="0" borderId="12" xfId="0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5" borderId="0" xfId="0" applyFill="1" applyAlignment="1">
      <alignment/>
    </xf>
    <xf numFmtId="0" fontId="2" fillId="5" borderId="0" xfId="0" applyFont="1" applyFill="1" applyAlignment="1">
      <alignment vertical="center"/>
    </xf>
    <xf numFmtId="181" fontId="2" fillId="0" borderId="6" xfId="0" applyNumberFormat="1" applyFont="1" applyBorder="1" applyAlignment="1">
      <alignment horizontal="center" vertical="center"/>
    </xf>
    <xf numFmtId="181" fontId="2" fillId="0" borderId="7" xfId="0" applyNumberFormat="1" applyFont="1" applyBorder="1" applyAlignment="1">
      <alignment horizontal="center" vertical="center"/>
    </xf>
    <xf numFmtId="181" fontId="2" fillId="0" borderId="8" xfId="0" applyNumberFormat="1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184" fontId="2" fillId="0" borderId="0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0" fillId="0" borderId="0" xfId="0" applyFont="1" applyAlignment="1" quotePrefix="1">
      <alignment horizontal="left" vertical="center"/>
    </xf>
    <xf numFmtId="2" fontId="40" fillId="0" borderId="0" xfId="0" applyNumberFormat="1" applyFont="1" applyBorder="1" applyAlignment="1">
      <alignment horizontal="center" vertical="center"/>
    </xf>
    <xf numFmtId="2" fontId="4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8" fontId="2" fillId="0" borderId="3" xfId="0" applyNumberFormat="1" applyFont="1" applyFill="1" applyBorder="1" applyAlignment="1" applyProtection="1">
      <alignment horizontal="center" vertical="center"/>
      <protection locked="0"/>
    </xf>
    <xf numFmtId="17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Alignment="1">
      <alignment vertical="center"/>
    </xf>
    <xf numFmtId="0" fontId="0" fillId="6" borderId="0" xfId="0" applyFill="1" applyAlignment="1">
      <alignment/>
    </xf>
    <xf numFmtId="0" fontId="0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2" fillId="6" borderId="0" xfId="0" applyFont="1" applyFill="1" applyAlignment="1">
      <alignment horizontal="right" vertical="center"/>
    </xf>
    <xf numFmtId="2" fontId="5" fillId="6" borderId="0" xfId="0" applyNumberFormat="1" applyFont="1" applyFill="1" applyAlignment="1">
      <alignment vertical="center"/>
    </xf>
    <xf numFmtId="2" fontId="8" fillId="6" borderId="3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178" fontId="2" fillId="6" borderId="0" xfId="0" applyNumberFormat="1" applyFont="1" applyFill="1" applyAlignment="1">
      <alignment vertical="center"/>
    </xf>
    <xf numFmtId="0" fontId="0" fillId="6" borderId="3" xfId="0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179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2" fontId="9" fillId="6" borderId="3" xfId="0" applyNumberFormat="1" applyFont="1" applyFill="1" applyBorder="1" applyAlignment="1">
      <alignment horizontal="center" vertical="center"/>
    </xf>
    <xf numFmtId="179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178" fontId="2" fillId="6" borderId="3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10" fillId="6" borderId="0" xfId="0" applyFont="1" applyFill="1" applyAlignment="1">
      <alignment horizontal="right" vertical="center"/>
    </xf>
    <xf numFmtId="178" fontId="0" fillId="6" borderId="0" xfId="0" applyNumberFormat="1" applyFont="1" applyFill="1" applyAlignment="1">
      <alignment horizontal="right" vertical="center"/>
    </xf>
    <xf numFmtId="0" fontId="44" fillId="6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/>
    </xf>
    <xf numFmtId="178" fontId="5" fillId="6" borderId="0" xfId="0" applyNumberFormat="1" applyFont="1" applyFill="1" applyAlignment="1">
      <alignment vertical="center"/>
    </xf>
    <xf numFmtId="0" fontId="0" fillId="6" borderId="0" xfId="0" applyFont="1" applyFill="1" applyAlignment="1">
      <alignment/>
    </xf>
    <xf numFmtId="0" fontId="42" fillId="6" borderId="0" xfId="0" applyFont="1" applyFill="1" applyAlignment="1">
      <alignment vertical="center"/>
    </xf>
    <xf numFmtId="0" fontId="43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right" vertical="center" shrinkToFit="1"/>
    </xf>
    <xf numFmtId="0" fontId="0" fillId="0" borderId="0" xfId="0" applyFill="1" applyAlignment="1">
      <alignment/>
    </xf>
    <xf numFmtId="0" fontId="47" fillId="6" borderId="0" xfId="0" applyFont="1" applyFill="1" applyAlignment="1">
      <alignment vertical="center"/>
    </xf>
    <xf numFmtId="0" fontId="48" fillId="6" borderId="0" xfId="0" applyFont="1" applyFill="1" applyAlignment="1">
      <alignment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left" vertical="center"/>
    </xf>
    <xf numFmtId="0" fontId="2" fillId="7" borderId="5" xfId="0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shrinkToFit="1"/>
    </xf>
    <xf numFmtId="2" fontId="9" fillId="0" borderId="2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 shrinkToFit="1"/>
    </xf>
    <xf numFmtId="0" fontId="15" fillId="0" borderId="4" xfId="0" applyFont="1" applyFill="1" applyBorder="1" applyAlignment="1" quotePrefix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'計算'!$BB$384</c:f>
              <c:strCache>
                <c:ptCount val="1"/>
                <c:pt idx="0">
                  <c:v>擁壁形状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0.8940000000000001</c:v>
                </c:pt>
                <c:pt idx="10">
                  <c:v>0.8940000000000001</c:v>
                </c:pt>
                <c:pt idx="11">
                  <c:v>4.894</c:v>
                </c:pt>
                <c:pt idx="12">
                  <c:v>5.092410189206815</c:v>
                </c:pt>
                <c:pt idx="13">
                  <c:v>5.092410189206815</c:v>
                </c:pt>
                <c:pt idx="14">
                  <c:v>3.502639999999998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</c:numCache>
            </c:numRef>
          </c:xVal>
          <c:yVal>
            <c:numRef>
              <c:f>'計算'!$BB$385:$BB$402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'計算'!$BC$384</c:f>
              <c:strCache>
                <c:ptCount val="1"/>
                <c:pt idx="0">
                  <c:v>底面反力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0.8940000000000001</c:v>
                </c:pt>
                <c:pt idx="10">
                  <c:v>0.8940000000000001</c:v>
                </c:pt>
                <c:pt idx="11">
                  <c:v>4.894</c:v>
                </c:pt>
                <c:pt idx="12">
                  <c:v>5.092410189206815</c:v>
                </c:pt>
                <c:pt idx="13">
                  <c:v>5.092410189206815</c:v>
                </c:pt>
                <c:pt idx="14">
                  <c:v>3.502639999999998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</c:numCache>
            </c:numRef>
          </c:xVal>
          <c:yVal>
            <c:numRef>
              <c:f>'計算'!$BC$385:$BC$402</c:f>
              <c:numCache>
                <c:ptCount val="18"/>
                <c:pt idx="7">
                  <c:v>0</c:v>
                </c:pt>
                <c:pt idx="8">
                  <c:v>-3.0442109310383945</c:v>
                </c:pt>
                <c:pt idx="9">
                  <c:v>-3.8002177917054523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'計算'!$BD$384</c:f>
              <c:strCache>
                <c:ptCount val="1"/>
                <c:pt idx="0">
                  <c:v>背面反力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0.8940000000000001</c:v>
                </c:pt>
                <c:pt idx="10">
                  <c:v>0.8940000000000001</c:v>
                </c:pt>
                <c:pt idx="11">
                  <c:v>4.894</c:v>
                </c:pt>
                <c:pt idx="12">
                  <c:v>5.092410189206815</c:v>
                </c:pt>
                <c:pt idx="13">
                  <c:v>5.092410189206815</c:v>
                </c:pt>
                <c:pt idx="14">
                  <c:v>3.502639999999998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</c:numCache>
            </c:numRef>
          </c:xVal>
          <c:yVal>
            <c:numRef>
              <c:f>'計算'!$BD$385:$BD$402</c:f>
              <c:numCache>
                <c:ptCount val="18"/>
                <c:pt idx="11">
                  <c:v>8</c:v>
                </c:pt>
                <c:pt idx="12">
                  <c:v>7.900794905396593</c:v>
                </c:pt>
                <c:pt idx="13">
                  <c:v>7.900794905396593</c:v>
                </c:pt>
                <c:pt idx="14">
                  <c:v>5.217279999999996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'計算'!$BE$384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0.8940000000000001</c:v>
                </c:pt>
                <c:pt idx="10">
                  <c:v>0.8940000000000001</c:v>
                </c:pt>
                <c:pt idx="11">
                  <c:v>4.894</c:v>
                </c:pt>
                <c:pt idx="12">
                  <c:v>5.092410189206815</c:v>
                </c:pt>
                <c:pt idx="13">
                  <c:v>5.092410189206815</c:v>
                </c:pt>
                <c:pt idx="14">
                  <c:v>3.502639999999998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</c:numCache>
            </c:numRef>
          </c:xVal>
          <c:yVal>
            <c:numRef>
              <c:f>'計算'!$BE$385:$BE$402</c:f>
              <c:numCache>
                <c:ptCount val="18"/>
                <c:pt idx="15">
                  <c:v>8</c:v>
                </c:pt>
                <c:pt idx="16">
                  <c:v>8</c:v>
                </c:pt>
                <c:pt idx="17">
                  <c:v>8</c:v>
                </c:pt>
              </c:numCache>
            </c:numRef>
          </c:yVal>
          <c:smooth val="0"/>
        </c:ser>
        <c:axId val="27990384"/>
        <c:axId val="50586865"/>
      </c:scatterChart>
      <c:valAx>
        <c:axId val="27990384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586865"/>
        <c:crosses val="autoZero"/>
        <c:crossBetween val="midCat"/>
        <c:dispUnits/>
      </c:valAx>
      <c:valAx>
        <c:axId val="5058686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79903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78"/>
          <c:w val="0.791"/>
          <c:h val="0.8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'計算'!$BC$51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'計算'!$BC$52:$BC$90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'計算'!$BD$51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'計算'!$BD$52:$BD$90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'計算'!$BE$51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'計算'!$BE$52:$BE$90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'計算'!$BG$51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'計算'!$BG$52:$BG$90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'計算'!$BL$51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'計算'!$BL$52:$BL$90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0"/>
          <c:order val="5"/>
          <c:tx>
            <c:strRef>
              <c:f>'計算'!$BM$51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'計算'!$BM$52:$BM$90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1"/>
          <c:order val="6"/>
          <c:tx>
            <c:strRef>
              <c:f>'計算'!$BN$51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'計算'!$BN$52:$BN$90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4103498"/>
        <c:axId val="36931483"/>
      </c:scatterChart>
      <c:valAx>
        <c:axId val="410349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36931483"/>
        <c:crosses val="autoZero"/>
        <c:crossBetween val="midCat"/>
        <c:dispUnits/>
      </c:valAx>
      <c:valAx>
        <c:axId val="3693148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41034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'計算'!$BC$51</c:f>
              <c:strCache>
                <c:ptCount val="1"/>
                <c:pt idx="0">
                  <c:v>擁壁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'計算'!$BC$52:$BC$90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'計算'!$BD$51</c:f>
              <c:strCache>
                <c:ptCount val="1"/>
                <c:pt idx="0">
                  <c:v>前面地盤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'計算'!$BD$52:$BD$90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'計算'!$BE$51</c:f>
              <c:strCache>
                <c:ptCount val="1"/>
                <c:pt idx="0">
                  <c:v>盛土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'計算'!$BE$52:$BE$90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'計算'!$BF$51</c:f>
              <c:strCache>
                <c:ptCount val="1"/>
                <c:pt idx="0">
                  <c:v>すべり面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'計算'!$BF$52:$BF$90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'計算'!$BG$51</c:f>
              <c:strCache>
                <c:ptCount val="1"/>
                <c:pt idx="0">
                  <c:v>載荷重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'計算'!$BG$52:$BG$90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'計算'!$BH$51</c:f>
              <c:strCache>
                <c:ptCount val="1"/>
                <c:pt idx="0">
                  <c:v>自重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'計算'!$BH$52:$BH$90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'計算'!$BI$51</c:f>
              <c:strCache>
                <c:ptCount val="1"/>
                <c:pt idx="0">
                  <c:v>慣性力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'計算'!$BI$52:$BI$90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'計算'!$BJ$51</c:f>
              <c:strCache>
                <c:ptCount val="1"/>
                <c:pt idx="0">
                  <c:v>土圧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'計算'!$BJ$52:$BJ$90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'計算'!$BK$51</c:f>
              <c:strCache>
                <c:ptCount val="1"/>
                <c:pt idx="0">
                  <c:v>合力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'計算'!$BK$52:$BK$90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'計算'!$BL$51</c:f>
              <c:strCache>
                <c:ptCount val="1"/>
                <c:pt idx="0">
                  <c:v>支柱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'計算'!$BL$52:$BL$90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'計算'!$BM$51</c:f>
              <c:strCache>
                <c:ptCount val="1"/>
                <c:pt idx="0">
                  <c:v>レール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'計算'!$BM$52:$BM$90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'計算'!$BN$51</c:f>
              <c:strCache>
                <c:ptCount val="1"/>
                <c:pt idx="0">
                  <c:v>衝突荷重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'計算'!$BN$52:$BN$90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63947892"/>
        <c:axId val="38660117"/>
      </c:scatterChart>
      <c:valAx>
        <c:axId val="63947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60117"/>
        <c:crosses val="autoZero"/>
        <c:crossBetween val="midCat"/>
        <c:dispUnits/>
      </c:valAx>
      <c:valAx>
        <c:axId val="386601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47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755"/>
          <c:w val="0.9387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'計算'!$BC$51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'計算'!$BC$52:$BC$90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'計算'!$BD$51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'計算'!$BD$52:$BD$90</c:f>
              <c:numCache>
                <c:ptCount val="39"/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'計算'!$BE$51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'計算'!$BE$52:$BE$90</c:f>
              <c:numCache>
                <c:ptCount val="39"/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'計算'!$BF$51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'計算'!$BF$52:$BF$90</c:f>
              <c:numCache>
                <c:ptCount val="39"/>
                <c:pt idx="12">
                  <c:v>0</c:v>
                </c:pt>
                <c:pt idx="13">
                  <c:v>8</c:v>
                </c:pt>
                <c:pt idx="14">
                  <c:v>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'計算'!$BG$51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'計算'!$BG$52:$BG$90</c:f>
              <c:numCache>
                <c:ptCount val="39"/>
                <c:pt idx="15">
                  <c:v>8</c:v>
                </c:pt>
                <c:pt idx="16">
                  <c:v>8.5</c:v>
                </c:pt>
                <c:pt idx="17">
                  <c:v>8.5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'計算'!$BH$51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'計算'!$BH$52:$BH$90</c:f>
              <c:numCache>
                <c:ptCount val="39"/>
                <c:pt idx="18">
                  <c:v>3.9999999999999982</c:v>
                </c:pt>
                <c:pt idx="19">
                  <c:v>2.355039999999998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'計算'!$BI$51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'計算'!$BI$52:$BI$90</c:f>
              <c:numCache>
                <c:ptCount val="39"/>
                <c:pt idx="20">
                  <c:v>3.9999999999999982</c:v>
                </c:pt>
                <c:pt idx="21">
                  <c:v>3.9999999999999982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'計算'!$BJ$51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'計算'!$BJ$52:$BJ$90</c:f>
              <c:numCache>
                <c:ptCount val="39"/>
                <c:pt idx="22">
                  <c:v>2.6666666666666665</c:v>
                </c:pt>
                <c:pt idx="23">
                  <c:v>2.6285894380366686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'計算'!$BK$51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'計算'!$BK$52:$BK$90</c:f>
              <c:numCache>
                <c:ptCount val="39"/>
                <c:pt idx="24">
                  <c:v>0</c:v>
                </c:pt>
                <c:pt idx="25">
                  <c:v>1.6068827713700022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'計算'!$BL$51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'計算'!$BL$52:$BL$90</c:f>
              <c:numCache>
                <c:ptCount val="39"/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'計算'!$BM$51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'計算'!$BM$52:$BM$90</c:f>
              <c:numCache>
                <c:ptCount val="39"/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'計算'!$BN$51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4.894</c:v>
                </c:pt>
                <c:pt idx="5">
                  <c:v>0.8940000000000001</c:v>
                </c:pt>
                <c:pt idx="6">
                  <c:v>0</c:v>
                </c:pt>
                <c:pt idx="7">
                  <c:v>-0.8940000000000001</c:v>
                </c:pt>
                <c:pt idx="8">
                  <c:v>0</c:v>
                </c:pt>
                <c:pt idx="9">
                  <c:v>4.894</c:v>
                </c:pt>
                <c:pt idx="10">
                  <c:v>4.894</c:v>
                </c:pt>
                <c:pt idx="11">
                  <c:v>8.991232354382722</c:v>
                </c:pt>
                <c:pt idx="12">
                  <c:v>0.8940000000000001</c:v>
                </c:pt>
                <c:pt idx="13">
                  <c:v>8.097232354382722</c:v>
                </c:pt>
                <c:pt idx="14">
                  <c:v>8.097232354382722</c:v>
                </c:pt>
                <c:pt idx="15">
                  <c:v>4.894</c:v>
                </c:pt>
                <c:pt idx="16">
                  <c:v>4.894</c:v>
                </c:pt>
                <c:pt idx="17">
                  <c:v>8.991232354382722</c:v>
                </c:pt>
                <c:pt idx="18">
                  <c:v>2.4470000000000005</c:v>
                </c:pt>
                <c:pt idx="19">
                  <c:v>2.4470000000000005</c:v>
                </c:pt>
                <c:pt idx="20">
                  <c:v>2.4470000000000005</c:v>
                </c:pt>
                <c:pt idx="21">
                  <c:v>2.4470000000000005</c:v>
                </c:pt>
                <c:pt idx="22">
                  <c:v>2.227333333333333</c:v>
                </c:pt>
                <c:pt idx="23">
                  <c:v>2.9016961677003112</c:v>
                </c:pt>
                <c:pt idx="24">
                  <c:v>1.3330814082721503</c:v>
                </c:pt>
                <c:pt idx="25">
                  <c:v>2.0074442426391284</c:v>
                </c:pt>
                <c:pt idx="26">
                  <c:v>4.397</c:v>
                </c:pt>
                <c:pt idx="27">
                  <c:v>4.397</c:v>
                </c:pt>
                <c:pt idx="28">
                  <c:v>4.497</c:v>
                </c:pt>
                <c:pt idx="29">
                  <c:v>4.497</c:v>
                </c:pt>
                <c:pt idx="30">
                  <c:v>4.497</c:v>
                </c:pt>
                <c:pt idx="31">
                  <c:v>4.5969999999999995</c:v>
                </c:pt>
                <c:pt idx="32">
                  <c:v>4.5969999999999995</c:v>
                </c:pt>
                <c:pt idx="33">
                  <c:v>4.497</c:v>
                </c:pt>
                <c:pt idx="34">
                  <c:v>4.5969999999999995</c:v>
                </c:pt>
                <c:pt idx="35">
                  <c:v>4.5969999999999995</c:v>
                </c:pt>
                <c:pt idx="36">
                  <c:v>4.497</c:v>
                </c:pt>
                <c:pt idx="37">
                  <c:v>4.497</c:v>
                </c:pt>
                <c:pt idx="38">
                  <c:v>4.5969999999999995</c:v>
                </c:pt>
              </c:numCache>
            </c:numRef>
          </c:xVal>
          <c:yVal>
            <c:numRef>
              <c:f>'計算'!$BN$52:$BN$90</c:f>
              <c:numCache>
                <c:ptCount val="39"/>
                <c:pt idx="37">
                  <c:v>8</c:v>
                </c:pt>
                <c:pt idx="38">
                  <c:v>8</c:v>
                </c:pt>
              </c:numCache>
            </c:numRef>
          </c:yVal>
          <c:smooth val="0"/>
        </c:ser>
        <c:axId val="52628602"/>
        <c:axId val="3895371"/>
      </c:scatterChart>
      <c:valAx>
        <c:axId val="52628602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95371"/>
        <c:crosses val="autoZero"/>
        <c:crossBetween val="midCat"/>
        <c:dispUnits/>
      </c:valAx>
      <c:valAx>
        <c:axId val="3895371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6286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32875"/>
          <c:w val="0.87375"/>
          <c:h val="0.5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'計算'!$AV$730</c:f>
              <c:strCache>
                <c:ptCount val="1"/>
                <c:pt idx="0">
                  <c:v>前面応力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</c:numCache>
            </c:numRef>
          </c:xVal>
          <c:yVal>
            <c:numRef>
              <c:f>'計算'!$AV$731:$AV$751</c:f>
              <c:numCache>
                <c:ptCount val="21"/>
                <c:pt idx="0">
                  <c:v>0</c:v>
                </c:pt>
                <c:pt idx="1">
                  <c:v>0.01575385323742206</c:v>
                </c:pt>
                <c:pt idx="2">
                  <c:v>0.033788368711850564</c:v>
                </c:pt>
                <c:pt idx="3">
                  <c:v>0.05275085491535556</c:v>
                </c:pt>
                <c:pt idx="4">
                  <c:v>0.07128862034000703</c:v>
                </c:pt>
                <c:pt idx="5">
                  <c:v>0.08804897347787508</c:v>
                </c:pt>
                <c:pt idx="6">
                  <c:v>0.1016792228210297</c:v>
                </c:pt>
                <c:pt idx="7">
                  <c:v>0.11082737466673168</c:v>
                </c:pt>
                <c:pt idx="8">
                  <c:v>0.11497973713152616</c:v>
                </c:pt>
                <c:pt idx="9">
                  <c:v>0.11515446964689688</c:v>
                </c:pt>
                <c:pt idx="10">
                  <c:v>0.11239266863294771</c:v>
                </c:pt>
                <c:pt idx="11">
                  <c:v>0.10773543050978313</c:v>
                </c:pt>
                <c:pt idx="12">
                  <c:v>0.10222385169750683</c:v>
                </c:pt>
                <c:pt idx="13">
                  <c:v>0.09689902861622333</c:v>
                </c:pt>
                <c:pt idx="14">
                  <c:v>0.09280205768603661</c:v>
                </c:pt>
                <c:pt idx="15">
                  <c:v>0.09097403532705109</c:v>
                </c:pt>
                <c:pt idx="16">
                  <c:v>0.09245605795937083</c:v>
                </c:pt>
                <c:pt idx="17">
                  <c:v>0.09828922200309993</c:v>
                </c:pt>
                <c:pt idx="18">
                  <c:v>0.10951462387834164</c:v>
                </c:pt>
                <c:pt idx="19">
                  <c:v>0.1271733600052027</c:v>
                </c:pt>
                <c:pt idx="20">
                  <c:v>0.15230652680378406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'計算'!$AW$730</c:f>
              <c:strCache>
                <c:ptCount val="1"/>
                <c:pt idx="0">
                  <c:v>背面応力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</c:numCache>
            </c:numRef>
          </c:xVal>
          <c:yVal>
            <c:numRef>
              <c:f>'計算'!$AW$731:$AW$751</c:f>
              <c:numCache>
                <c:ptCount val="21"/>
                <c:pt idx="0">
                  <c:v>0</c:v>
                </c:pt>
                <c:pt idx="1">
                  <c:v>-0.0019810997749205007</c:v>
                </c:pt>
                <c:pt idx="2">
                  <c:v>-0.005572104962626604</c:v>
                </c:pt>
                <c:pt idx="3">
                  <c:v>-0.009420324055188342</c:v>
                </c:pt>
                <c:pt idx="4">
                  <c:v>-0.01217306554467574</c:v>
                </c:pt>
                <c:pt idx="5">
                  <c:v>-0.012477637923158867</c:v>
                </c:pt>
                <c:pt idx="6">
                  <c:v>-0.008981349682707737</c:v>
                </c:pt>
                <c:pt idx="7">
                  <c:v>-0.00033287276061777504</c:v>
                </c:pt>
                <c:pt idx="8">
                  <c:v>0.013595324937087767</c:v>
                </c:pt>
                <c:pt idx="9">
                  <c:v>0.031458560605883736</c:v>
                </c:pt>
                <c:pt idx="10">
                  <c:v>0.05221573782566622</c:v>
                </c:pt>
                <c:pt idx="11">
                  <c:v>0.07482576017633084</c:v>
                </c:pt>
                <c:pt idx="12">
                  <c:v>0.09824753123777387</c:v>
                </c:pt>
                <c:pt idx="13">
                  <c:v>0.12143995458989075</c:v>
                </c:pt>
                <c:pt idx="14">
                  <c:v>0.1433619338125775</c:v>
                </c:pt>
                <c:pt idx="15">
                  <c:v>0.16297237248572974</c:v>
                </c:pt>
                <c:pt idx="16">
                  <c:v>0.17923017418924336</c:v>
                </c:pt>
                <c:pt idx="17">
                  <c:v>0.1910942425030143</c:v>
                </c:pt>
                <c:pt idx="18">
                  <c:v>0.19752348100693934</c:v>
                </c:pt>
                <c:pt idx="19">
                  <c:v>0.1974767932809117</c:v>
                </c:pt>
                <c:pt idx="20">
                  <c:v>0.1899130829048303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'計算'!$AX$730</c:f>
              <c:strCache>
                <c:ptCount val="1"/>
                <c:pt idx="0">
                  <c:v>許容引張応力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1.2000000000000002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3.1999999999999997</c:v>
                </c:pt>
                <c:pt idx="9">
                  <c:v>3.5999999999999996</c:v>
                </c:pt>
                <c:pt idx="10">
                  <c:v>3.9999999999999996</c:v>
                </c:pt>
                <c:pt idx="11">
                  <c:v>4.3999999999999995</c:v>
                </c:pt>
                <c:pt idx="12">
                  <c:v>4.8</c:v>
                </c:pt>
                <c:pt idx="13">
                  <c:v>5.2</c:v>
                </c:pt>
                <c:pt idx="14">
                  <c:v>5.6000000000000005</c:v>
                </c:pt>
                <c:pt idx="15">
                  <c:v>6.000000000000001</c:v>
                </c:pt>
                <c:pt idx="16">
                  <c:v>6.400000000000001</c:v>
                </c:pt>
                <c:pt idx="17">
                  <c:v>6.800000000000002</c:v>
                </c:pt>
                <c:pt idx="18">
                  <c:v>7.200000000000002</c:v>
                </c:pt>
                <c:pt idx="19">
                  <c:v>7.600000000000002</c:v>
                </c:pt>
                <c:pt idx="20">
                  <c:v>8.000000000000002</c:v>
                </c:pt>
              </c:numCache>
            </c:numRef>
          </c:xVal>
          <c:yVal>
            <c:numRef>
              <c:f>'計算'!$AX$731:$AX$751</c:f>
              <c:numCache>
                <c:ptCount val="21"/>
                <c:pt idx="0">
                  <c:v>-0.225</c:v>
                </c:pt>
                <c:pt idx="1">
                  <c:v>-0.225</c:v>
                </c:pt>
                <c:pt idx="2">
                  <c:v>-0.225</c:v>
                </c:pt>
                <c:pt idx="3">
                  <c:v>-0.225</c:v>
                </c:pt>
                <c:pt idx="4">
                  <c:v>-0.225</c:v>
                </c:pt>
                <c:pt idx="5">
                  <c:v>-0.225</c:v>
                </c:pt>
                <c:pt idx="6">
                  <c:v>-0.225</c:v>
                </c:pt>
                <c:pt idx="7">
                  <c:v>-0.225</c:v>
                </c:pt>
                <c:pt idx="8">
                  <c:v>-0.225</c:v>
                </c:pt>
                <c:pt idx="9">
                  <c:v>-0.225</c:v>
                </c:pt>
                <c:pt idx="10">
                  <c:v>-0.225</c:v>
                </c:pt>
                <c:pt idx="11">
                  <c:v>-0.225</c:v>
                </c:pt>
                <c:pt idx="12">
                  <c:v>-0.225</c:v>
                </c:pt>
                <c:pt idx="13">
                  <c:v>-0.225</c:v>
                </c:pt>
                <c:pt idx="14">
                  <c:v>-0.225</c:v>
                </c:pt>
                <c:pt idx="15">
                  <c:v>-0.225</c:v>
                </c:pt>
                <c:pt idx="16">
                  <c:v>-0.225</c:v>
                </c:pt>
                <c:pt idx="17">
                  <c:v>-0.225</c:v>
                </c:pt>
                <c:pt idx="18">
                  <c:v>-0.225</c:v>
                </c:pt>
                <c:pt idx="19">
                  <c:v>-0.225</c:v>
                </c:pt>
                <c:pt idx="20">
                  <c:v>-0.225</c:v>
                </c:pt>
              </c:numCache>
            </c:numRef>
          </c:yVal>
          <c:smooth val="0"/>
        </c:ser>
        <c:axId val="35058340"/>
        <c:axId val="47089605"/>
      </c:scatterChart>
      <c:valAx>
        <c:axId val="35058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明朝"/>
                    <a:ea typeface="ＭＳ 明朝"/>
                    <a:cs typeface="ＭＳ 明朝"/>
                  </a:rPr>
                  <a:t>天端からの深さ</a:t>
                </a:r>
                <a:r>
                  <a:rPr lang="en-US" cap="none" sz="1025" b="0" i="1" u="none" baseline="0"/>
                  <a:t>z</a:t>
                </a:r>
                <a:r>
                  <a:rPr lang="en-US" cap="none" sz="1025" b="0" i="0" u="none" baseline="0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7089605"/>
        <c:crosses val="autoZero"/>
        <c:crossBetween val="midCat"/>
        <c:dispUnits/>
      </c:valAx>
      <c:valAx>
        <c:axId val="47089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明朝"/>
                    <a:ea typeface="ＭＳ 明朝"/>
                    <a:cs typeface="ＭＳ 明朝"/>
                  </a:rPr>
                  <a:t>曲げ応力度</a:t>
                </a:r>
                <a:r>
                  <a:rPr lang="en-US" cap="none" sz="1025" b="0" i="0" u="none" baseline="0"/>
                  <a:t>(N/mm</a:t>
                </a:r>
                <a:r>
                  <a:rPr lang="en-US" cap="none" sz="1025" b="0" i="0" u="none" baseline="30000"/>
                  <a:t>2</a:t>
                </a:r>
                <a:r>
                  <a:rPr lang="en-US" cap="none" sz="1025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50583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6025"/>
          <c:y val="0.00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25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5"/>
          <c:w val="0.9895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'計算'!$BX$229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'計算'!$BY$219:$CH$219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'計算'!$BY$229:$CH$229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'計算'!$BX$236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'計算'!$BY$219:$CH$219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'計算'!$BY$236:$CH$236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153262"/>
        <c:axId val="56161631"/>
      </c:lineChart>
      <c:catAx>
        <c:axId val="21153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61631"/>
        <c:crosses val="autoZero"/>
        <c:auto val="0"/>
        <c:lblOffset val="100"/>
        <c:noMultiLvlLbl val="0"/>
      </c:catAx>
      <c:valAx>
        <c:axId val="561616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5326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"/>
          <c:y val="0.141"/>
          <c:w val="0.801"/>
          <c:h val="0.702"/>
        </c:manualLayout>
      </c:layout>
      <c:lineChart>
        <c:grouping val="standard"/>
        <c:varyColors val="0"/>
        <c:ser>
          <c:idx val="1"/>
          <c:order val="0"/>
          <c:tx>
            <c:strRef>
              <c:f>'計算'!$G$153</c:f>
              <c:strCache>
                <c:ptCount val="1"/>
                <c:pt idx="0">
                  <c:v>PA(kN/m)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'計算'!$C$154:$C$164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'計算'!$G$154:$G$164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ropLines>
          <c:spPr>
            <a:ln w="12700">
              <a:solidFill/>
            </a:ln>
          </c:spPr>
        </c:dropLines>
        <c:marker val="1"/>
        <c:axId val="35692632"/>
        <c:axId val="52798233"/>
      </c:lineChart>
      <c:catAx>
        <c:axId val="35692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すべり角ω(度)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798233"/>
        <c:crosses val="autoZero"/>
        <c:auto val="1"/>
        <c:lblOffset val="100"/>
        <c:noMultiLvlLbl val="0"/>
      </c:catAx>
      <c:valAx>
        <c:axId val="52798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/>
                  <a:t>P</a:t>
                </a:r>
                <a:r>
                  <a:rPr lang="en-US" cap="none" sz="800" b="0" i="1" u="none" baseline="-25000"/>
                  <a:t>A</a:t>
                </a:r>
                <a:r>
                  <a:rPr lang="en-US" cap="none" sz="800" b="0" i="0" u="none" baseline="0"/>
                  <a:t>(kN/m)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5692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4325"/>
          <c:h val="0.9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'計算'!$BB$384</c:f>
              <c:strCache>
                <c:ptCount val="1"/>
                <c:pt idx="0">
                  <c:v>擁壁形状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'計算'!$BB$385:$BB$402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'計算'!$BC$384</c:f>
              <c:strCache>
                <c:ptCount val="1"/>
                <c:pt idx="0">
                  <c:v>底面反力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'計算'!$BC$385:$BC$402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'計算'!$BD$384</c:f>
              <c:strCache>
                <c:ptCount val="1"/>
                <c:pt idx="0">
                  <c:v>背面反力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'計算'!$BD$385:$BD$402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'計算'!$BE$384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'計算'!$BA$385:$BA$402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'計算'!$BE$385:$BE$402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5422050"/>
        <c:axId val="48798451"/>
      </c:scatterChart>
      <c:valAx>
        <c:axId val="5422050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48798451"/>
        <c:crosses val="autoZero"/>
        <c:crossBetween val="midCat"/>
        <c:dispUnits/>
      </c:valAx>
      <c:valAx>
        <c:axId val="48798451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54220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'計算'!$BC$51</c:f>
              <c:strCache>
                <c:ptCount val="1"/>
                <c:pt idx="0">
                  <c:v>擁壁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'計算'!$BC$52:$BC$90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'計算'!$BD$51</c:f>
              <c:strCache>
                <c:ptCount val="1"/>
                <c:pt idx="0">
                  <c:v>前面地盤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'計算'!$BD$52:$BD$90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'計算'!$BE$51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'計算'!$BE$52:$BE$90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'計算'!$BF$51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'計算'!$BF$52:$BF$90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'計算'!$BG$51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'計算'!$BG$52:$BG$90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'計算'!$BH$51</c:f>
              <c:strCache>
                <c:ptCount val="1"/>
                <c:pt idx="0">
                  <c:v>自重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'計算'!$BH$52:$BH$90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'計算'!$BI$51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'計算'!$BI$52:$BI$90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'計算'!$BJ$51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'計算'!$BJ$52:$BJ$90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'計算'!$BK$51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'計算'!$BK$52:$BK$90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'計算'!$BL$51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'計算'!$BL$52:$BL$90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'計算'!$BM$51</c:f>
              <c:strCache>
                <c:ptCount val="1"/>
                <c:pt idx="0">
                  <c:v>レール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'計算'!$BM$52:$BM$90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'計算'!$BN$51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'計算'!$BB$52:$BB$90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'計算'!$BN$52:$BN$90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36532876"/>
        <c:axId val="60360429"/>
      </c:scatterChart>
      <c:valAx>
        <c:axId val="36532876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360429"/>
        <c:crosses val="autoZero"/>
        <c:crossBetween val="midCat"/>
        <c:dispUnits/>
      </c:valAx>
      <c:valAx>
        <c:axId val="60360429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crossAx val="36532876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コンクリートの圧縮応力と引張応力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'計算'!$AV$730</c:f>
              <c:strCache>
                <c:ptCount val="1"/>
                <c:pt idx="0">
                  <c:v>前面応力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'計算'!$AV$731:$AV$751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'計算'!$AW$730</c:f>
              <c:strCache>
                <c:ptCount val="1"/>
                <c:pt idx="0">
                  <c:v>背面応力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'計算'!$AW$731:$AW$751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'計算'!$AX$730</c:f>
              <c:strCache>
                <c:ptCount val="1"/>
                <c:pt idx="0">
                  <c:v>許容引張応力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'計算'!$AU$731:$AU$751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'計算'!$AX$731:$AX$751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372950"/>
        <c:axId val="57356551"/>
      </c:scatterChart>
      <c:valAx>
        <c:axId val="637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天端からの深さ</a:t>
                </a:r>
                <a:r>
                  <a:rPr lang="en-US" cap="none" sz="800" b="0" i="1" u="none" baseline="0"/>
                  <a:t>z</a:t>
                </a:r>
                <a:r>
                  <a:rPr lang="en-US" cap="none" sz="800" b="0" i="0" u="none" baseline="0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7356551"/>
        <c:crosses val="autoZero"/>
        <c:crossBetween val="midCat"/>
        <c:dispUnits/>
      </c:valAx>
      <c:valAx>
        <c:axId val="5735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曲げ応力度</a:t>
                </a:r>
                <a:r>
                  <a:rPr lang="en-US" cap="none" sz="800" b="0" i="0" u="none" baseline="0"/>
                  <a:t>(N/mm</a:t>
                </a:r>
                <a:r>
                  <a:rPr lang="en-US" cap="none" sz="800" b="0" i="0" u="none" baseline="30000"/>
                  <a:t>2</a:t>
                </a:r>
                <a:r>
                  <a:rPr lang="en-US" cap="none" sz="800" b="0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37295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'計算'!$AU$689</c:f>
              <c:strCache>
                <c:ptCount val="1"/>
                <c:pt idx="0">
                  <c:v>軸力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'計算'!$AT$690:$AT$710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'計算'!$AU$690:$AU$710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'計算'!$AV$689</c:f>
              <c:strCache>
                <c:ptCount val="1"/>
                <c:pt idx="0">
                  <c:v>せん断力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'計算'!$AT$690:$AT$710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'計算'!$AV$690:$AV$710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'計算'!$AW$689</c:f>
              <c:strCache>
                <c:ptCount val="1"/>
                <c:pt idx="0">
                  <c:v>曲げﾓｰﾒﾝﾄ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'計算'!$AT$690:$AT$710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'計算'!$AW$690:$AW$710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6446912"/>
        <c:axId val="15369025"/>
      </c:scatterChart>
      <c:valAx>
        <c:axId val="4644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天端からの深さ</a:t>
                </a:r>
                <a:r>
                  <a:rPr lang="en-US" cap="none" sz="800" b="0" i="0" u="none" baseline="0"/>
                  <a:t>z(m)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369025"/>
        <c:crosses val="autoZero"/>
        <c:crossBetween val="midCat"/>
        <c:dispUnits/>
      </c:valAx>
      <c:valAx>
        <c:axId val="15369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明朝"/>
                    <a:ea typeface="ＭＳ 明朝"/>
                    <a:cs typeface="ＭＳ 明朝"/>
                  </a:rPr>
                  <a:t>断面力</a:t>
                </a:r>
                <a:r>
                  <a:rPr lang="en-US" cap="none" sz="800" b="0" i="0" u="none" baseline="0"/>
                  <a:t>(kN/m or kN-m/m)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4469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5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image" Target="../media/image39.emf" /><Relationship Id="rId8" Type="http://schemas.openxmlformats.org/officeDocument/2006/relationships/image" Target="../media/image27.emf" /><Relationship Id="rId9" Type="http://schemas.openxmlformats.org/officeDocument/2006/relationships/image" Target="../media/image43.emf" /><Relationship Id="rId10" Type="http://schemas.openxmlformats.org/officeDocument/2006/relationships/image" Target="../media/image44.emf" /><Relationship Id="rId11" Type="http://schemas.openxmlformats.org/officeDocument/2006/relationships/image" Target="../media/image48.emf" /><Relationship Id="rId12" Type="http://schemas.openxmlformats.org/officeDocument/2006/relationships/image" Target="../media/image10.emf" /><Relationship Id="rId13" Type="http://schemas.openxmlformats.org/officeDocument/2006/relationships/image" Target="../media/image47.emf" /><Relationship Id="rId14" Type="http://schemas.openxmlformats.org/officeDocument/2006/relationships/image" Target="../media/image49.emf" /><Relationship Id="rId15" Type="http://schemas.openxmlformats.org/officeDocument/2006/relationships/image" Target="../media/image35.emf" /><Relationship Id="rId16" Type="http://schemas.openxmlformats.org/officeDocument/2006/relationships/image" Target="../media/image50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5.emf" /><Relationship Id="rId20" Type="http://schemas.openxmlformats.org/officeDocument/2006/relationships/image" Target="../media/image1.emf" /><Relationship Id="rId21" Type="http://schemas.openxmlformats.org/officeDocument/2006/relationships/image" Target="../media/image6.emf" /><Relationship Id="rId22" Type="http://schemas.openxmlformats.org/officeDocument/2006/relationships/image" Target="../media/image8.emf" /><Relationship Id="rId23" Type="http://schemas.openxmlformats.org/officeDocument/2006/relationships/image" Target="../media/image9.emf" /><Relationship Id="rId24" Type="http://schemas.openxmlformats.org/officeDocument/2006/relationships/image" Target="../media/image11.emf" /><Relationship Id="rId25" Type="http://schemas.openxmlformats.org/officeDocument/2006/relationships/image" Target="../media/image12.emf" /><Relationship Id="rId26" Type="http://schemas.openxmlformats.org/officeDocument/2006/relationships/image" Target="../media/image13.emf" /><Relationship Id="rId27" Type="http://schemas.openxmlformats.org/officeDocument/2006/relationships/image" Target="../media/image7.emf" /><Relationship Id="rId28" Type="http://schemas.openxmlformats.org/officeDocument/2006/relationships/image" Target="../media/image16.emf" /><Relationship Id="rId29" Type="http://schemas.openxmlformats.org/officeDocument/2006/relationships/image" Target="../media/image17.emf" /><Relationship Id="rId30" Type="http://schemas.openxmlformats.org/officeDocument/2006/relationships/image" Target="../media/image18.emf" /><Relationship Id="rId31" Type="http://schemas.openxmlformats.org/officeDocument/2006/relationships/image" Target="../media/image19.emf" /><Relationship Id="rId32" Type="http://schemas.openxmlformats.org/officeDocument/2006/relationships/image" Target="../media/image21.emf" /><Relationship Id="rId33" Type="http://schemas.openxmlformats.org/officeDocument/2006/relationships/image" Target="../media/image22.emf" /><Relationship Id="rId34" Type="http://schemas.openxmlformats.org/officeDocument/2006/relationships/image" Target="../media/image25.emf" /><Relationship Id="rId35" Type="http://schemas.openxmlformats.org/officeDocument/2006/relationships/image" Target="../media/image26.emf" /><Relationship Id="rId36" Type="http://schemas.openxmlformats.org/officeDocument/2006/relationships/image" Target="../media/image28.emf" /><Relationship Id="rId37" Type="http://schemas.openxmlformats.org/officeDocument/2006/relationships/image" Target="../media/image24.emf" /><Relationship Id="rId38" Type="http://schemas.openxmlformats.org/officeDocument/2006/relationships/image" Target="../media/image31.emf" /><Relationship Id="rId39" Type="http://schemas.openxmlformats.org/officeDocument/2006/relationships/image" Target="../media/image29.emf" /><Relationship Id="rId40" Type="http://schemas.openxmlformats.org/officeDocument/2006/relationships/image" Target="../media/image33.emf" /><Relationship Id="rId41" Type="http://schemas.openxmlformats.org/officeDocument/2006/relationships/chart" Target="/xl/charts/chart10.xml" /><Relationship Id="rId42" Type="http://schemas.openxmlformats.org/officeDocument/2006/relationships/image" Target="../media/image34.emf" /><Relationship Id="rId43" Type="http://schemas.openxmlformats.org/officeDocument/2006/relationships/image" Target="../media/image37.emf" /><Relationship Id="rId44" Type="http://schemas.openxmlformats.org/officeDocument/2006/relationships/image" Target="../media/image14.emf" /><Relationship Id="rId45" Type="http://schemas.openxmlformats.org/officeDocument/2006/relationships/image" Target="../media/image36.emf" /><Relationship Id="rId46" Type="http://schemas.openxmlformats.org/officeDocument/2006/relationships/chart" Target="/xl/charts/chart11.xml" /><Relationship Id="rId47" Type="http://schemas.openxmlformats.org/officeDocument/2006/relationships/image" Target="../media/image52.emf" /><Relationship Id="rId48" Type="http://schemas.openxmlformats.org/officeDocument/2006/relationships/image" Target="../media/image57.emf" /><Relationship Id="rId49" Type="http://schemas.openxmlformats.org/officeDocument/2006/relationships/image" Target="../media/image58.emf" /><Relationship Id="rId50" Type="http://schemas.openxmlformats.org/officeDocument/2006/relationships/image" Target="../media/image55.emf" /><Relationship Id="rId51" Type="http://schemas.openxmlformats.org/officeDocument/2006/relationships/image" Target="../media/image5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15.emf" /><Relationship Id="rId3" Type="http://schemas.openxmlformats.org/officeDocument/2006/relationships/image" Target="../media/image20.emf" /><Relationship Id="rId4" Type="http://schemas.openxmlformats.org/officeDocument/2006/relationships/image" Target="../media/image53.emf" /><Relationship Id="rId5" Type="http://schemas.openxmlformats.org/officeDocument/2006/relationships/image" Target="../media/image46.emf" /><Relationship Id="rId6" Type="http://schemas.openxmlformats.org/officeDocument/2006/relationships/image" Target="../media/image32.emf" /><Relationship Id="rId7" Type="http://schemas.openxmlformats.org/officeDocument/2006/relationships/image" Target="../media/image4.emf" /><Relationship Id="rId8" Type="http://schemas.openxmlformats.org/officeDocument/2006/relationships/image" Target="../media/image23.emf" /><Relationship Id="rId9" Type="http://schemas.openxmlformats.org/officeDocument/2006/relationships/image" Target="../media/image38.emf" /><Relationship Id="rId10" Type="http://schemas.openxmlformats.org/officeDocument/2006/relationships/image" Target="../media/image45.emf" /><Relationship Id="rId11" Type="http://schemas.openxmlformats.org/officeDocument/2006/relationships/image" Target="../media/image41.emf" /><Relationship Id="rId12" Type="http://schemas.openxmlformats.org/officeDocument/2006/relationships/image" Target="../media/image30.emf" /><Relationship Id="rId13" Type="http://schemas.openxmlformats.org/officeDocument/2006/relationships/image" Target="../media/image42.emf" /><Relationship Id="rId14" Type="http://schemas.openxmlformats.org/officeDocument/2006/relationships/image" Target="../media/image5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20</xdr:row>
      <xdr:rowOff>219075</xdr:rowOff>
    </xdr:from>
    <xdr:to>
      <xdr:col>16</xdr:col>
      <xdr:colOff>200025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9191625" y="4352925"/>
        <a:ext cx="47244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20</xdr:row>
      <xdr:rowOff>161925</xdr:rowOff>
    </xdr:from>
    <xdr:to>
      <xdr:col>10</xdr:col>
      <xdr:colOff>714375</xdr:colOff>
      <xdr:row>35</xdr:row>
      <xdr:rowOff>0</xdr:rowOff>
    </xdr:to>
    <xdr:graphicFrame>
      <xdr:nvGraphicFramePr>
        <xdr:cNvPr id="2" name="Chart 3"/>
        <xdr:cNvGraphicFramePr/>
      </xdr:nvGraphicFramePr>
      <xdr:xfrm>
        <a:off x="4238625" y="4295775"/>
        <a:ext cx="5048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495300</xdr:colOff>
      <xdr:row>19</xdr:row>
      <xdr:rowOff>171450</xdr:rowOff>
    </xdr:from>
    <xdr:to>
      <xdr:col>21</xdr:col>
      <xdr:colOff>38100</xdr:colOff>
      <xdr:row>37</xdr:row>
      <xdr:rowOff>57150</xdr:rowOff>
    </xdr:to>
    <xdr:graphicFrame>
      <xdr:nvGraphicFramePr>
        <xdr:cNvPr id="3" name="Chart 4"/>
        <xdr:cNvGraphicFramePr/>
      </xdr:nvGraphicFramePr>
      <xdr:xfrm>
        <a:off x="14211300" y="4114800"/>
        <a:ext cx="382905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1</xdr:row>
      <xdr:rowOff>0</xdr:rowOff>
    </xdr:from>
    <xdr:to>
      <xdr:col>11</xdr:col>
      <xdr:colOff>704850</xdr:colOff>
      <xdr:row>18</xdr:row>
      <xdr:rowOff>76200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190500"/>
          <a:ext cx="53244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619125</xdr:colOff>
      <xdr:row>218</xdr:row>
      <xdr:rowOff>38100</xdr:rowOff>
    </xdr:from>
    <xdr:to>
      <xdr:col>114</xdr:col>
      <xdr:colOff>676275</xdr:colOff>
      <xdr:row>238</xdr:row>
      <xdr:rowOff>152400</xdr:rowOff>
    </xdr:to>
    <xdr:graphicFrame>
      <xdr:nvGraphicFramePr>
        <xdr:cNvPr id="1" name="Chart 1"/>
        <xdr:cNvGraphicFramePr/>
      </xdr:nvGraphicFramePr>
      <xdr:xfrm>
        <a:off x="92430600" y="49872900"/>
        <a:ext cx="69913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164</xdr:row>
      <xdr:rowOff>123825</xdr:rowOff>
    </xdr:from>
    <xdr:to>
      <xdr:col>6</xdr:col>
      <xdr:colOff>733425</xdr:colOff>
      <xdr:row>174</xdr:row>
      <xdr:rowOff>161925</xdr:rowOff>
    </xdr:to>
    <xdr:graphicFrame>
      <xdr:nvGraphicFramePr>
        <xdr:cNvPr id="2" name="Chart 9"/>
        <xdr:cNvGraphicFramePr/>
      </xdr:nvGraphicFramePr>
      <xdr:xfrm>
        <a:off x="1819275" y="37614225"/>
        <a:ext cx="40671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638175</xdr:colOff>
      <xdr:row>324</xdr:row>
      <xdr:rowOff>133350</xdr:rowOff>
    </xdr:from>
    <xdr:to>
      <xdr:col>6</xdr:col>
      <xdr:colOff>561975</xdr:colOff>
      <xdr:row>340</xdr:row>
      <xdr:rowOff>219075</xdr:rowOff>
    </xdr:to>
    <xdr:graphicFrame>
      <xdr:nvGraphicFramePr>
        <xdr:cNvPr id="3" name="Chart 25"/>
        <xdr:cNvGraphicFramePr/>
      </xdr:nvGraphicFramePr>
      <xdr:xfrm>
        <a:off x="1504950" y="74199750"/>
        <a:ext cx="42100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561975</xdr:colOff>
      <xdr:row>206</xdr:row>
      <xdr:rowOff>76200</xdr:rowOff>
    </xdr:from>
    <xdr:to>
      <xdr:col>8</xdr:col>
      <xdr:colOff>104775</xdr:colOff>
      <xdr:row>219</xdr:row>
      <xdr:rowOff>47625</xdr:rowOff>
    </xdr:to>
    <xdr:graphicFrame>
      <xdr:nvGraphicFramePr>
        <xdr:cNvPr id="4" name="Chart 36"/>
        <xdr:cNvGraphicFramePr/>
      </xdr:nvGraphicFramePr>
      <xdr:xfrm>
        <a:off x="1428750" y="47167800"/>
        <a:ext cx="55435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57150</xdr:colOff>
      <xdr:row>605</xdr:row>
      <xdr:rowOff>38100</xdr:rowOff>
    </xdr:from>
    <xdr:to>
      <xdr:col>8</xdr:col>
      <xdr:colOff>371475</xdr:colOff>
      <xdr:row>613</xdr:row>
      <xdr:rowOff>123825</xdr:rowOff>
    </xdr:to>
    <xdr:graphicFrame>
      <xdr:nvGraphicFramePr>
        <xdr:cNvPr id="5" name="Chart 47"/>
        <xdr:cNvGraphicFramePr/>
      </xdr:nvGraphicFramePr>
      <xdr:xfrm>
        <a:off x="2609850" y="138341100"/>
        <a:ext cx="46291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847725</xdr:colOff>
      <xdr:row>562</xdr:row>
      <xdr:rowOff>123825</xdr:rowOff>
    </xdr:from>
    <xdr:to>
      <xdr:col>8</xdr:col>
      <xdr:colOff>133350</xdr:colOff>
      <xdr:row>570</xdr:row>
      <xdr:rowOff>76200</xdr:rowOff>
    </xdr:to>
    <xdr:graphicFrame>
      <xdr:nvGraphicFramePr>
        <xdr:cNvPr id="6" name="Chart 60"/>
        <xdr:cNvGraphicFramePr/>
      </xdr:nvGraphicFramePr>
      <xdr:xfrm>
        <a:off x="847725" y="128597025"/>
        <a:ext cx="6153150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</xdr:col>
      <xdr:colOff>666750</xdr:colOff>
      <xdr:row>70</xdr:row>
      <xdr:rowOff>19050</xdr:rowOff>
    </xdr:from>
    <xdr:to>
      <xdr:col>5</xdr:col>
      <xdr:colOff>447675</xdr:colOff>
      <xdr:row>79</xdr:row>
      <xdr:rowOff>171450</xdr:rowOff>
    </xdr:to>
    <xdr:pic>
      <xdr:nvPicPr>
        <xdr:cNvPr id="7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52675" y="16021050"/>
          <a:ext cx="23812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676</xdr:row>
      <xdr:rowOff>133350</xdr:rowOff>
    </xdr:from>
    <xdr:to>
      <xdr:col>8</xdr:col>
      <xdr:colOff>295275</xdr:colOff>
      <xdr:row>693</xdr:row>
      <xdr:rowOff>219075</xdr:rowOff>
    </xdr:to>
    <xdr:pic>
      <xdr:nvPicPr>
        <xdr:cNvPr id="8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154666950"/>
          <a:ext cx="69532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710</xdr:row>
      <xdr:rowOff>85725</xdr:rowOff>
    </xdr:from>
    <xdr:to>
      <xdr:col>3</xdr:col>
      <xdr:colOff>847725</xdr:colOff>
      <xdr:row>712</xdr:row>
      <xdr:rowOff>114300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162391725"/>
          <a:ext cx="2505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714</xdr:row>
      <xdr:rowOff>66675</xdr:rowOff>
    </xdr:from>
    <xdr:to>
      <xdr:col>4</xdr:col>
      <xdr:colOff>657225</xdr:colOff>
      <xdr:row>716</xdr:row>
      <xdr:rowOff>133350</xdr:rowOff>
    </xdr:to>
    <xdr:pic>
      <xdr:nvPicPr>
        <xdr:cNvPr id="10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163287075"/>
          <a:ext cx="2962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728</xdr:row>
      <xdr:rowOff>95250</xdr:rowOff>
    </xdr:from>
    <xdr:to>
      <xdr:col>2</xdr:col>
      <xdr:colOff>847725</xdr:colOff>
      <xdr:row>730</xdr:row>
      <xdr:rowOff>190500</xdr:rowOff>
    </xdr:to>
    <xdr:pic>
      <xdr:nvPicPr>
        <xdr:cNvPr id="11" name="Picture 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0" y="166516050"/>
          <a:ext cx="1009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620</xdr:row>
      <xdr:rowOff>85725</xdr:rowOff>
    </xdr:from>
    <xdr:to>
      <xdr:col>7</xdr:col>
      <xdr:colOff>714375</xdr:colOff>
      <xdr:row>629</xdr:row>
      <xdr:rowOff>152400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47800" y="141817725"/>
          <a:ext cx="52863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64</xdr:row>
      <xdr:rowOff>47625</xdr:rowOff>
    </xdr:from>
    <xdr:to>
      <xdr:col>5</xdr:col>
      <xdr:colOff>676275</xdr:colOff>
      <xdr:row>73</xdr:row>
      <xdr:rowOff>19050</xdr:rowOff>
    </xdr:to>
    <xdr:pic>
      <xdr:nvPicPr>
        <xdr:cNvPr id="13" name="Picture 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14678025"/>
          <a:ext cx="39338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4</xdr:col>
      <xdr:colOff>38100</xdr:colOff>
      <xdr:row>90</xdr:row>
      <xdr:rowOff>19050</xdr:rowOff>
    </xdr:to>
    <xdr:pic>
      <xdr:nvPicPr>
        <xdr:cNvPr id="14" name="Picture 9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52700" y="20345400"/>
          <a:ext cx="904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90</xdr:row>
      <xdr:rowOff>28575</xdr:rowOff>
    </xdr:from>
    <xdr:to>
      <xdr:col>4</xdr:col>
      <xdr:colOff>57150</xdr:colOff>
      <xdr:row>91</xdr:row>
      <xdr:rowOff>19050</xdr:rowOff>
    </xdr:to>
    <xdr:pic>
      <xdr:nvPicPr>
        <xdr:cNvPr id="15" name="Picture 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90800" y="20602575"/>
          <a:ext cx="885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96</xdr:row>
      <xdr:rowOff>76200</xdr:rowOff>
    </xdr:from>
    <xdr:to>
      <xdr:col>5</xdr:col>
      <xdr:colOff>19050</xdr:colOff>
      <xdr:row>100</xdr:row>
      <xdr:rowOff>0</xdr:rowOff>
    </xdr:to>
    <xdr:pic>
      <xdr:nvPicPr>
        <xdr:cNvPr id="16" name="Picture 9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19200" y="22021800"/>
          <a:ext cx="3086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122</xdr:row>
      <xdr:rowOff>133350</xdr:rowOff>
    </xdr:from>
    <xdr:to>
      <xdr:col>6</xdr:col>
      <xdr:colOff>133350</xdr:colOff>
      <xdr:row>141</xdr:row>
      <xdr:rowOff>0</xdr:rowOff>
    </xdr:to>
    <xdr:pic>
      <xdr:nvPicPr>
        <xdr:cNvPr id="17" name="Picture 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19200" y="28022550"/>
          <a:ext cx="406717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100</xdr:row>
      <xdr:rowOff>19050</xdr:rowOff>
    </xdr:from>
    <xdr:to>
      <xdr:col>7</xdr:col>
      <xdr:colOff>323850</xdr:colOff>
      <xdr:row>119</xdr:row>
      <xdr:rowOff>200025</xdr:rowOff>
    </xdr:to>
    <xdr:pic>
      <xdr:nvPicPr>
        <xdr:cNvPr id="18" name="Picture 1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19175" y="22879050"/>
          <a:ext cx="53244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148</xdr:row>
      <xdr:rowOff>104775</xdr:rowOff>
    </xdr:from>
    <xdr:to>
      <xdr:col>5</xdr:col>
      <xdr:colOff>238125</xdr:colOff>
      <xdr:row>150</xdr:row>
      <xdr:rowOff>180975</xdr:rowOff>
    </xdr:to>
    <xdr:pic>
      <xdr:nvPicPr>
        <xdr:cNvPr id="19" name="Picture 1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09850" y="33937575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224</xdr:row>
      <xdr:rowOff>57150</xdr:rowOff>
    </xdr:from>
    <xdr:to>
      <xdr:col>7</xdr:col>
      <xdr:colOff>276225</xdr:colOff>
      <xdr:row>234</xdr:row>
      <xdr:rowOff>161925</xdr:rowOff>
    </xdr:to>
    <xdr:pic>
      <xdr:nvPicPr>
        <xdr:cNvPr id="20" name="Picture 10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62025" y="51263550"/>
          <a:ext cx="53340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235</xdr:row>
      <xdr:rowOff>104775</xdr:rowOff>
    </xdr:from>
    <xdr:to>
      <xdr:col>6</xdr:col>
      <xdr:colOff>209550</xdr:colOff>
      <xdr:row>249</xdr:row>
      <xdr:rowOff>219075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0" y="53825775"/>
          <a:ext cx="42195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251</xdr:row>
      <xdr:rowOff>47625</xdr:rowOff>
    </xdr:from>
    <xdr:to>
      <xdr:col>3</xdr:col>
      <xdr:colOff>514350</xdr:colOff>
      <xdr:row>252</xdr:row>
      <xdr:rowOff>114300</xdr:rowOff>
    </xdr:to>
    <xdr:pic>
      <xdr:nvPicPr>
        <xdr:cNvPr id="22" name="Picture 10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28700" y="57426225"/>
          <a:ext cx="2038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254</xdr:row>
      <xdr:rowOff>66675</xdr:rowOff>
    </xdr:from>
    <xdr:to>
      <xdr:col>5</xdr:col>
      <xdr:colOff>800100</xdr:colOff>
      <xdr:row>255</xdr:row>
      <xdr:rowOff>152400</xdr:rowOff>
    </xdr:to>
    <xdr:pic>
      <xdr:nvPicPr>
        <xdr:cNvPr id="23" name="Picture 1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81075" y="58131075"/>
          <a:ext cx="410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257</xdr:row>
      <xdr:rowOff>66675</xdr:rowOff>
    </xdr:from>
    <xdr:to>
      <xdr:col>5</xdr:col>
      <xdr:colOff>66675</xdr:colOff>
      <xdr:row>259</xdr:row>
      <xdr:rowOff>152400</xdr:rowOff>
    </xdr:to>
    <xdr:pic>
      <xdr:nvPicPr>
        <xdr:cNvPr id="24" name="Picture 1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00125" y="58816875"/>
          <a:ext cx="3352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266</xdr:row>
      <xdr:rowOff>57150</xdr:rowOff>
    </xdr:from>
    <xdr:to>
      <xdr:col>4</xdr:col>
      <xdr:colOff>257175</xdr:colOff>
      <xdr:row>269</xdr:row>
      <xdr:rowOff>104775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00150" y="60864750"/>
          <a:ext cx="2476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269</xdr:row>
      <xdr:rowOff>133350</xdr:rowOff>
    </xdr:from>
    <xdr:to>
      <xdr:col>7</xdr:col>
      <xdr:colOff>38100</xdr:colOff>
      <xdr:row>276</xdr:row>
      <xdr:rowOff>9525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14425" y="61626750"/>
          <a:ext cx="4943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279</xdr:row>
      <xdr:rowOff>28575</xdr:rowOff>
    </xdr:from>
    <xdr:to>
      <xdr:col>4</xdr:col>
      <xdr:colOff>371475</xdr:colOff>
      <xdr:row>280</xdr:row>
      <xdr:rowOff>47625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66825" y="63807975"/>
          <a:ext cx="2524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352</xdr:row>
      <xdr:rowOff>152400</xdr:rowOff>
    </xdr:from>
    <xdr:to>
      <xdr:col>3</xdr:col>
      <xdr:colOff>104775</xdr:colOff>
      <xdr:row>354</xdr:row>
      <xdr:rowOff>133350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790700" y="806196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358</xdr:row>
      <xdr:rowOff>200025</xdr:rowOff>
    </xdr:from>
    <xdr:to>
      <xdr:col>3</xdr:col>
      <xdr:colOff>38100</xdr:colOff>
      <xdr:row>360</xdr:row>
      <xdr:rowOff>133350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66900" y="82038825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368</xdr:row>
      <xdr:rowOff>104775</xdr:rowOff>
    </xdr:from>
    <xdr:to>
      <xdr:col>4</xdr:col>
      <xdr:colOff>190500</xdr:colOff>
      <xdr:row>370</xdr:row>
      <xdr:rowOff>152400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90700" y="84229575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370</xdr:row>
      <xdr:rowOff>142875</xdr:rowOff>
    </xdr:from>
    <xdr:to>
      <xdr:col>4</xdr:col>
      <xdr:colOff>781050</xdr:colOff>
      <xdr:row>372</xdr:row>
      <xdr:rowOff>104775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695450" y="84724875"/>
          <a:ext cx="2505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379</xdr:row>
      <xdr:rowOff>142875</xdr:rowOff>
    </xdr:from>
    <xdr:to>
      <xdr:col>3</xdr:col>
      <xdr:colOff>847725</xdr:colOff>
      <xdr:row>381</xdr:row>
      <xdr:rowOff>161925</xdr:rowOff>
    </xdr:to>
    <xdr:pic>
      <xdr:nvPicPr>
        <xdr:cNvPr id="32" name="Picture 1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09825" y="8678227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384</xdr:row>
      <xdr:rowOff>133350</xdr:rowOff>
    </xdr:from>
    <xdr:to>
      <xdr:col>5</xdr:col>
      <xdr:colOff>828675</xdr:colOff>
      <xdr:row>393</xdr:row>
      <xdr:rowOff>133350</xdr:rowOff>
    </xdr:to>
    <xdr:pic>
      <xdr:nvPicPr>
        <xdr:cNvPr id="33" name="Picture 1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87915750"/>
          <a:ext cx="51149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385</xdr:row>
      <xdr:rowOff>190500</xdr:rowOff>
    </xdr:from>
    <xdr:to>
      <xdr:col>7</xdr:col>
      <xdr:colOff>838200</xdr:colOff>
      <xdr:row>387</xdr:row>
      <xdr:rowOff>0</xdr:rowOff>
    </xdr:to>
    <xdr:pic>
      <xdr:nvPicPr>
        <xdr:cNvPr id="34" name="Picture 1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00675" y="88201500"/>
          <a:ext cx="1457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395</xdr:row>
      <xdr:rowOff>0</xdr:rowOff>
    </xdr:from>
    <xdr:to>
      <xdr:col>5</xdr:col>
      <xdr:colOff>247650</xdr:colOff>
      <xdr:row>399</xdr:row>
      <xdr:rowOff>133350</xdr:rowOff>
    </xdr:to>
    <xdr:pic>
      <xdr:nvPicPr>
        <xdr:cNvPr id="35" name="Picture 12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85925" y="90297000"/>
          <a:ext cx="2847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426</xdr:row>
      <xdr:rowOff>0</xdr:rowOff>
    </xdr:from>
    <xdr:to>
      <xdr:col>4</xdr:col>
      <xdr:colOff>447675</xdr:colOff>
      <xdr:row>431</xdr:row>
      <xdr:rowOff>104775</xdr:rowOff>
    </xdr:to>
    <xdr:pic>
      <xdr:nvPicPr>
        <xdr:cNvPr id="36" name="Picture 12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85925" y="97383600"/>
          <a:ext cx="2181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461</xdr:row>
      <xdr:rowOff>47625</xdr:rowOff>
    </xdr:from>
    <xdr:to>
      <xdr:col>3</xdr:col>
      <xdr:colOff>542925</xdr:colOff>
      <xdr:row>465</xdr:row>
      <xdr:rowOff>66675</xdr:rowOff>
    </xdr:to>
    <xdr:pic>
      <xdr:nvPicPr>
        <xdr:cNvPr id="37" name="Picture 12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990725" y="10543222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535</xdr:row>
      <xdr:rowOff>9525</xdr:rowOff>
    </xdr:from>
    <xdr:to>
      <xdr:col>4</xdr:col>
      <xdr:colOff>371475</xdr:colOff>
      <xdr:row>537</xdr:row>
      <xdr:rowOff>152400</xdr:rowOff>
    </xdr:to>
    <xdr:pic>
      <xdr:nvPicPr>
        <xdr:cNvPr id="38" name="Picture 13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66900" y="122310525"/>
          <a:ext cx="1924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573</xdr:row>
      <xdr:rowOff>38100</xdr:rowOff>
    </xdr:from>
    <xdr:to>
      <xdr:col>3</xdr:col>
      <xdr:colOff>476250</xdr:colOff>
      <xdr:row>578</xdr:row>
      <xdr:rowOff>171450</xdr:rowOff>
    </xdr:to>
    <xdr:pic>
      <xdr:nvPicPr>
        <xdr:cNvPr id="39" name="Picture 13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724025" y="131025900"/>
          <a:ext cx="1304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261</xdr:row>
      <xdr:rowOff>85725</xdr:rowOff>
    </xdr:from>
    <xdr:to>
      <xdr:col>5</xdr:col>
      <xdr:colOff>809625</xdr:colOff>
      <xdr:row>264</xdr:row>
      <xdr:rowOff>209550</xdr:rowOff>
    </xdr:to>
    <xdr:pic>
      <xdr:nvPicPr>
        <xdr:cNvPr id="40" name="Picture 13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62025" y="59750325"/>
          <a:ext cx="4133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10</xdr:row>
      <xdr:rowOff>180975</xdr:rowOff>
    </xdr:from>
    <xdr:to>
      <xdr:col>8</xdr:col>
      <xdr:colOff>847725</xdr:colOff>
      <xdr:row>19</xdr:row>
      <xdr:rowOff>200025</xdr:rowOff>
    </xdr:to>
    <xdr:graphicFrame>
      <xdr:nvGraphicFramePr>
        <xdr:cNvPr id="41" name="Chart 141"/>
        <xdr:cNvGraphicFramePr/>
      </xdr:nvGraphicFramePr>
      <xdr:xfrm>
        <a:off x="4124325" y="2466975"/>
        <a:ext cx="3590925" cy="2076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 editAs="oneCell">
    <xdr:from>
      <xdr:col>4</xdr:col>
      <xdr:colOff>619125</xdr:colOff>
      <xdr:row>181</xdr:row>
      <xdr:rowOff>133350</xdr:rowOff>
    </xdr:from>
    <xdr:to>
      <xdr:col>5</xdr:col>
      <xdr:colOff>800100</xdr:colOff>
      <xdr:row>183</xdr:row>
      <xdr:rowOff>114300</xdr:rowOff>
    </xdr:to>
    <xdr:pic>
      <xdr:nvPicPr>
        <xdr:cNvPr id="42" name="Picture 1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038600" y="4150995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297</xdr:row>
      <xdr:rowOff>19050</xdr:rowOff>
    </xdr:from>
    <xdr:to>
      <xdr:col>3</xdr:col>
      <xdr:colOff>800100</xdr:colOff>
      <xdr:row>297</xdr:row>
      <xdr:rowOff>228600</xdr:rowOff>
    </xdr:to>
    <xdr:pic>
      <xdr:nvPicPr>
        <xdr:cNvPr id="43" name="Picture 15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514600" y="67913250"/>
          <a:ext cx="838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294</xdr:row>
      <xdr:rowOff>0</xdr:rowOff>
    </xdr:from>
    <xdr:to>
      <xdr:col>5</xdr:col>
      <xdr:colOff>133350</xdr:colOff>
      <xdr:row>295</xdr:row>
      <xdr:rowOff>0</xdr:rowOff>
    </xdr:to>
    <xdr:pic>
      <xdr:nvPicPr>
        <xdr:cNvPr id="44" name="Picture 1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181225" y="67208400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300</xdr:row>
      <xdr:rowOff>28575</xdr:rowOff>
    </xdr:from>
    <xdr:to>
      <xdr:col>4</xdr:col>
      <xdr:colOff>657225</xdr:colOff>
      <xdr:row>301</xdr:row>
      <xdr:rowOff>28575</xdr:rowOff>
    </xdr:to>
    <xdr:pic>
      <xdr:nvPicPr>
        <xdr:cNvPr id="45" name="Picture 16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14550" y="68608575"/>
          <a:ext cx="1962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9525</xdr:colOff>
      <xdr:row>61</xdr:row>
      <xdr:rowOff>104775</xdr:rowOff>
    </xdr:from>
    <xdr:to>
      <xdr:col>70</xdr:col>
      <xdr:colOff>180975</xdr:colOff>
      <xdr:row>78</xdr:row>
      <xdr:rowOff>47625</xdr:rowOff>
    </xdr:to>
    <xdr:graphicFrame>
      <xdr:nvGraphicFramePr>
        <xdr:cNvPr id="46" name="Chart 162"/>
        <xdr:cNvGraphicFramePr/>
      </xdr:nvGraphicFramePr>
      <xdr:xfrm>
        <a:off x="53682900" y="14049375"/>
        <a:ext cx="7105650" cy="38290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 editAs="oneCell">
    <xdr:from>
      <xdr:col>2</xdr:col>
      <xdr:colOff>161925</xdr:colOff>
      <xdr:row>373</xdr:row>
      <xdr:rowOff>152400</xdr:rowOff>
    </xdr:from>
    <xdr:to>
      <xdr:col>3</xdr:col>
      <xdr:colOff>762000</xdr:colOff>
      <xdr:row>375</xdr:row>
      <xdr:rowOff>85725</xdr:rowOff>
    </xdr:to>
    <xdr:pic>
      <xdr:nvPicPr>
        <xdr:cNvPr id="47" name="Picture 16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847850" y="85420200"/>
          <a:ext cx="1466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493</xdr:row>
      <xdr:rowOff>66675</xdr:rowOff>
    </xdr:from>
    <xdr:to>
      <xdr:col>7</xdr:col>
      <xdr:colOff>47625</xdr:colOff>
      <xdr:row>505</xdr:row>
      <xdr:rowOff>180975</xdr:rowOff>
    </xdr:to>
    <xdr:pic>
      <xdr:nvPicPr>
        <xdr:cNvPr id="48" name="Picture 16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38175" y="112766475"/>
          <a:ext cx="5429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636</xdr:row>
      <xdr:rowOff>219075</xdr:rowOff>
    </xdr:from>
    <xdr:to>
      <xdr:col>5</xdr:col>
      <xdr:colOff>114300</xdr:colOff>
      <xdr:row>643</xdr:row>
      <xdr:rowOff>9525</xdr:rowOff>
    </xdr:to>
    <xdr:pic>
      <xdr:nvPicPr>
        <xdr:cNvPr id="49" name="Picture 17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838325" y="145608675"/>
          <a:ext cx="2562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720</xdr:row>
      <xdr:rowOff>123825</xdr:rowOff>
    </xdr:from>
    <xdr:to>
      <xdr:col>3</xdr:col>
      <xdr:colOff>38100</xdr:colOff>
      <xdr:row>722</xdr:row>
      <xdr:rowOff>114300</xdr:rowOff>
    </xdr:to>
    <xdr:pic>
      <xdr:nvPicPr>
        <xdr:cNvPr id="50" name="Picture 17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704975" y="16471582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724</xdr:row>
      <xdr:rowOff>133350</xdr:rowOff>
    </xdr:from>
    <xdr:to>
      <xdr:col>3</xdr:col>
      <xdr:colOff>57150</xdr:colOff>
      <xdr:row>726</xdr:row>
      <xdr:rowOff>123825</xdr:rowOff>
    </xdr:to>
    <xdr:pic>
      <xdr:nvPicPr>
        <xdr:cNvPr id="51" name="Picture 17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638300" y="1656397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9</xdr:row>
      <xdr:rowOff>114300</xdr:rowOff>
    </xdr:from>
    <xdr:to>
      <xdr:col>5</xdr:col>
      <xdr:colOff>238125</xdr:colOff>
      <xdr:row>20</xdr:row>
      <xdr:rowOff>104775</xdr:rowOff>
    </xdr:to>
    <xdr:grpSp>
      <xdr:nvGrpSpPr>
        <xdr:cNvPr id="52" name="Group 215"/>
        <xdr:cNvGrpSpPr>
          <a:grpSpLocks/>
        </xdr:cNvGrpSpPr>
      </xdr:nvGrpSpPr>
      <xdr:grpSpPr>
        <a:xfrm>
          <a:off x="581025" y="2171700"/>
          <a:ext cx="3943350" cy="2505075"/>
          <a:chOff x="22" y="349"/>
          <a:chExt cx="332" cy="263"/>
        </a:xfrm>
        <a:solidFill>
          <a:srgbClr val="FFFFFF"/>
        </a:solidFill>
      </xdr:grpSpPr>
      <xdr:sp>
        <xdr:nvSpPr>
          <xdr:cNvPr id="53" name="Line 182"/>
          <xdr:cNvSpPr>
            <a:spLocks/>
          </xdr:cNvSpPr>
        </xdr:nvSpPr>
        <xdr:spPr>
          <a:xfrm>
            <a:off x="49" y="440"/>
            <a:ext cx="0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54" name="Group 214"/>
          <xdr:cNvGrpSpPr>
            <a:grpSpLocks/>
          </xdr:cNvGrpSpPr>
        </xdr:nvGrpSpPr>
        <xdr:grpSpPr>
          <a:xfrm>
            <a:off x="22" y="349"/>
            <a:ext cx="332" cy="263"/>
            <a:chOff x="22" y="349"/>
            <a:chExt cx="332" cy="263"/>
          </a:xfrm>
          <a:solidFill>
            <a:srgbClr val="FFFFFF"/>
          </a:solidFill>
        </xdr:grpSpPr>
        <xdr:grpSp>
          <xdr:nvGrpSpPr>
            <xdr:cNvPr id="55" name="Group 213"/>
            <xdr:cNvGrpSpPr>
              <a:grpSpLocks/>
            </xdr:cNvGrpSpPr>
          </xdr:nvGrpSpPr>
          <xdr:grpSpPr>
            <a:xfrm>
              <a:off x="23" y="440"/>
              <a:ext cx="161" cy="172"/>
              <a:chOff x="23" y="440"/>
              <a:chExt cx="161" cy="172"/>
            </a:xfrm>
            <a:solidFill>
              <a:srgbClr val="FFFFFF"/>
            </a:solidFill>
          </xdr:grpSpPr>
          <xdr:sp>
            <xdr:nvSpPr>
              <xdr:cNvPr id="56" name="Polygon 177"/>
              <xdr:cNvSpPr>
                <a:spLocks/>
              </xdr:cNvSpPr>
            </xdr:nvSpPr>
            <xdr:spPr>
              <a:xfrm>
                <a:off x="76" y="440"/>
                <a:ext cx="108" cy="141"/>
              </a:xfrm>
              <a:custGeom>
                <a:pathLst>
                  <a:path h="141" w="108">
                    <a:moveTo>
                      <a:pt x="108" y="0"/>
                    </a:moveTo>
                    <a:lnTo>
                      <a:pt x="54" y="141"/>
                    </a:lnTo>
                    <a:lnTo>
                      <a:pt x="0" y="141"/>
                    </a:lnTo>
                    <a:lnTo>
                      <a:pt x="0" y="127"/>
                    </a:lnTo>
                    <a:lnTo>
                      <a:pt x="27" y="118"/>
                    </a:lnTo>
                    <a:lnTo>
                      <a:pt x="95" y="0"/>
                    </a:lnTo>
                    <a:lnTo>
                      <a:pt x="108" y="0"/>
                    </a:lnTo>
                    <a:close/>
                  </a:path>
                </a:pathLst>
              </a:custGeom>
              <a:solidFill>
                <a:srgbClr val="EAEAEA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grpSp>
            <xdr:nvGrpSpPr>
              <xdr:cNvPr id="57" name="Group 211"/>
              <xdr:cNvGrpSpPr>
                <a:grpSpLocks/>
              </xdr:cNvGrpSpPr>
            </xdr:nvGrpSpPr>
            <xdr:grpSpPr>
              <a:xfrm>
                <a:off x="23" y="527"/>
                <a:ext cx="108" cy="85"/>
                <a:chOff x="23" y="527"/>
                <a:chExt cx="108" cy="85"/>
              </a:xfrm>
              <a:solidFill>
                <a:srgbClr val="FFFFFF"/>
              </a:solidFill>
            </xdr:grpSpPr>
            <xdr:sp>
              <xdr:nvSpPr>
                <xdr:cNvPr id="58" name="Line 187"/>
                <xdr:cNvSpPr>
                  <a:spLocks/>
                </xdr:cNvSpPr>
              </xdr:nvSpPr>
              <xdr:spPr>
                <a:xfrm flipH="1">
                  <a:off x="46" y="568"/>
                  <a:ext cx="3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59" name="Line 188"/>
                <xdr:cNvSpPr>
                  <a:spLocks/>
                </xdr:cNvSpPr>
              </xdr:nvSpPr>
              <xdr:spPr>
                <a:xfrm flipH="1">
                  <a:off x="46" y="558"/>
                  <a:ext cx="5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0" name="Line 189"/>
                <xdr:cNvSpPr>
                  <a:spLocks/>
                </xdr:cNvSpPr>
              </xdr:nvSpPr>
              <xdr:spPr>
                <a:xfrm flipH="1">
                  <a:off x="23" y="581"/>
                  <a:ext cx="53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1" name="Line 190"/>
                <xdr:cNvSpPr>
                  <a:spLocks/>
                </xdr:cNvSpPr>
              </xdr:nvSpPr>
              <xdr:spPr>
                <a:xfrm>
                  <a:off x="76" y="581"/>
                  <a:ext cx="0" cy="3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2" name="Line 191"/>
                <xdr:cNvSpPr>
                  <a:spLocks/>
                </xdr:cNvSpPr>
              </xdr:nvSpPr>
              <xdr:spPr>
                <a:xfrm>
                  <a:off x="131" y="581"/>
                  <a:ext cx="0" cy="3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3" name="Line 192"/>
                <xdr:cNvSpPr>
                  <a:spLocks/>
                </xdr:cNvSpPr>
              </xdr:nvSpPr>
              <xdr:spPr>
                <a:xfrm flipV="1">
                  <a:off x="103" y="527"/>
                  <a:ext cx="0" cy="3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4" name="Line 193"/>
                <xdr:cNvSpPr>
                  <a:spLocks/>
                </xdr:cNvSpPr>
              </xdr:nvSpPr>
              <xdr:spPr>
                <a:xfrm flipV="1">
                  <a:off x="76" y="527"/>
                  <a:ext cx="0" cy="4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5" name="Line 194"/>
                <xdr:cNvSpPr>
                  <a:spLocks/>
                </xdr:cNvSpPr>
              </xdr:nvSpPr>
              <xdr:spPr>
                <a:xfrm flipH="1">
                  <a:off x="76" y="532"/>
                  <a:ext cx="2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6" name="Line 195"/>
                <xdr:cNvSpPr>
                  <a:spLocks/>
                </xdr:cNvSpPr>
              </xdr:nvSpPr>
              <xdr:spPr>
                <a:xfrm flipH="1">
                  <a:off x="76" y="609"/>
                  <a:ext cx="5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7" name="Line 196"/>
                <xdr:cNvSpPr>
                  <a:spLocks/>
                </xdr:cNvSpPr>
              </xdr:nvSpPr>
              <xdr:spPr>
                <a:xfrm>
                  <a:off x="49" y="568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</xdr:grpSp>
        </xdr:grpSp>
        <xdr:grpSp>
          <xdr:nvGrpSpPr>
            <xdr:cNvPr id="68" name="Group 212"/>
            <xdr:cNvGrpSpPr>
              <a:grpSpLocks/>
            </xdr:cNvGrpSpPr>
          </xdr:nvGrpSpPr>
          <xdr:grpSpPr>
            <a:xfrm>
              <a:off x="22" y="349"/>
              <a:ext cx="332" cy="233"/>
              <a:chOff x="22" y="349"/>
              <a:chExt cx="332" cy="233"/>
            </a:xfrm>
            <a:solidFill>
              <a:srgbClr val="FFFFFF"/>
            </a:solidFill>
          </xdr:grpSpPr>
          <xdr:sp>
            <xdr:nvSpPr>
              <xdr:cNvPr id="69" name="Polygon 178"/>
              <xdr:cNvSpPr>
                <a:spLocks/>
              </xdr:cNvSpPr>
            </xdr:nvSpPr>
            <xdr:spPr>
              <a:xfrm>
                <a:off x="185" y="371"/>
                <a:ext cx="169" cy="69"/>
              </a:xfrm>
              <a:custGeom>
                <a:pathLst>
                  <a:path h="69" w="169">
                    <a:moveTo>
                      <a:pt x="0" y="69"/>
                    </a:moveTo>
                    <a:lnTo>
                      <a:pt x="96" y="0"/>
                    </a:lnTo>
                    <a:lnTo>
                      <a:pt x="169" y="0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0" name="Line 179"/>
              <xdr:cNvSpPr>
                <a:spLocks/>
              </xdr:cNvSpPr>
            </xdr:nvSpPr>
            <xdr:spPr>
              <a:xfrm flipV="1">
                <a:off x="171" y="410"/>
                <a:ext cx="0" cy="3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1" name="Line 180"/>
              <xdr:cNvSpPr>
                <a:spLocks/>
              </xdr:cNvSpPr>
            </xdr:nvSpPr>
            <xdr:spPr>
              <a:xfrm flipV="1">
                <a:off x="184" y="409"/>
                <a:ext cx="0" cy="3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2" name="Line 181"/>
              <xdr:cNvSpPr>
                <a:spLocks/>
              </xdr:cNvSpPr>
            </xdr:nvSpPr>
            <xdr:spPr>
              <a:xfrm flipH="1">
                <a:off x="170" y="412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3" name="Line 183"/>
              <xdr:cNvSpPr>
                <a:spLocks/>
              </xdr:cNvSpPr>
            </xdr:nvSpPr>
            <xdr:spPr>
              <a:xfrm>
                <a:off x="27" y="371"/>
                <a:ext cx="0" cy="6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4" name="Line 184"/>
              <xdr:cNvSpPr>
                <a:spLocks/>
              </xdr:cNvSpPr>
            </xdr:nvSpPr>
            <xdr:spPr>
              <a:xfrm>
                <a:off x="27" y="440"/>
                <a:ext cx="0" cy="14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5" name="Line 185"/>
              <xdr:cNvSpPr>
                <a:spLocks/>
              </xdr:cNvSpPr>
            </xdr:nvSpPr>
            <xdr:spPr>
              <a:xfrm flipH="1">
                <a:off x="22" y="440"/>
                <a:ext cx="14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6" name="Line 186"/>
              <xdr:cNvSpPr>
                <a:spLocks/>
              </xdr:cNvSpPr>
            </xdr:nvSpPr>
            <xdr:spPr>
              <a:xfrm flipH="1">
                <a:off x="22" y="371"/>
                <a:ext cx="26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7" name="Line 197"/>
              <xdr:cNvSpPr>
                <a:spLocks/>
              </xdr:cNvSpPr>
            </xdr:nvSpPr>
            <xdr:spPr>
              <a:xfrm>
                <a:off x="285" y="349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8" name="Line 198"/>
              <xdr:cNvSpPr>
                <a:spLocks/>
              </xdr:cNvSpPr>
            </xdr:nvSpPr>
            <xdr:spPr>
              <a:xfrm>
                <a:off x="303" y="349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79" name="Line 199"/>
              <xdr:cNvSpPr>
                <a:spLocks/>
              </xdr:cNvSpPr>
            </xdr:nvSpPr>
            <xdr:spPr>
              <a:xfrm>
                <a:off x="321" y="349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0" name="Line 200"/>
              <xdr:cNvSpPr>
                <a:spLocks/>
              </xdr:cNvSpPr>
            </xdr:nvSpPr>
            <xdr:spPr>
              <a:xfrm>
                <a:off x="339" y="349"/>
                <a:ext cx="0" cy="2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114300</xdr:colOff>
      <xdr:row>8</xdr:row>
      <xdr:rowOff>123825</xdr:rowOff>
    </xdr:from>
    <xdr:to>
      <xdr:col>5</xdr:col>
      <xdr:colOff>342900</xdr:colOff>
      <xdr:row>9</xdr:row>
      <xdr:rowOff>85725</xdr:rowOff>
    </xdr:to>
    <xdr:sp textlink="$R$39">
      <xdr:nvSpPr>
        <xdr:cNvPr id="81" name="TextBox 201"/>
        <xdr:cNvSpPr txBox="1">
          <a:spLocks noChangeArrowheads="1"/>
        </xdr:cNvSpPr>
      </xdr:nvSpPr>
      <xdr:spPr>
        <a:xfrm>
          <a:off x="3533775" y="1952625"/>
          <a:ext cx="1095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c2ea509a-186a-46c9-93d8-aa0d977c4f1f}" type="TxLink">
            <a:rPr lang="en-US" cap="none" sz="1100" b="0" i="0" u="none" baseline="0"/>
            <a:t>q=10kN/m2</a:t>
          </a:fld>
        </a:p>
      </xdr:txBody>
    </xdr:sp>
    <xdr:clientData/>
  </xdr:twoCellAnchor>
  <xdr:twoCellAnchor>
    <xdr:from>
      <xdr:col>2</xdr:col>
      <xdr:colOff>371475</xdr:colOff>
      <xdr:row>11</xdr:row>
      <xdr:rowOff>0</xdr:rowOff>
    </xdr:from>
    <xdr:to>
      <xdr:col>3</xdr:col>
      <xdr:colOff>590550</xdr:colOff>
      <xdr:row>11</xdr:row>
      <xdr:rowOff>190500</xdr:rowOff>
    </xdr:to>
    <xdr:sp textlink="$R$12">
      <xdr:nvSpPr>
        <xdr:cNvPr id="82" name="TextBox 202"/>
        <xdr:cNvSpPr txBox="1">
          <a:spLocks noChangeArrowheads="1"/>
        </xdr:cNvSpPr>
      </xdr:nvSpPr>
      <xdr:spPr>
        <a:xfrm>
          <a:off x="2057400" y="2514600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3a8328-119f-47c2-ac39-77a6e301a841}" type="TxLink">
            <a:rPr lang="en-US" cap="none" sz="1100" b="0" i="0" u="none" baseline="0"/>
            <a:t>bu=0.894m</a:t>
          </a:fld>
        </a:p>
      </xdr:txBody>
    </xdr:sp>
    <xdr:clientData/>
  </xdr:twoCellAnchor>
  <xdr:twoCellAnchor>
    <xdr:from>
      <xdr:col>2</xdr:col>
      <xdr:colOff>542925</xdr:colOff>
      <xdr:row>15</xdr:row>
      <xdr:rowOff>200025</xdr:rowOff>
    </xdr:from>
    <xdr:to>
      <xdr:col>3</xdr:col>
      <xdr:colOff>771525</xdr:colOff>
      <xdr:row>16</xdr:row>
      <xdr:rowOff>161925</xdr:rowOff>
    </xdr:to>
    <xdr:sp textlink="$S$10">
      <xdr:nvSpPr>
        <xdr:cNvPr id="83" name="TextBox 203"/>
        <xdr:cNvSpPr txBox="1">
          <a:spLocks noChangeArrowheads="1"/>
        </xdr:cNvSpPr>
      </xdr:nvSpPr>
      <xdr:spPr>
        <a:xfrm>
          <a:off x="2228850" y="3629025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188d534-fa81-400d-bdb9-6eea317bc1d1}" type="TxLink">
            <a:rPr lang="en-US" cap="none" sz="1100" b="0" i="0" u="none" baseline="0"/>
            <a:t>1: 0.5</a:t>
          </a:fld>
        </a:p>
      </xdr:txBody>
    </xdr:sp>
    <xdr:clientData/>
  </xdr:twoCellAnchor>
  <xdr:twoCellAnchor>
    <xdr:from>
      <xdr:col>1</xdr:col>
      <xdr:colOff>666750</xdr:colOff>
      <xdr:row>14</xdr:row>
      <xdr:rowOff>19050</xdr:rowOff>
    </xdr:from>
    <xdr:to>
      <xdr:col>3</xdr:col>
      <xdr:colOff>66675</xdr:colOff>
      <xdr:row>14</xdr:row>
      <xdr:rowOff>219075</xdr:rowOff>
    </xdr:to>
    <xdr:sp textlink="$S$9">
      <xdr:nvSpPr>
        <xdr:cNvPr id="84" name="TextBox 204"/>
        <xdr:cNvSpPr txBox="1">
          <a:spLocks noChangeArrowheads="1"/>
        </xdr:cNvSpPr>
      </xdr:nvSpPr>
      <xdr:spPr>
        <a:xfrm>
          <a:off x="1533525" y="3219450"/>
          <a:ext cx="108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7b0bb7-54ef-47a6-8514-9a937156ce6b}" type="TxLink">
            <a:rPr lang="en-US" cap="none" sz="1100" b="0" i="0" u="none" baseline="0"/>
            <a:t>1: 0.5</a:t>
          </a:fld>
        </a:p>
      </xdr:txBody>
    </xdr:sp>
    <xdr:clientData/>
  </xdr:twoCellAnchor>
  <xdr:twoCellAnchor>
    <xdr:from>
      <xdr:col>0</xdr:col>
      <xdr:colOff>152400</xdr:colOff>
      <xdr:row>11</xdr:row>
      <xdr:rowOff>95250</xdr:rowOff>
    </xdr:from>
    <xdr:to>
      <xdr:col>1</xdr:col>
      <xdr:colOff>381000</xdr:colOff>
      <xdr:row>12</xdr:row>
      <xdr:rowOff>57150</xdr:rowOff>
    </xdr:to>
    <xdr:sp textlink="$R$32">
      <xdr:nvSpPr>
        <xdr:cNvPr id="85" name="TextBox 205"/>
        <xdr:cNvSpPr txBox="1">
          <a:spLocks noChangeArrowheads="1"/>
        </xdr:cNvSpPr>
      </xdr:nvSpPr>
      <xdr:spPr>
        <a:xfrm>
          <a:off x="152400" y="2609850"/>
          <a:ext cx="1095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3c2c3211-b9db-4e8e-b856-8e75f41f1dd9}" type="TxLink">
            <a:rPr lang="en-US" cap="none" sz="1100" b="0" i="0" u="none" baseline="0"/>
            <a:t>H0=0m</a:t>
          </a:fld>
        </a:p>
      </xdr:txBody>
    </xdr:sp>
    <xdr:clientData/>
  </xdr:twoCellAnchor>
  <xdr:twoCellAnchor>
    <xdr:from>
      <xdr:col>0</xdr:col>
      <xdr:colOff>85725</xdr:colOff>
      <xdr:row>15</xdr:row>
      <xdr:rowOff>95250</xdr:rowOff>
    </xdr:from>
    <xdr:to>
      <xdr:col>1</xdr:col>
      <xdr:colOff>85725</xdr:colOff>
      <xdr:row>16</xdr:row>
      <xdr:rowOff>57150</xdr:rowOff>
    </xdr:to>
    <xdr:sp textlink="$R$9">
      <xdr:nvSpPr>
        <xdr:cNvPr id="86" name="TextBox 206"/>
        <xdr:cNvSpPr txBox="1">
          <a:spLocks noChangeArrowheads="1"/>
        </xdr:cNvSpPr>
      </xdr:nvSpPr>
      <xdr:spPr>
        <a:xfrm>
          <a:off x="85725" y="352425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ebede7-4468-4ab0-8a48-47d387563f84}" type="TxLink">
            <a:rPr lang="en-US" cap="none" sz="1100" b="0" i="0" u="none" baseline="0"/>
            <a:t>H=8m</a:t>
          </a:fld>
        </a:p>
      </xdr:txBody>
    </xdr:sp>
    <xdr:clientData/>
  </xdr:twoCellAnchor>
  <xdr:twoCellAnchor>
    <xdr:from>
      <xdr:col>0</xdr:col>
      <xdr:colOff>676275</xdr:colOff>
      <xdr:row>15</xdr:row>
      <xdr:rowOff>0</xdr:rowOff>
    </xdr:from>
    <xdr:to>
      <xdr:col>2</xdr:col>
      <xdr:colOff>85725</xdr:colOff>
      <xdr:row>15</xdr:row>
      <xdr:rowOff>190500</xdr:rowOff>
    </xdr:to>
    <xdr:sp textlink="$R$10">
      <xdr:nvSpPr>
        <xdr:cNvPr id="87" name="TextBox 207"/>
        <xdr:cNvSpPr txBox="1">
          <a:spLocks noChangeArrowheads="1"/>
        </xdr:cNvSpPr>
      </xdr:nvSpPr>
      <xdr:spPr>
        <a:xfrm>
          <a:off x="676275" y="3429000"/>
          <a:ext cx="1095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01caf9bd-7644-4657-9d77-5d3729406a8a}" type="TxLink">
            <a:rPr lang="en-US" cap="none" sz="1100" b="0" i="0" u="none" baseline="0"/>
            <a:t>Hw=8m</a:t>
          </a:fld>
        </a:p>
      </xdr:txBody>
    </xdr:sp>
    <xdr:clientData/>
  </xdr:twoCellAnchor>
  <xdr:twoCellAnchor>
    <xdr:from>
      <xdr:col>1</xdr:col>
      <xdr:colOff>152400</xdr:colOff>
      <xdr:row>16</xdr:row>
      <xdr:rowOff>19050</xdr:rowOff>
    </xdr:from>
    <xdr:to>
      <xdr:col>2</xdr:col>
      <xdr:colOff>428625</xdr:colOff>
      <xdr:row>16</xdr:row>
      <xdr:rowOff>209550</xdr:rowOff>
    </xdr:to>
    <xdr:sp textlink="$R$13">
      <xdr:nvSpPr>
        <xdr:cNvPr id="88" name="TextBox 208"/>
        <xdr:cNvSpPr txBox="1">
          <a:spLocks noChangeArrowheads="1"/>
        </xdr:cNvSpPr>
      </xdr:nvSpPr>
      <xdr:spPr>
        <a:xfrm>
          <a:off x="1019175" y="36766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1911413-c693-401d-83cf-60c3f2a1a45b}" type="TxLink">
            <a:rPr lang="en-US" cap="none" sz="1100" b="0" i="0" u="none" baseline="0"/>
            <a:t>Bt=0m</a:t>
          </a:fld>
        </a:p>
      </xdr:txBody>
    </xdr:sp>
    <xdr:clientData/>
  </xdr:twoCellAnchor>
  <xdr:twoCellAnchor>
    <xdr:from>
      <xdr:col>1</xdr:col>
      <xdr:colOff>371475</xdr:colOff>
      <xdr:row>19</xdr:row>
      <xdr:rowOff>95250</xdr:rowOff>
    </xdr:from>
    <xdr:to>
      <xdr:col>2</xdr:col>
      <xdr:colOff>638175</xdr:colOff>
      <xdr:row>20</xdr:row>
      <xdr:rowOff>57150</xdr:rowOff>
    </xdr:to>
    <xdr:sp textlink="$R$14">
      <xdr:nvSpPr>
        <xdr:cNvPr id="89" name="TextBox 209"/>
        <xdr:cNvSpPr txBox="1">
          <a:spLocks noChangeArrowheads="1"/>
        </xdr:cNvSpPr>
      </xdr:nvSpPr>
      <xdr:spPr>
        <a:xfrm>
          <a:off x="1238250" y="4438650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645d467-f6da-4650-8950-8610b96afb87}" type="TxLink">
            <a:rPr lang="en-US" cap="none" sz="1100" b="0" i="0" u="none" baseline="0"/>
            <a:t>B=0.894m</a:t>
          </a:fld>
        </a:p>
      </xdr:txBody>
    </xdr:sp>
    <xdr:clientData/>
  </xdr:twoCellAnchor>
  <xdr:twoCellAnchor>
    <xdr:from>
      <xdr:col>0</xdr:col>
      <xdr:colOff>304800</xdr:colOff>
      <xdr:row>19</xdr:row>
      <xdr:rowOff>95250</xdr:rowOff>
    </xdr:from>
    <xdr:to>
      <xdr:col>1</xdr:col>
      <xdr:colOff>533400</xdr:colOff>
      <xdr:row>20</xdr:row>
      <xdr:rowOff>57150</xdr:rowOff>
    </xdr:to>
    <xdr:sp textlink="$R$11">
      <xdr:nvSpPr>
        <xdr:cNvPr id="90" name="TextBox 210"/>
        <xdr:cNvSpPr txBox="1">
          <a:spLocks noChangeArrowheads="1"/>
        </xdr:cNvSpPr>
      </xdr:nvSpPr>
      <xdr:spPr>
        <a:xfrm>
          <a:off x="304800" y="4438650"/>
          <a:ext cx="1095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46f8ea-37b5-4486-afaf-34129f648547}" type="TxLink">
            <a:rPr lang="en-US" cap="none" sz="1100" b="0" i="0" u="none" baseline="0"/>
            <a:t>Hf=0m</a:t>
          </a:fld>
        </a:p>
      </xdr:txBody>
    </xdr:sp>
    <xdr:clientData/>
  </xdr:twoCellAnchor>
  <xdr:twoCellAnchor>
    <xdr:from>
      <xdr:col>3</xdr:col>
      <xdr:colOff>228600</xdr:colOff>
      <xdr:row>10</xdr:row>
      <xdr:rowOff>123825</xdr:rowOff>
    </xdr:from>
    <xdr:to>
      <xdr:col>4</xdr:col>
      <xdr:colOff>447675</xdr:colOff>
      <xdr:row>11</xdr:row>
      <xdr:rowOff>85725</xdr:rowOff>
    </xdr:to>
    <xdr:sp textlink="$R$33">
      <xdr:nvSpPr>
        <xdr:cNvPr id="91" name="TextBox 216"/>
        <xdr:cNvSpPr txBox="1">
          <a:spLocks noChangeArrowheads="1"/>
        </xdr:cNvSpPr>
      </xdr:nvSpPr>
      <xdr:spPr>
        <a:xfrm>
          <a:off x="2781300" y="2409825"/>
          <a:ext cx="1085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7bcc551-750c-4a1d-8272-eb9478a96b34}" type="TxLink">
            <a:rPr lang="en-US" cap="none" sz="1100" b="0" i="0" u="none" baseline="0"/>
            <a:t>1: 1.5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L48"/>
  <sheetViews>
    <sheetView showGridLines="0" showRowColHeaders="0" tabSelected="1" workbookViewId="0" topLeftCell="A1">
      <selection activeCell="D25" sqref="D25"/>
    </sheetView>
  </sheetViews>
  <sheetFormatPr defaultColWidth="9" defaultRowHeight="14.25"/>
  <cols>
    <col min="1" max="21" width="9" style="215" customWidth="1"/>
    <col min="22" max="22" width="2.3984375" style="215" customWidth="1"/>
    <col min="23" max="27" width="9" style="215" customWidth="1"/>
    <col min="28" max="28" width="9.19921875" style="215" bestFit="1" customWidth="1"/>
    <col min="29" max="29" width="15.09765625" style="215" customWidth="1"/>
    <col min="30" max="30" width="11.5" style="215" customWidth="1"/>
    <col min="31" max="61" width="9" style="215" customWidth="1"/>
    <col min="62" max="62" width="8.8984375" style="215" customWidth="1"/>
    <col min="63" max="63" width="13.09765625" style="215" customWidth="1"/>
    <col min="64" max="16384" width="9" style="215" customWidth="1"/>
  </cols>
  <sheetData>
    <row r="1" spans="1:62" ht="15">
      <c r="A1" s="214" t="s">
        <v>169</v>
      </c>
      <c r="B1" s="214"/>
      <c r="C1" s="214"/>
      <c r="D1" s="214"/>
      <c r="E1" s="214"/>
      <c r="F1" s="214"/>
      <c r="G1" s="214"/>
      <c r="H1" s="214"/>
      <c r="I1" s="214"/>
      <c r="J1" s="214"/>
      <c r="K1" s="214" t="str">
        <f>"q="&amp;q&amp;"kN/m2"</f>
        <v>q=10kN/m2</v>
      </c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</row>
    <row r="2" spans="1:64" ht="15">
      <c r="A2" s="214"/>
      <c r="B2" s="216" t="s">
        <v>16</v>
      </c>
      <c r="C2" s="217" t="s">
        <v>17</v>
      </c>
      <c r="D2" s="209">
        <v>8</v>
      </c>
      <c r="E2" s="214" t="s">
        <v>18</v>
      </c>
      <c r="F2" s="218"/>
      <c r="G2" s="234" t="str">
        <f>'計算'!C2</f>
        <v>常　時</v>
      </c>
      <c r="H2" s="214"/>
      <c r="I2" s="214"/>
      <c r="J2" s="214"/>
      <c r="K2" s="214"/>
      <c r="L2" s="214"/>
      <c r="M2" s="214"/>
      <c r="N2" s="218" t="s">
        <v>19</v>
      </c>
      <c r="O2" s="219"/>
      <c r="P2" s="219"/>
      <c r="Q2" s="220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15"/>
      <c r="BJ2" s="15"/>
      <c r="BK2" s="247"/>
      <c r="BL2" s="247"/>
    </row>
    <row r="3" spans="1:64" ht="16.5">
      <c r="A3" s="214"/>
      <c r="B3" s="216" t="s">
        <v>20</v>
      </c>
      <c r="C3" s="217" t="s">
        <v>380</v>
      </c>
      <c r="D3" s="209">
        <v>8</v>
      </c>
      <c r="E3" s="214" t="s">
        <v>18</v>
      </c>
      <c r="F3" s="214"/>
      <c r="G3" s="214"/>
      <c r="H3" s="214"/>
      <c r="I3" s="214"/>
      <c r="J3" s="214"/>
      <c r="K3" s="214"/>
      <c r="L3" s="214"/>
      <c r="M3" s="214"/>
      <c r="N3" s="290" t="s">
        <v>21</v>
      </c>
      <c r="O3" s="291"/>
      <c r="P3" s="221" t="s">
        <v>22</v>
      </c>
      <c r="Q3" s="222" t="s">
        <v>23</v>
      </c>
      <c r="R3" s="222" t="s">
        <v>24</v>
      </c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15"/>
      <c r="BJ3" s="15" t="str">
        <f>"H="&amp;H&amp;"m"</f>
        <v>H=8m</v>
      </c>
      <c r="BK3" s="247" t="str">
        <f>"γ="&amp;γ&amp;"kN/m3"</f>
        <v>γ=20kN/m3</v>
      </c>
      <c r="BL3" s="247"/>
    </row>
    <row r="4" spans="1:64" ht="16.5">
      <c r="A4" s="214"/>
      <c r="B4" s="216" t="s">
        <v>25</v>
      </c>
      <c r="C4" s="217" t="s">
        <v>381</v>
      </c>
      <c r="D4" s="209">
        <v>0</v>
      </c>
      <c r="E4" s="214" t="s">
        <v>18</v>
      </c>
      <c r="F4" s="219"/>
      <c r="G4" s="223"/>
      <c r="H4" s="214"/>
      <c r="I4" s="214"/>
      <c r="J4" s="214"/>
      <c r="K4" s="214"/>
      <c r="L4" s="214"/>
      <c r="M4" s="214"/>
      <c r="N4" s="288" t="s">
        <v>26</v>
      </c>
      <c r="O4" s="224" t="s">
        <v>27</v>
      </c>
      <c r="P4" s="225">
        <f>'計算'!D360</f>
        <v>2.191183053813845</v>
      </c>
      <c r="Q4" s="226">
        <f>'計算'!F360</f>
        <v>1.5</v>
      </c>
      <c r="R4" s="227" t="str">
        <f>'計算'!H360</f>
        <v>SAFE</v>
      </c>
      <c r="S4" s="219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15"/>
      <c r="BJ4" s="15" t="str">
        <f>"Ho="&amp;Ho&amp;"m"</f>
        <v>Ho=0m</v>
      </c>
      <c r="BK4" s="247" t="str">
        <f>"φ="&amp;D13&amp;"゜"</f>
        <v>φ=35゜</v>
      </c>
      <c r="BL4" s="247"/>
    </row>
    <row r="5" spans="1:64" ht="16.5">
      <c r="A5" s="214"/>
      <c r="B5" s="216" t="s">
        <v>28</v>
      </c>
      <c r="C5" s="217" t="s">
        <v>382</v>
      </c>
      <c r="D5" s="209">
        <v>0.894</v>
      </c>
      <c r="E5" s="214" t="s">
        <v>18</v>
      </c>
      <c r="F5" s="219"/>
      <c r="G5" s="223"/>
      <c r="H5" s="214"/>
      <c r="I5" s="214"/>
      <c r="J5" s="214"/>
      <c r="K5" s="214"/>
      <c r="L5" s="214"/>
      <c r="M5" s="214"/>
      <c r="N5" s="289"/>
      <c r="O5" s="228" t="s">
        <v>29</v>
      </c>
      <c r="P5" s="229">
        <f>'計算'!D354</f>
        <v>0.1117711184593923</v>
      </c>
      <c r="Q5" s="230">
        <f>'計算'!F354</f>
        <v>0.5</v>
      </c>
      <c r="R5" s="231" t="str">
        <f>'計算'!H354</f>
        <v>SAFE</v>
      </c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15"/>
      <c r="BJ5" s="15" t="str">
        <f>"Bt="&amp;bt&amp;"m"</f>
        <v>Bt=0m</v>
      </c>
      <c r="BK5" s="247" t="str">
        <f>"c="&amp;cu&amp;"kN/m2"</f>
        <v>c=0kN/m2</v>
      </c>
      <c r="BL5" s="247"/>
    </row>
    <row r="6" spans="1:64" ht="16.5">
      <c r="A6" s="214"/>
      <c r="B6" s="216" t="s">
        <v>30</v>
      </c>
      <c r="C6" s="217" t="s">
        <v>383</v>
      </c>
      <c r="D6" s="209">
        <v>0</v>
      </c>
      <c r="E6" s="214" t="s">
        <v>18</v>
      </c>
      <c r="F6" s="219"/>
      <c r="G6" s="223"/>
      <c r="H6" s="214"/>
      <c r="I6" s="214"/>
      <c r="J6" s="214"/>
      <c r="K6" s="214"/>
      <c r="L6" s="214"/>
      <c r="M6" s="214"/>
      <c r="N6" s="224" t="s">
        <v>31</v>
      </c>
      <c r="O6" s="224" t="s">
        <v>27</v>
      </c>
      <c r="P6" s="229">
        <f>'計算'!E375</f>
        <v>1.43</v>
      </c>
      <c r="Q6" s="229">
        <f>'計算'!G375</f>
        <v>1.5</v>
      </c>
      <c r="R6" s="231" t="str">
        <f>IF(P6&gt;=Q6,"SAFE","OUT")</f>
        <v>OUT</v>
      </c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15"/>
      <c r="BJ6" s="15" t="str">
        <f>"B="&amp;B&amp;"m"</f>
        <v>B=0.894m</v>
      </c>
      <c r="BK6" s="247"/>
      <c r="BL6" s="247"/>
    </row>
    <row r="7" spans="1:64" ht="16.5">
      <c r="A7" s="214"/>
      <c r="B7" s="216" t="s">
        <v>32</v>
      </c>
      <c r="C7" s="219" t="s">
        <v>384</v>
      </c>
      <c r="D7" s="193">
        <v>0.5</v>
      </c>
      <c r="E7" s="214"/>
      <c r="F7" s="219"/>
      <c r="G7" s="223"/>
      <c r="H7" s="214"/>
      <c r="I7" s="214"/>
      <c r="J7" s="214"/>
      <c r="K7" s="214"/>
      <c r="L7" s="214"/>
      <c r="M7" s="214"/>
      <c r="N7" s="224" t="s">
        <v>33</v>
      </c>
      <c r="O7" s="224" t="s">
        <v>27</v>
      </c>
      <c r="P7" s="229">
        <f>'計算'!E381</f>
        <v>4.74</v>
      </c>
      <c r="Q7" s="229">
        <f>'計算'!G381</f>
        <v>3</v>
      </c>
      <c r="R7" s="231" t="str">
        <f>IF(P7&gt;=Q7,"SAFE","OUT")</f>
        <v>SAFE</v>
      </c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15"/>
      <c r="BJ7" s="15" t="str">
        <f>"bu="&amp;bu&amp;"m"</f>
        <v>bu=0.894m</v>
      </c>
      <c r="BK7" s="247" t="str">
        <f>"μ="&amp;μ</f>
        <v>μ=0.6</v>
      </c>
      <c r="BL7" s="247"/>
    </row>
    <row r="8" spans="1:64" ht="16.5">
      <c r="A8" s="214"/>
      <c r="B8" s="216" t="s">
        <v>34</v>
      </c>
      <c r="C8" s="219" t="s">
        <v>456</v>
      </c>
      <c r="D8" s="193">
        <v>0.5</v>
      </c>
      <c r="E8" s="214"/>
      <c r="F8" s="219"/>
      <c r="G8" s="223"/>
      <c r="H8" s="214"/>
      <c r="I8" s="214"/>
      <c r="J8" s="214"/>
      <c r="K8" s="214"/>
      <c r="L8" s="214"/>
      <c r="M8" s="214"/>
      <c r="N8" s="218" t="s">
        <v>367</v>
      </c>
      <c r="O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15"/>
      <c r="BJ8" s="15" t="str">
        <f>"Hf="&amp;Hf&amp;"m"</f>
        <v>Hf=0m</v>
      </c>
      <c r="BK8" s="247" t="str">
        <f>"qd="&amp;qd&amp;"kN/m2"</f>
        <v>qd=900kN/m2</v>
      </c>
      <c r="BL8" s="247"/>
    </row>
    <row r="9" spans="1:64" ht="16.5">
      <c r="A9" s="214"/>
      <c r="B9" s="216" t="s">
        <v>35</v>
      </c>
      <c r="C9" s="217" t="s">
        <v>203</v>
      </c>
      <c r="D9" s="193">
        <v>10</v>
      </c>
      <c r="E9" s="214" t="s">
        <v>18</v>
      </c>
      <c r="F9" s="219"/>
      <c r="G9" s="223"/>
      <c r="H9" s="214"/>
      <c r="I9" s="214"/>
      <c r="J9" s="214"/>
      <c r="K9" s="214"/>
      <c r="L9" s="214"/>
      <c r="M9" s="214"/>
      <c r="N9" s="290" t="s">
        <v>21</v>
      </c>
      <c r="O9" s="291"/>
      <c r="P9" s="221" t="s">
        <v>22</v>
      </c>
      <c r="Q9" s="222" t="s">
        <v>23</v>
      </c>
      <c r="R9" s="222" t="s">
        <v>24</v>
      </c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15"/>
      <c r="BJ9" s="15" t="str">
        <f>"Hw="&amp;Hw&amp;"m"</f>
        <v>Hw=8m</v>
      </c>
      <c r="BK9" s="247"/>
      <c r="BL9" s="247"/>
    </row>
    <row r="10" spans="1:64" ht="16.5">
      <c r="A10" s="214" t="s">
        <v>368</v>
      </c>
      <c r="B10" s="246" t="s">
        <v>36</v>
      </c>
      <c r="C10" s="217" t="s">
        <v>455</v>
      </c>
      <c r="D10" s="193">
        <v>0</v>
      </c>
      <c r="E10" s="214" t="s">
        <v>18</v>
      </c>
      <c r="F10" s="219"/>
      <c r="G10" s="223"/>
      <c r="H10" s="214"/>
      <c r="I10" s="214"/>
      <c r="J10" s="214"/>
      <c r="K10" s="214"/>
      <c r="L10" s="214"/>
      <c r="M10" s="214"/>
      <c r="N10" s="285" t="str">
        <f>IF('計算'!AR68=1,"たて壁　　(無筋)","たて壁　　　(鉄筋)")</f>
        <v>たて壁　　(無筋)</v>
      </c>
      <c r="O10" s="232" t="str">
        <f>IF('計算'!AR68=1,"圧縮応力","ｺﾝｸﾘｰﾄ")</f>
        <v>圧縮応力</v>
      </c>
      <c r="P10" s="233">
        <f>IF('計算'!AR68=1,'計算'!D615,'計算'!D672)</f>
        <v>0.19752348100693934</v>
      </c>
      <c r="Q10" s="227">
        <f>'計算'!G615</f>
        <v>4.5</v>
      </c>
      <c r="R10" s="227" t="str">
        <f>'計算'!I615</f>
        <v>SAFE</v>
      </c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15"/>
      <c r="BJ10" s="15" t="str">
        <f>"Df="&amp;Df&amp;"m"</f>
        <v>Df=0m</v>
      </c>
      <c r="BK10" s="247" t="str">
        <f>BL10</f>
        <v>無筋</v>
      </c>
      <c r="BL10" s="247" t="str">
        <f>IF(data!B21=1,"無筋","D"&amp;D32&amp;"@"&amp;D33&amp;"mm")</f>
        <v>無筋</v>
      </c>
    </row>
    <row r="11" spans="1:64" ht="15">
      <c r="A11" s="214"/>
      <c r="B11" s="216" t="s">
        <v>37</v>
      </c>
      <c r="C11" s="219" t="s">
        <v>204</v>
      </c>
      <c r="D11" s="193">
        <v>1.5</v>
      </c>
      <c r="E11" s="214"/>
      <c r="F11" s="219"/>
      <c r="G11" s="223"/>
      <c r="H11" s="214"/>
      <c r="I11" s="214"/>
      <c r="J11" s="214"/>
      <c r="K11" s="214"/>
      <c r="L11" s="214"/>
      <c r="M11" s="214"/>
      <c r="N11" s="286"/>
      <c r="O11" s="232" t="str">
        <f>IF('計算'!AR68=1,"引張応力","鉄筋")</f>
        <v>引張応力</v>
      </c>
      <c r="P11" s="233">
        <f>IF('計算'!AR68=1,ABS('計算'!D616),'計算'!D673)</f>
        <v>0.012477637923158867</v>
      </c>
      <c r="Q11" s="225">
        <f>IF('計算'!AR68=1,ABS('計算'!G616),σsa)</f>
        <v>0.225</v>
      </c>
      <c r="R11" s="227" t="str">
        <f>IF('計算'!AR68=1,'計算'!I616,'計算'!I673)</f>
        <v>SAFE</v>
      </c>
      <c r="S11" s="23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15"/>
      <c r="BJ11" s="15" t="str">
        <f>"1:"&amp;nf</f>
        <v>1:0.5</v>
      </c>
      <c r="BK11" s="247"/>
      <c r="BL11" s="247"/>
    </row>
    <row r="12" spans="1:64" ht="18">
      <c r="A12" s="214"/>
      <c r="B12" s="216" t="s">
        <v>38</v>
      </c>
      <c r="C12" s="235" t="s">
        <v>206</v>
      </c>
      <c r="D12" s="193">
        <v>20</v>
      </c>
      <c r="E12" s="214" t="s">
        <v>207</v>
      </c>
      <c r="F12" s="219"/>
      <c r="G12" s="223"/>
      <c r="H12" s="214"/>
      <c r="I12" s="214"/>
      <c r="J12" s="214"/>
      <c r="K12" s="214"/>
      <c r="L12" s="214"/>
      <c r="M12" s="214"/>
      <c r="N12" s="287"/>
      <c r="O12" s="232" t="s">
        <v>208</v>
      </c>
      <c r="P12" s="233">
        <f>'計算'!D617</f>
        <v>0.09269407900581324</v>
      </c>
      <c r="Q12" s="227">
        <f>'計算'!G617</f>
        <v>0.32999999999999996</v>
      </c>
      <c r="R12" s="227" t="str">
        <f>'計算'!I617</f>
        <v>SAFE</v>
      </c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15"/>
      <c r="BJ12" s="15" t="str">
        <f>"1:"&amp;nr</f>
        <v>1:0.5</v>
      </c>
      <c r="BK12" s="247"/>
      <c r="BL12" s="247"/>
    </row>
    <row r="13" spans="1:64" ht="15">
      <c r="A13" s="214"/>
      <c r="B13" s="216" t="s">
        <v>39</v>
      </c>
      <c r="C13" s="235" t="s">
        <v>209</v>
      </c>
      <c r="D13" s="194">
        <v>35</v>
      </c>
      <c r="E13" s="218" t="s">
        <v>40</v>
      </c>
      <c r="F13" s="219"/>
      <c r="G13" s="223"/>
      <c r="H13" s="214"/>
      <c r="I13" s="214"/>
      <c r="J13" s="214"/>
      <c r="K13" s="214"/>
      <c r="L13" s="214"/>
      <c r="M13" s="214"/>
      <c r="N13" s="285" t="s">
        <v>462</v>
      </c>
      <c r="O13" s="232" t="s">
        <v>385</v>
      </c>
      <c r="P13" s="233">
        <f>'計算'!D722</f>
        <v>0</v>
      </c>
      <c r="Q13" s="227">
        <f>'計算'!G722</f>
        <v>4.5</v>
      </c>
      <c r="R13" s="227" t="str">
        <f>'計算'!I722</f>
        <v>SAFE</v>
      </c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15"/>
      <c r="BJ13" s="15" t="str">
        <f>"1:"&amp;m</f>
        <v>1:1.5</v>
      </c>
      <c r="BK13" s="247"/>
      <c r="BL13" s="247"/>
    </row>
    <row r="14" spans="1:64" ht="18">
      <c r="A14" s="214"/>
      <c r="B14" s="216" t="s">
        <v>41</v>
      </c>
      <c r="C14" s="217" t="s">
        <v>42</v>
      </c>
      <c r="D14" s="193">
        <v>0</v>
      </c>
      <c r="E14" s="214" t="s">
        <v>210</v>
      </c>
      <c r="F14" s="219"/>
      <c r="G14" s="223"/>
      <c r="H14" s="214"/>
      <c r="I14" s="214"/>
      <c r="J14" s="214"/>
      <c r="K14" s="214"/>
      <c r="L14" s="214"/>
      <c r="M14" s="214"/>
      <c r="N14" s="286"/>
      <c r="O14" s="232" t="s">
        <v>205</v>
      </c>
      <c r="P14" s="233">
        <f>ABS('計算'!D726)</f>
        <v>0</v>
      </c>
      <c r="Q14" s="227">
        <f>ABS('計算'!G726)</f>
        <v>0.225</v>
      </c>
      <c r="R14" s="227" t="str">
        <f>'計算'!I726</f>
        <v>SAFE</v>
      </c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15"/>
      <c r="BJ14" s="15"/>
      <c r="BK14" s="247"/>
      <c r="BL14" s="247"/>
    </row>
    <row r="15" spans="1:64" ht="16.5">
      <c r="A15" s="214"/>
      <c r="B15" s="219" t="s">
        <v>211</v>
      </c>
      <c r="C15" s="217" t="s">
        <v>212</v>
      </c>
      <c r="D15" s="194">
        <v>10</v>
      </c>
      <c r="E15" s="214"/>
      <c r="F15" s="219"/>
      <c r="G15" s="223"/>
      <c r="H15" s="214"/>
      <c r="I15" s="214"/>
      <c r="J15" s="214"/>
      <c r="K15" s="214"/>
      <c r="L15" s="214"/>
      <c r="M15" s="214"/>
      <c r="N15" s="287"/>
      <c r="O15" s="232" t="s">
        <v>208</v>
      </c>
      <c r="P15" s="233">
        <f>'計算'!D730</f>
        <v>0</v>
      </c>
      <c r="Q15" s="227">
        <f>'計算'!G730</f>
        <v>0.32999999999999996</v>
      </c>
      <c r="R15" s="227" t="str">
        <f>'計算'!I730</f>
        <v>SAFE</v>
      </c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15"/>
      <c r="BJ15" s="15"/>
      <c r="BK15" s="247"/>
      <c r="BL15" s="247"/>
    </row>
    <row r="16" spans="1:64" ht="18">
      <c r="A16" s="214" t="s">
        <v>213</v>
      </c>
      <c r="B16" s="216" t="s">
        <v>47</v>
      </c>
      <c r="C16" s="217" t="s">
        <v>48</v>
      </c>
      <c r="D16" s="210">
        <v>10</v>
      </c>
      <c r="E16" s="214" t="s">
        <v>214</v>
      </c>
      <c r="F16" s="219"/>
      <c r="G16" s="223"/>
      <c r="H16" s="214"/>
      <c r="I16" s="214"/>
      <c r="J16" s="214"/>
      <c r="K16" s="214"/>
      <c r="L16" s="214"/>
      <c r="M16" s="214"/>
      <c r="N16" s="234">
        <f>IF(R11="OUT","たて壁を厚くするか，鉄筋コンクリートとして計算して下さい","")</f>
      </c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15"/>
      <c r="BJ16" s="15"/>
      <c r="BK16" s="247"/>
      <c r="BL16" s="247"/>
    </row>
    <row r="17" spans="1:64" ht="16.5">
      <c r="A17" s="214"/>
      <c r="B17" s="216" t="s">
        <v>49</v>
      </c>
      <c r="C17" s="217" t="s">
        <v>215</v>
      </c>
      <c r="D17" s="194">
        <v>0</v>
      </c>
      <c r="E17" s="214"/>
      <c r="F17" s="219"/>
      <c r="G17" s="223"/>
      <c r="H17" s="214"/>
      <c r="I17" s="214"/>
      <c r="J17" s="214"/>
      <c r="K17" s="214"/>
      <c r="L17" s="214"/>
      <c r="M17" s="214"/>
      <c r="N17" s="234">
        <f>IF(P14&gt;Q14,"つま先版を厚くして下さい",IF(P15&gt;Q15,"つま先版を厚くして下さい",""))</f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15"/>
      <c r="BJ17" s="15"/>
      <c r="BK17" s="247"/>
      <c r="BL17" s="247"/>
    </row>
    <row r="18" spans="1:28" ht="15">
      <c r="A18" s="214"/>
      <c r="B18" s="218" t="s">
        <v>50</v>
      </c>
      <c r="C18" s="214"/>
      <c r="D18" s="213"/>
      <c r="E18" s="214"/>
      <c r="F18" s="219"/>
      <c r="G18" s="223"/>
      <c r="H18" s="214"/>
      <c r="I18" s="214"/>
      <c r="J18" s="214"/>
      <c r="K18" s="214"/>
      <c r="L18" s="214"/>
      <c r="M18" s="214"/>
      <c r="N18" s="23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</row>
    <row r="19" spans="1:28" ht="16.5">
      <c r="A19" s="214" t="s">
        <v>216</v>
      </c>
      <c r="B19" s="219"/>
      <c r="C19" s="217" t="s">
        <v>217</v>
      </c>
      <c r="D19" s="194">
        <v>50</v>
      </c>
      <c r="E19" s="214"/>
      <c r="F19" s="219"/>
      <c r="G19" s="223"/>
      <c r="H19" s="214"/>
      <c r="I19" s="214"/>
      <c r="J19" s="214"/>
      <c r="K19" s="214"/>
      <c r="L19" s="214"/>
      <c r="M19" s="214"/>
      <c r="N19" s="23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</row>
    <row r="20" spans="1:28" ht="15">
      <c r="A20" s="214"/>
      <c r="B20" s="216" t="s">
        <v>51</v>
      </c>
      <c r="C20" s="235" t="s">
        <v>218</v>
      </c>
      <c r="D20" s="194">
        <v>0.6</v>
      </c>
      <c r="E20" s="214"/>
      <c r="F20" s="216" t="s">
        <v>43</v>
      </c>
      <c r="G20" s="236" t="s">
        <v>44</v>
      </c>
      <c r="H20" s="219" t="s">
        <v>45</v>
      </c>
      <c r="I20" s="194">
        <v>100</v>
      </c>
      <c r="J20" s="214"/>
      <c r="K20" s="214"/>
      <c r="L20" s="214"/>
      <c r="M20" s="216" t="s">
        <v>46</v>
      </c>
      <c r="N20" s="236" t="s">
        <v>44</v>
      </c>
      <c r="O20" s="219" t="s">
        <v>45</v>
      </c>
      <c r="P20" s="194">
        <v>50</v>
      </c>
      <c r="Q20" s="214"/>
      <c r="S20" s="218" t="s">
        <v>386</v>
      </c>
      <c r="T20" s="214"/>
      <c r="U20" s="214"/>
      <c r="V20" s="214"/>
      <c r="W20" s="214"/>
      <c r="X20" s="214"/>
      <c r="Y20" s="214"/>
      <c r="Z20" s="214"/>
      <c r="AA20" s="214"/>
      <c r="AB20" s="214"/>
    </row>
    <row r="21" spans="1:28" ht="18">
      <c r="A21" s="214"/>
      <c r="B21" s="216" t="s">
        <v>52</v>
      </c>
      <c r="C21" s="217" t="s">
        <v>219</v>
      </c>
      <c r="D21" s="194">
        <v>900</v>
      </c>
      <c r="E21" s="214" t="s">
        <v>220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</row>
    <row r="22" spans="1:28" ht="15">
      <c r="A22" s="214"/>
      <c r="B22" s="216" t="s">
        <v>473</v>
      </c>
      <c r="C22" s="237" t="s">
        <v>474</v>
      </c>
      <c r="D22" s="194">
        <v>0.25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</row>
    <row r="23" spans="1:28" ht="15">
      <c r="A23" s="214" t="s">
        <v>221</v>
      </c>
      <c r="B23" s="214"/>
      <c r="C23" s="214"/>
      <c r="D23" s="238"/>
      <c r="E23" s="214"/>
      <c r="F23" s="219"/>
      <c r="G23" s="223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</row>
    <row r="24" spans="1:28" ht="16.5">
      <c r="A24" s="214"/>
      <c r="B24" s="216" t="s">
        <v>53</v>
      </c>
      <c r="C24" s="217" t="s">
        <v>222</v>
      </c>
      <c r="D24" s="193">
        <v>0</v>
      </c>
      <c r="E24" s="214" t="s">
        <v>18</v>
      </c>
      <c r="F24" s="219"/>
      <c r="G24" s="223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</row>
    <row r="25" spans="1:28" ht="18">
      <c r="A25" s="214"/>
      <c r="B25" s="216" t="s">
        <v>38</v>
      </c>
      <c r="C25" s="216" t="s">
        <v>223</v>
      </c>
      <c r="D25" s="194">
        <v>18</v>
      </c>
      <c r="E25" s="214" t="s">
        <v>224</v>
      </c>
      <c r="F25" s="219"/>
      <c r="G25" s="223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</row>
    <row r="26" spans="1:28" ht="16.5">
      <c r="A26" s="214"/>
      <c r="B26" s="216" t="s">
        <v>39</v>
      </c>
      <c r="C26" s="216" t="s">
        <v>225</v>
      </c>
      <c r="D26" s="194">
        <v>30</v>
      </c>
      <c r="E26" s="218" t="s">
        <v>40</v>
      </c>
      <c r="F26" s="219"/>
      <c r="G26" s="223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</row>
    <row r="27" spans="1:28" ht="18">
      <c r="A27" s="214"/>
      <c r="B27" s="216" t="s">
        <v>41</v>
      </c>
      <c r="C27" s="217" t="s">
        <v>226</v>
      </c>
      <c r="D27" s="194">
        <v>10</v>
      </c>
      <c r="E27" s="214" t="s">
        <v>227</v>
      </c>
      <c r="F27" s="219"/>
      <c r="G27" s="223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</row>
    <row r="28" spans="1:28" ht="15">
      <c r="A28" s="214" t="s">
        <v>228</v>
      </c>
      <c r="B28" s="219"/>
      <c r="C28" s="219"/>
      <c r="D28" s="239"/>
      <c r="E28" s="214"/>
      <c r="F28" s="219"/>
      <c r="G28" s="223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</row>
    <row r="29" spans="1:28" ht="18">
      <c r="A29" s="214"/>
      <c r="B29" s="216" t="s">
        <v>38</v>
      </c>
      <c r="C29" s="216" t="s">
        <v>229</v>
      </c>
      <c r="D29" s="193">
        <v>23</v>
      </c>
      <c r="E29" s="214" t="s">
        <v>224</v>
      </c>
      <c r="F29" s="219"/>
      <c r="G29" s="223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</row>
    <row r="30" spans="1:28" ht="18">
      <c r="A30" s="214"/>
      <c r="B30" s="216" t="s">
        <v>54</v>
      </c>
      <c r="C30" s="216" t="s">
        <v>230</v>
      </c>
      <c r="D30" s="194">
        <v>18</v>
      </c>
      <c r="E30" s="214" t="s">
        <v>231</v>
      </c>
      <c r="F30" s="219"/>
      <c r="G30" s="223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</row>
    <row r="31" spans="1:28" ht="15">
      <c r="A31" s="214" t="s">
        <v>450</v>
      </c>
      <c r="B31" s="240" t="s">
        <v>454</v>
      </c>
      <c r="C31" s="214"/>
      <c r="D31" s="213"/>
      <c r="E31" s="214"/>
      <c r="F31" s="219"/>
      <c r="G31" s="223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</row>
    <row r="32" spans="1:28" ht="15">
      <c r="A32" s="214"/>
      <c r="B32" s="240" t="s">
        <v>449</v>
      </c>
      <c r="C32" s="216" t="s">
        <v>387</v>
      </c>
      <c r="D32" s="194">
        <v>13</v>
      </c>
      <c r="E32" s="214" t="s">
        <v>232</v>
      </c>
      <c r="F32" s="219"/>
      <c r="G32" s="223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</row>
    <row r="33" spans="1:28" ht="15">
      <c r="A33" s="214"/>
      <c r="B33" s="214"/>
      <c r="C33" s="216" t="s">
        <v>369</v>
      </c>
      <c r="D33" s="194">
        <v>250</v>
      </c>
      <c r="E33" s="214" t="s">
        <v>232</v>
      </c>
      <c r="F33" s="219"/>
      <c r="G33" s="223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</row>
    <row r="34" spans="1:28" ht="15">
      <c r="A34" s="214"/>
      <c r="B34" s="214"/>
      <c r="C34" s="216" t="s">
        <v>370</v>
      </c>
      <c r="D34" s="194">
        <v>100</v>
      </c>
      <c r="E34" s="214" t="s">
        <v>232</v>
      </c>
      <c r="F34" s="219"/>
      <c r="G34" s="223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</row>
    <row r="35" spans="1:28" ht="15">
      <c r="A35" s="214"/>
      <c r="B35" s="214"/>
      <c r="C35" s="214"/>
      <c r="D35" s="214"/>
      <c r="E35" s="214"/>
      <c r="F35" s="219"/>
      <c r="G35" s="223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</row>
    <row r="36" spans="1:28" ht="15">
      <c r="A36" s="214"/>
      <c r="B36" s="214"/>
      <c r="C36" s="214"/>
      <c r="D36" s="214"/>
      <c r="E36" s="214"/>
      <c r="F36" s="234">
        <f>IF(H-Hw&lt;Hf,"つま先版の厚さが不適切","")</f>
      </c>
      <c r="G36" s="241">
        <f>IF(d&lt;=0,"転倒するため計算不能","")</f>
      </c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</row>
    <row r="37" spans="1:28" ht="15">
      <c r="A37" s="214"/>
      <c r="B37" s="214"/>
      <c r="C37" s="214"/>
      <c r="D37" s="214"/>
      <c r="E37" s="214"/>
      <c r="F37" s="214"/>
      <c r="G37" s="223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</row>
    <row r="38" spans="1:28" ht="15">
      <c r="A38" s="214"/>
      <c r="B38" s="214"/>
      <c r="C38" s="214"/>
      <c r="D38" s="214"/>
      <c r="E38" s="214"/>
      <c r="F38" s="214"/>
      <c r="G38" s="223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</row>
    <row r="39" spans="1:28" ht="15">
      <c r="A39" s="214"/>
      <c r="B39" s="214"/>
      <c r="C39" s="214"/>
      <c r="D39" s="214"/>
      <c r="E39" s="214"/>
      <c r="F39" s="214"/>
      <c r="G39" s="223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</row>
    <row r="40" spans="1:19" ht="18.75">
      <c r="A40" s="243"/>
      <c r="B40" s="243"/>
      <c r="C40" s="243"/>
      <c r="D40" s="243"/>
      <c r="E40" s="243"/>
      <c r="F40" s="24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</row>
    <row r="41" spans="1:19" ht="18.75">
      <c r="A41" s="248"/>
      <c r="B41" s="248"/>
      <c r="C41" s="248"/>
      <c r="D41" s="248"/>
      <c r="E41" s="248"/>
      <c r="F41" s="249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</row>
    <row r="42" spans="8:13" ht="13.5">
      <c r="H42" s="242"/>
      <c r="I42" s="242"/>
      <c r="J42" s="242"/>
      <c r="K42" s="242"/>
      <c r="L42" s="242"/>
      <c r="M42" s="242"/>
    </row>
    <row r="43" spans="8:13" ht="27.75" customHeight="1">
      <c r="H43" s="243"/>
      <c r="I43" s="244"/>
      <c r="J43" s="244"/>
      <c r="K43" s="245"/>
      <c r="L43" s="245"/>
      <c r="M43" s="245"/>
    </row>
    <row r="44" spans="1:13" ht="18.75">
      <c r="A44" s="248"/>
      <c r="B44" s="248"/>
      <c r="C44" s="248"/>
      <c r="D44" s="248"/>
      <c r="E44" s="248"/>
      <c r="F44" s="249"/>
      <c r="G44" s="242"/>
      <c r="H44" s="243"/>
      <c r="I44" s="244"/>
      <c r="J44" s="244"/>
      <c r="K44" s="245"/>
      <c r="L44" s="245"/>
      <c r="M44" s="245"/>
    </row>
    <row r="45" spans="1:13" ht="18.75">
      <c r="A45" s="249"/>
      <c r="B45" s="249"/>
      <c r="C45" s="249"/>
      <c r="D45" s="249"/>
      <c r="E45" s="249"/>
      <c r="F45" s="249"/>
      <c r="G45" s="243"/>
      <c r="H45" s="243"/>
      <c r="I45" s="244"/>
      <c r="J45" s="244"/>
      <c r="K45" s="245"/>
      <c r="L45" s="245"/>
      <c r="M45" s="245"/>
    </row>
    <row r="46" spans="1:13" ht="18.75">
      <c r="A46" s="249"/>
      <c r="B46" s="249"/>
      <c r="C46" s="249"/>
      <c r="D46" s="249"/>
      <c r="E46" s="249"/>
      <c r="F46" s="249"/>
      <c r="G46" s="243"/>
      <c r="H46" s="244"/>
      <c r="I46" s="244"/>
      <c r="J46" s="244"/>
      <c r="K46" s="245"/>
      <c r="L46" s="245"/>
      <c r="M46" s="245"/>
    </row>
    <row r="47" spans="1:13" ht="17.25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5"/>
      <c r="L47" s="245"/>
      <c r="M47" s="245"/>
    </row>
    <row r="48" spans="1:13" ht="13.5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</row>
  </sheetData>
  <sheetProtection/>
  <mergeCells count="5">
    <mergeCell ref="N13:N15"/>
    <mergeCell ref="N4:N5"/>
    <mergeCell ref="N3:O3"/>
    <mergeCell ref="N9:O9"/>
    <mergeCell ref="N10:N12"/>
  </mergeCells>
  <conditionalFormatting sqref="P6">
    <cfRule type="cellIs" priority="1" dxfId="0" operator="lessThan" stopIfTrue="1">
      <formula>$Q$6</formula>
    </cfRule>
  </conditionalFormatting>
  <conditionalFormatting sqref="P7">
    <cfRule type="cellIs" priority="2" dxfId="0" operator="lessThan" stopIfTrue="1">
      <formula>$Q$7</formula>
    </cfRule>
  </conditionalFormatting>
  <conditionalFormatting sqref="P5">
    <cfRule type="cellIs" priority="3" dxfId="0" operator="greaterThan" stopIfTrue="1">
      <formula>$Q$5</formula>
    </cfRule>
  </conditionalFormatting>
  <conditionalFormatting sqref="P10 P13">
    <cfRule type="cellIs" priority="4" dxfId="0" operator="greaterThan" stopIfTrue="1">
      <formula>$Q$10</formula>
    </cfRule>
  </conditionalFormatting>
  <conditionalFormatting sqref="P12 P15">
    <cfRule type="cellIs" priority="5" dxfId="0" operator="greaterThan" stopIfTrue="1">
      <formula>$Q$12</formula>
    </cfRule>
  </conditionalFormatting>
  <conditionalFormatting sqref="P11">
    <cfRule type="cellIs" priority="6" dxfId="0" operator="greaterThan" stopIfTrue="1">
      <formula>$Q$11</formula>
    </cfRule>
  </conditionalFormatting>
  <conditionalFormatting sqref="P14">
    <cfRule type="cellIs" priority="7" dxfId="0" operator="greaterThan" stopIfTrue="1">
      <formula>$Q$14</formula>
    </cfRule>
  </conditionalFormatting>
  <conditionalFormatting sqref="P4">
    <cfRule type="cellIs" priority="8" dxfId="0" operator="lessThan" stopIfTrue="1">
      <formula>$Q$4</formula>
    </cfRule>
  </conditionalFormatting>
  <printOptions/>
  <pageMargins left="0.75" right="0.75" top="1" bottom="1" header="0.512" footer="0.512"/>
  <pageSetup horizontalDpi="600" verticalDpi="600"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C802"/>
  <sheetViews>
    <sheetView showOutlineSymbols="0" zoomScale="75" zoomScaleNormal="75" workbookViewId="0" topLeftCell="A351">
      <selection activeCell="F377" sqref="F377"/>
    </sheetView>
  </sheetViews>
  <sheetFormatPr defaultColWidth="8.796875" defaultRowHeight="18" customHeight="1"/>
  <cols>
    <col min="1" max="1" width="9.09765625" style="199" customWidth="1"/>
    <col min="2" max="2" width="8.59765625" style="11" customWidth="1"/>
    <col min="3" max="7" width="9.09765625" style="11" customWidth="1"/>
    <col min="8" max="8" width="8.8984375" style="11" customWidth="1"/>
    <col min="9" max="16384" width="9.09765625" style="11" customWidth="1"/>
  </cols>
  <sheetData>
    <row r="1" ht="18" customHeight="1">
      <c r="A1" s="199" t="s">
        <v>536</v>
      </c>
    </row>
    <row r="2" spans="1:3" ht="18" customHeight="1">
      <c r="A2" s="199" t="s">
        <v>535</v>
      </c>
      <c r="C2" s="11" t="str">
        <f>IF(Kh&gt;0,"地震時",IF(P&gt;0,"自動車衝突時","常　時"))</f>
        <v>常　時</v>
      </c>
    </row>
    <row r="3" ht="18" customHeight="1">
      <c r="A3" s="199" t="s">
        <v>534</v>
      </c>
    </row>
    <row r="4" spans="1:8" ht="18" customHeight="1">
      <c r="A4" s="133" t="s">
        <v>16</v>
      </c>
      <c r="B4" s="13" t="s">
        <v>17</v>
      </c>
      <c r="C4" s="262">
        <f>'入力'!D2</f>
        <v>8</v>
      </c>
      <c r="D4" s="15" t="s">
        <v>18</v>
      </c>
      <c r="E4" s="133" t="s">
        <v>32</v>
      </c>
      <c r="F4" s="17" t="s">
        <v>237</v>
      </c>
      <c r="G4" s="258">
        <f>'入力'!D7</f>
        <v>0.5</v>
      </c>
      <c r="H4" s="15"/>
    </row>
    <row r="5" spans="1:8" ht="18" customHeight="1">
      <c r="A5" s="133" t="s">
        <v>20</v>
      </c>
      <c r="B5" s="13" t="s">
        <v>233</v>
      </c>
      <c r="C5" s="262">
        <f>MIN('入力'!D3,H)</f>
        <v>8</v>
      </c>
      <c r="D5" s="15" t="s">
        <v>18</v>
      </c>
      <c r="E5" s="133" t="s">
        <v>34</v>
      </c>
      <c r="F5" s="17" t="s">
        <v>238</v>
      </c>
      <c r="G5" s="258">
        <f>'入力'!D8</f>
        <v>0.5</v>
      </c>
      <c r="H5" s="15"/>
    </row>
    <row r="6" spans="1:8" ht="18" customHeight="1">
      <c r="A6" s="133" t="s">
        <v>25</v>
      </c>
      <c r="B6" s="13" t="s">
        <v>234</v>
      </c>
      <c r="C6" s="262">
        <f>IF(H=Hw,0,'入力'!D4)</f>
        <v>0</v>
      </c>
      <c r="D6" s="15" t="s">
        <v>18</v>
      </c>
      <c r="E6" s="133" t="s">
        <v>35</v>
      </c>
      <c r="F6" s="13" t="s">
        <v>239</v>
      </c>
      <c r="G6" s="262">
        <f>'入力'!D9</f>
        <v>10</v>
      </c>
      <c r="H6" s="15" t="s">
        <v>18</v>
      </c>
    </row>
    <row r="7" spans="1:4" ht="18" customHeight="1">
      <c r="A7" s="133" t="s">
        <v>28</v>
      </c>
      <c r="B7" s="13" t="s">
        <v>235</v>
      </c>
      <c r="C7" s="262">
        <f>'入力'!D5</f>
        <v>0.894</v>
      </c>
      <c r="D7" s="15" t="s">
        <v>18</v>
      </c>
    </row>
    <row r="8" spans="1:4" ht="18" customHeight="1">
      <c r="A8" s="133" t="s">
        <v>30</v>
      </c>
      <c r="B8" s="13" t="s">
        <v>236</v>
      </c>
      <c r="C8" s="262">
        <f>IF(Hw=H,0,'入力'!D6)</f>
        <v>0</v>
      </c>
      <c r="D8" s="15" t="s">
        <v>18</v>
      </c>
    </row>
    <row r="9" spans="1:19" ht="18" customHeight="1">
      <c r="A9" s="133" t="s">
        <v>485</v>
      </c>
      <c r="B9" s="13" t="s">
        <v>486</v>
      </c>
      <c r="C9" s="3">
        <f>B</f>
        <v>0.8940000000000001</v>
      </c>
      <c r="D9" s="15" t="s">
        <v>18</v>
      </c>
      <c r="R9" s="11" t="str">
        <f>B4&amp;H&amp;D4</f>
        <v>H=8m</v>
      </c>
      <c r="S9" s="11" t="str">
        <f>"1: "&amp;nf</f>
        <v>1: 0.5</v>
      </c>
    </row>
    <row r="10" spans="18:19" ht="18" customHeight="1">
      <c r="R10" s="11" t="str">
        <f>B5&amp;Hw&amp;D5</f>
        <v>Hw=8m</v>
      </c>
      <c r="S10" s="11" t="str">
        <f>"1: "&amp;nr</f>
        <v>1: 0.5</v>
      </c>
    </row>
    <row r="11" spans="18:19" ht="18" customHeight="1">
      <c r="R11" s="11" t="str">
        <f>B6&amp;Hf&amp;D6</f>
        <v>Hf=0m</v>
      </c>
      <c r="S11" s="11" t="str">
        <f>F6&amp;Lw&amp;H6</f>
        <v>Lw=10m</v>
      </c>
    </row>
    <row r="12" spans="2:18" ht="18" customHeight="1">
      <c r="B12" s="17"/>
      <c r="C12" s="13"/>
      <c r="D12" s="16"/>
      <c r="E12" s="15"/>
      <c r="R12" s="11" t="str">
        <f>B7&amp;bu&amp;D7</f>
        <v>bu=0.894m</v>
      </c>
    </row>
    <row r="13" spans="2:18" ht="18" customHeight="1">
      <c r="B13" s="17"/>
      <c r="C13" s="13"/>
      <c r="D13" s="16"/>
      <c r="E13" s="15"/>
      <c r="R13" s="11" t="str">
        <f>B8&amp;bt&amp;D8</f>
        <v>Bt=0m</v>
      </c>
    </row>
    <row r="14" spans="2:18" ht="18" customHeight="1">
      <c r="B14" s="17"/>
      <c r="C14" s="13"/>
      <c r="D14" s="16"/>
      <c r="E14" s="15"/>
      <c r="F14" s="17"/>
      <c r="G14" s="12"/>
      <c r="R14" s="11" t="str">
        <f>B9&amp;B&amp;D9</f>
        <v>B=0.894m</v>
      </c>
    </row>
    <row r="15" spans="2:7" ht="18" customHeight="1">
      <c r="B15" s="17"/>
      <c r="C15" s="13"/>
      <c r="D15" s="16"/>
      <c r="E15" s="15"/>
      <c r="F15" s="17"/>
      <c r="G15" s="12"/>
    </row>
    <row r="16" spans="2:52" ht="18" customHeight="1">
      <c r="B16" s="17"/>
      <c r="C16" s="13"/>
      <c r="D16" s="16"/>
      <c r="E16" s="15"/>
      <c r="F16" s="17"/>
      <c r="G16" s="12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2:52" ht="18" customHeight="1">
      <c r="B17" s="17"/>
      <c r="C17" s="13"/>
      <c r="D17" s="16"/>
      <c r="E17" s="15"/>
      <c r="F17" s="17"/>
      <c r="G17" s="12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2" ht="18" customHeight="1">
      <c r="B18" s="17"/>
      <c r="C18" s="13"/>
      <c r="D18" s="16"/>
      <c r="E18" s="15"/>
      <c r="F18" s="17"/>
      <c r="G18" s="12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2" ht="18" customHeight="1">
      <c r="B19" s="17"/>
      <c r="C19" s="13"/>
      <c r="D19" s="16"/>
      <c r="E19" s="15"/>
      <c r="F19" s="17"/>
      <c r="G19" s="12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2" ht="18" customHeight="1">
      <c r="B20" s="17"/>
      <c r="C20" s="13"/>
      <c r="D20" s="16"/>
      <c r="E20" s="15"/>
      <c r="F20" s="17"/>
      <c r="G20" s="12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2:52" ht="18" customHeight="1">
      <c r="B21" s="17"/>
      <c r="C21" s="13"/>
      <c r="D21" s="16"/>
      <c r="E21" s="15"/>
      <c r="F21" s="17"/>
      <c r="G21" s="12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8" customHeight="1">
      <c r="A22" s="199" t="s">
        <v>533</v>
      </c>
      <c r="B22" s="17"/>
      <c r="C22" s="13"/>
      <c r="D22" s="14"/>
      <c r="E22" s="15"/>
      <c r="F22" s="17"/>
      <c r="G22" s="12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2:52" ht="18" customHeight="1">
      <c r="B23" s="133" t="s">
        <v>36</v>
      </c>
      <c r="C23" s="13" t="s">
        <v>455</v>
      </c>
      <c r="D23" s="24">
        <f>IF(data!B12=8,'入力'!D10,0)</f>
        <v>0</v>
      </c>
      <c r="E23" s="15" t="s">
        <v>18</v>
      </c>
      <c r="F23" s="17"/>
      <c r="G23" s="12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2" ht="18" customHeight="1">
      <c r="B24" s="133" t="s">
        <v>37</v>
      </c>
      <c r="C24" s="17" t="s">
        <v>240</v>
      </c>
      <c r="D24" s="24">
        <f>'入力'!D11</f>
        <v>1.5</v>
      </c>
      <c r="E24" s="15"/>
      <c r="F24" s="17"/>
      <c r="G24" s="12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2" ht="18" customHeight="1">
      <c r="B25" s="134" t="s">
        <v>38</v>
      </c>
      <c r="C25" s="18" t="s">
        <v>241</v>
      </c>
      <c r="D25" s="262">
        <f>'入力'!D12</f>
        <v>20</v>
      </c>
      <c r="E25" s="15" t="s">
        <v>242</v>
      </c>
      <c r="F25" s="17"/>
      <c r="G25" s="12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2" ht="18" customHeight="1">
      <c r="B26" s="134" t="s">
        <v>39</v>
      </c>
      <c r="C26" s="18" t="s">
        <v>243</v>
      </c>
      <c r="D26" s="263">
        <f>'入力'!D13</f>
        <v>35</v>
      </c>
      <c r="E26" s="135" t="s">
        <v>40</v>
      </c>
      <c r="F26" s="17"/>
      <c r="G26" s="12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2" ht="18" customHeight="1">
      <c r="B27" s="133" t="s">
        <v>41</v>
      </c>
      <c r="C27" s="13" t="s">
        <v>42</v>
      </c>
      <c r="D27" s="262">
        <f>'入力'!D14</f>
        <v>0</v>
      </c>
      <c r="E27" s="15" t="s">
        <v>244</v>
      </c>
      <c r="F27" s="17"/>
      <c r="G27" s="12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2:52" ht="18" customHeight="1">
      <c r="B28" s="17" t="s">
        <v>211</v>
      </c>
      <c r="C28" s="13" t="s">
        <v>245</v>
      </c>
      <c r="D28" s="262">
        <f>'入力'!D15</f>
        <v>10</v>
      </c>
      <c r="E28" s="15"/>
      <c r="F28" s="17"/>
      <c r="G28" s="12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8" customHeight="1">
      <c r="A29" s="197" t="s">
        <v>532</v>
      </c>
      <c r="B29" s="20"/>
      <c r="C29" s="21"/>
      <c r="D29" s="262"/>
      <c r="E29" s="15"/>
      <c r="F29" s="17"/>
      <c r="G29" s="12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8" customHeight="1">
      <c r="A30" s="197"/>
      <c r="B30" s="134" t="s">
        <v>47</v>
      </c>
      <c r="C30" s="21" t="s">
        <v>48</v>
      </c>
      <c r="D30" s="24">
        <f>'入力'!D16</f>
        <v>10</v>
      </c>
      <c r="E30" s="15" t="s">
        <v>244</v>
      </c>
      <c r="F30" s="17"/>
      <c r="G30" s="12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8" customHeight="1">
      <c r="A31" s="197"/>
      <c r="B31" s="134" t="s">
        <v>49</v>
      </c>
      <c r="C31" s="21" t="s">
        <v>246</v>
      </c>
      <c r="D31" s="24">
        <f>IF(data!B12=8,'入力'!D17,0)</f>
        <v>0</v>
      </c>
      <c r="E31" s="15"/>
      <c r="F31" s="17"/>
      <c r="G31" s="12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18" customHeight="1">
      <c r="A32" s="197" t="s">
        <v>531</v>
      </c>
      <c r="B32" s="20"/>
      <c r="C32" s="21"/>
      <c r="D32" s="24"/>
      <c r="E32" s="15"/>
      <c r="F32" s="17"/>
      <c r="G32" s="12"/>
      <c r="R32" s="11" t="str">
        <f>C23&amp;Ho&amp;E23</f>
        <v>H0=0m</v>
      </c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8" customHeight="1">
      <c r="A33" s="197"/>
      <c r="B33" s="22" t="s">
        <v>55</v>
      </c>
      <c r="C33" s="23"/>
      <c r="D33" s="24" t="str">
        <f>data!C13</f>
        <v>なし</v>
      </c>
      <c r="E33" s="15"/>
      <c r="F33" s="17"/>
      <c r="G33" s="12"/>
      <c r="R33" s="11" t="str">
        <f>"1: "&amp;m</f>
        <v>1: 1.5</v>
      </c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8" customHeight="1">
      <c r="A34" s="197"/>
      <c r="B34" s="22" t="s">
        <v>56</v>
      </c>
      <c r="C34" s="21" t="s">
        <v>57</v>
      </c>
      <c r="D34" s="24">
        <f>data!C14</f>
        <v>0</v>
      </c>
      <c r="E34" s="25" t="s">
        <v>58</v>
      </c>
      <c r="F34" s="17"/>
      <c r="G34" s="12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8" customHeight="1">
      <c r="A35" s="197"/>
      <c r="B35" s="22" t="s">
        <v>59</v>
      </c>
      <c r="C35" s="21" t="s">
        <v>247</v>
      </c>
      <c r="D35" s="24">
        <f>data!C15</f>
        <v>0</v>
      </c>
      <c r="E35" s="25" t="s">
        <v>248</v>
      </c>
      <c r="F35" s="17"/>
      <c r="G35" s="12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8" customHeight="1">
      <c r="A36" s="197" t="s">
        <v>530</v>
      </c>
      <c r="B36" s="20"/>
      <c r="C36" s="21"/>
      <c r="D36" s="262"/>
      <c r="E36" s="15"/>
      <c r="F36" s="17"/>
      <c r="G36" s="12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8" customHeight="1">
      <c r="A37" s="197"/>
      <c r="B37" s="20" t="s">
        <v>249</v>
      </c>
      <c r="C37" s="21" t="s">
        <v>217</v>
      </c>
      <c r="D37" s="263">
        <f>'入力'!D19</f>
        <v>50</v>
      </c>
      <c r="E37" s="15"/>
      <c r="F37" s="17"/>
      <c r="G37" s="12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8" customHeight="1">
      <c r="A38" s="197"/>
      <c r="B38" s="134" t="s">
        <v>51</v>
      </c>
      <c r="C38" s="18" t="s">
        <v>218</v>
      </c>
      <c r="D38" s="263">
        <f>'入力'!D20</f>
        <v>0.6</v>
      </c>
      <c r="E38" s="15"/>
      <c r="F38" s="17"/>
      <c r="G38" s="12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18" customHeight="1">
      <c r="A39" s="197"/>
      <c r="B39" s="134" t="s">
        <v>52</v>
      </c>
      <c r="C39" s="21" t="s">
        <v>219</v>
      </c>
      <c r="D39" s="263">
        <f>'入力'!D21</f>
        <v>900</v>
      </c>
      <c r="E39" s="15" t="s">
        <v>220</v>
      </c>
      <c r="F39" s="17"/>
      <c r="G39" s="12"/>
      <c r="R39" s="11" t="str">
        <f>C30&amp;q&amp;E30</f>
        <v>q=10kN/m2</v>
      </c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7" ht="18" customHeight="1">
      <c r="A40" s="197" t="s">
        <v>529</v>
      </c>
      <c r="B40" s="20"/>
      <c r="C40" s="20"/>
      <c r="D40" s="263"/>
      <c r="E40" s="15"/>
      <c r="F40" s="17"/>
      <c r="G40" s="12"/>
    </row>
    <row r="41" spans="1:7" ht="18" customHeight="1">
      <c r="A41" s="197"/>
      <c r="B41" s="134" t="s">
        <v>53</v>
      </c>
      <c r="C41" s="21" t="s">
        <v>222</v>
      </c>
      <c r="D41" s="264">
        <f>'入力'!D24</f>
        <v>0</v>
      </c>
      <c r="E41" s="15" t="s">
        <v>18</v>
      </c>
      <c r="F41" s="17"/>
      <c r="G41" s="12"/>
    </row>
    <row r="42" spans="1:7" ht="18" customHeight="1">
      <c r="A42" s="197"/>
      <c r="B42" s="134" t="s">
        <v>38</v>
      </c>
      <c r="C42" s="134" t="s">
        <v>223</v>
      </c>
      <c r="D42" s="264">
        <f>'入力'!D25</f>
        <v>18</v>
      </c>
      <c r="E42" s="15" t="s">
        <v>224</v>
      </c>
      <c r="F42" s="17"/>
      <c r="G42" s="12"/>
    </row>
    <row r="43" spans="1:7" ht="18" customHeight="1">
      <c r="A43" s="197"/>
      <c r="B43" s="134" t="s">
        <v>39</v>
      </c>
      <c r="C43" s="134" t="s">
        <v>225</v>
      </c>
      <c r="D43" s="264">
        <f>'入力'!D26</f>
        <v>30</v>
      </c>
      <c r="E43" s="135" t="s">
        <v>40</v>
      </c>
      <c r="F43" s="17"/>
      <c r="G43" s="12"/>
    </row>
    <row r="44" spans="1:7" ht="18" customHeight="1">
      <c r="A44" s="197"/>
      <c r="B44" s="133" t="s">
        <v>41</v>
      </c>
      <c r="C44" s="13" t="s">
        <v>226</v>
      </c>
      <c r="D44" s="264">
        <f>'入力'!D27</f>
        <v>10</v>
      </c>
      <c r="E44" s="15" t="s">
        <v>227</v>
      </c>
      <c r="F44" s="17"/>
      <c r="G44" s="12"/>
    </row>
    <row r="45" spans="1:7" ht="18" customHeight="1">
      <c r="A45" s="197" t="s">
        <v>528</v>
      </c>
      <c r="B45" s="20"/>
      <c r="C45" s="20"/>
      <c r="D45" s="14"/>
      <c r="E45" s="15"/>
      <c r="F45" s="17"/>
      <c r="G45" s="12"/>
    </row>
    <row r="46" spans="1:7" ht="18" customHeight="1">
      <c r="A46" s="197"/>
      <c r="C46" s="134" t="s">
        <v>38</v>
      </c>
      <c r="D46" s="134" t="s">
        <v>229</v>
      </c>
      <c r="E46" s="264">
        <f>'入力'!D29</f>
        <v>23</v>
      </c>
      <c r="F46" s="15" t="s">
        <v>224</v>
      </c>
      <c r="G46" s="12"/>
    </row>
    <row r="47" spans="1:7" ht="18" customHeight="1">
      <c r="A47" s="197"/>
      <c r="C47" s="134" t="s">
        <v>54</v>
      </c>
      <c r="D47" s="134" t="s">
        <v>230</v>
      </c>
      <c r="E47" s="59">
        <f>'入力'!D30</f>
        <v>18</v>
      </c>
      <c r="F47" s="15" t="s">
        <v>231</v>
      </c>
      <c r="G47" s="12"/>
    </row>
    <row r="48" spans="1:7" ht="18" customHeight="1">
      <c r="A48" s="197"/>
      <c r="C48" s="134" t="s">
        <v>250</v>
      </c>
      <c r="D48" s="134" t="s">
        <v>251</v>
      </c>
      <c r="E48" s="262">
        <f>IF(σck&lt;=18,σck/4,σck/3)*E52</f>
        <v>4.5</v>
      </c>
      <c r="F48" s="15" t="s">
        <v>231</v>
      </c>
      <c r="G48" s="12"/>
    </row>
    <row r="49" spans="1:55" ht="18" customHeight="1">
      <c r="A49" s="197"/>
      <c r="C49" s="134" t="s">
        <v>388</v>
      </c>
      <c r="D49" s="134" t="s">
        <v>252</v>
      </c>
      <c r="E49" s="262">
        <f>MIN(σck/80,0.3)*E52</f>
        <v>0.225</v>
      </c>
      <c r="F49" s="15" t="s">
        <v>253</v>
      </c>
      <c r="G49" s="12"/>
      <c r="BB49" s="136" t="s">
        <v>68</v>
      </c>
      <c r="BC49" s="17" t="s">
        <v>45</v>
      </c>
    </row>
    <row r="50" spans="1:7" ht="18" customHeight="1">
      <c r="A50" s="197"/>
      <c r="C50" s="134" t="s">
        <v>389</v>
      </c>
      <c r="D50" s="134" t="s">
        <v>254</v>
      </c>
      <c r="E50" s="262">
        <f>(σck/100+0.15)*E52</f>
        <v>0.32999999999999996</v>
      </c>
      <c r="F50" s="15" t="s">
        <v>253</v>
      </c>
      <c r="G50" s="12"/>
    </row>
    <row r="51" spans="1:66" ht="18" customHeight="1">
      <c r="A51" s="198" t="s">
        <v>527</v>
      </c>
      <c r="B51" s="20"/>
      <c r="C51" s="20"/>
      <c r="D51" s="14"/>
      <c r="E51" s="265"/>
      <c r="F51" s="17"/>
      <c r="G51" s="12"/>
      <c r="BB51" s="11" t="s">
        <v>69</v>
      </c>
      <c r="BC51" s="132" t="s">
        <v>70</v>
      </c>
      <c r="BD51" s="132" t="s">
        <v>71</v>
      </c>
      <c r="BE51" s="132" t="s">
        <v>72</v>
      </c>
      <c r="BF51" s="132" t="s">
        <v>73</v>
      </c>
      <c r="BG51" s="132" t="s">
        <v>47</v>
      </c>
      <c r="BH51" s="132" t="s">
        <v>74</v>
      </c>
      <c r="BI51" s="132" t="s">
        <v>75</v>
      </c>
      <c r="BJ51" s="132" t="s">
        <v>76</v>
      </c>
      <c r="BK51" s="132" t="s">
        <v>77</v>
      </c>
      <c r="BL51" s="132" t="s">
        <v>78</v>
      </c>
      <c r="BM51" s="132" t="s">
        <v>79</v>
      </c>
      <c r="BN51" s="132" t="s">
        <v>56</v>
      </c>
    </row>
    <row r="52" spans="1:55" ht="18" customHeight="1">
      <c r="A52" s="197"/>
      <c r="B52" s="20"/>
      <c r="C52" s="20"/>
      <c r="D52" s="113" t="s">
        <v>255</v>
      </c>
      <c r="E52" s="265">
        <f>IF(P&gt;0,1.5,IF(Kh&gt;0,1.5,1))</f>
        <v>1</v>
      </c>
      <c r="F52" s="116" t="str">
        <f>IF(P&gt;0,"(自動車衝突時)",IF(Kh&gt;0,"(地震時)","(常時)"))</f>
        <v>(常時)</v>
      </c>
      <c r="G52" s="12"/>
      <c r="BB52" s="12">
        <f aca="true" t="shared" si="0" ref="BB52:BC58">C82</f>
        <v>0</v>
      </c>
      <c r="BC52" s="12">
        <f t="shared" si="0"/>
        <v>0</v>
      </c>
    </row>
    <row r="53" spans="1:55" ht="18" customHeight="1">
      <c r="A53" s="198" t="s">
        <v>553</v>
      </c>
      <c r="B53" s="27"/>
      <c r="C53" s="27"/>
      <c r="D53" s="27"/>
      <c r="E53" s="27"/>
      <c r="F53" s="17"/>
      <c r="BB53" s="12">
        <f t="shared" si="0"/>
        <v>0</v>
      </c>
      <c r="BC53" s="12">
        <f t="shared" si="0"/>
        <v>0</v>
      </c>
    </row>
    <row r="54" spans="3:55" ht="18" customHeight="1">
      <c r="C54" s="11" t="str">
        <f>data!B22</f>
        <v>無筋コンクリート</v>
      </c>
      <c r="BB54" s="12">
        <f t="shared" si="0"/>
        <v>0</v>
      </c>
      <c r="BC54" s="12">
        <f t="shared" si="0"/>
        <v>0</v>
      </c>
    </row>
    <row r="55" spans="1:55" ht="18" customHeight="1">
      <c r="A55" s="198"/>
      <c r="C55" s="133">
        <f>IF(AR68=1,"","材質")</f>
      </c>
      <c r="D55" s="11">
        <f>IF(AR68=1,"","SD295A")</f>
      </c>
      <c r="BB55" s="12">
        <f t="shared" si="0"/>
        <v>4</v>
      </c>
      <c r="BC55" s="12">
        <f t="shared" si="0"/>
        <v>8</v>
      </c>
    </row>
    <row r="56" spans="1:55" ht="18" customHeight="1">
      <c r="A56" s="198"/>
      <c r="B56" s="27"/>
      <c r="C56" s="144">
        <f>IF(AR68=1,"","直径")</f>
      </c>
      <c r="D56" s="13">
        <f>IF(AR68=1,"","D=")</f>
      </c>
      <c r="E56" s="59">
        <f>IF($AR$68=1,"",'入力'!D32)</f>
      </c>
      <c r="F56" s="27">
        <f>IF($AR$68=1,"","mm")</f>
      </c>
      <c r="BB56" s="12">
        <f t="shared" si="0"/>
        <v>4.894</v>
      </c>
      <c r="BC56" s="12">
        <f t="shared" si="0"/>
        <v>8</v>
      </c>
    </row>
    <row r="57" spans="1:55" ht="18" customHeight="1">
      <c r="A57" s="198"/>
      <c r="B57" s="27"/>
      <c r="C57" s="144">
        <f>IF(AR68=1,"","ピッチ")</f>
      </c>
      <c r="D57" s="13">
        <f>IF(AR68=1,"","pich=")</f>
      </c>
      <c r="E57" s="59">
        <f>IF($AR$68=1,"",'入力'!D33)</f>
      </c>
      <c r="F57" s="27">
        <f>IF($AR$68=1,"","mm")</f>
      </c>
      <c r="BB57" s="12">
        <f t="shared" si="0"/>
        <v>0.8940000000000001</v>
      </c>
      <c r="BC57" s="12">
        <f t="shared" si="0"/>
        <v>0</v>
      </c>
    </row>
    <row r="58" spans="1:55" ht="18" customHeight="1">
      <c r="A58" s="197"/>
      <c r="B58" s="130"/>
      <c r="C58" s="144">
        <f>IF(AR68=1,"","かぶり")</f>
      </c>
      <c r="D58" s="13">
        <f>IF(AR68=1,"","i=")</f>
      </c>
      <c r="E58" s="59">
        <f>IF($AR$68=1,"",'入力'!D34)</f>
      </c>
      <c r="F58" s="27">
        <f>IF($AR$68=1,"","mm")</f>
      </c>
      <c r="BB58" s="12">
        <f t="shared" si="0"/>
        <v>0</v>
      </c>
      <c r="BC58" s="12">
        <f t="shared" si="0"/>
        <v>0</v>
      </c>
    </row>
    <row r="59" spans="2:56" ht="18" customHeight="1">
      <c r="B59" s="20"/>
      <c r="C59" s="134">
        <f>IF($AR$68=1,"","許容引張応力度")</f>
      </c>
      <c r="D59" s="134">
        <f>IF($AR$68=1,"","σsa=")</f>
      </c>
      <c r="E59" s="59">
        <f>IF($AR$68=1,"",IF(P&gt;0,270,IF(Kh&gt;0,270,160)))</f>
      </c>
      <c r="F59" s="15">
        <f>IF($AR$68=1,"","N/mm2")</f>
      </c>
      <c r="BB59" s="12">
        <f>-B</f>
        <v>-0.8940000000000001</v>
      </c>
      <c r="BC59" s="12"/>
      <c r="BD59" s="11">
        <f>Df</f>
        <v>0</v>
      </c>
    </row>
    <row r="60" spans="3:56" ht="18" customHeight="1">
      <c r="C60" s="134">
        <f>IF($AR$68=1,"","許容付着応力度")</f>
      </c>
      <c r="D60" s="134">
        <f>IF($AR$68=1,"","τoa=")</f>
      </c>
      <c r="E60" s="108">
        <f>IF(AR68=1,"",0.17*σck^0.69)</f>
      </c>
      <c r="F60" s="15">
        <f>IF($AR$68=1,"","N/mm2")</f>
      </c>
      <c r="G60" s="12"/>
      <c r="BB60" s="12">
        <f>IF(Df&lt;=Hf,0,IF(Df&gt;H-Hw,bt+(Df-(H-Hw))*nf,bt/(H-Hw-Hf)*(Df-Hf)))</f>
        <v>0</v>
      </c>
      <c r="BC60" s="12"/>
      <c r="BD60" s="11">
        <f>Df</f>
        <v>0</v>
      </c>
    </row>
    <row r="61" spans="54:57" ht="18" customHeight="1">
      <c r="BB61" s="12">
        <f>BB56</f>
        <v>4.894</v>
      </c>
      <c r="BE61" s="12">
        <f>BC56</f>
        <v>8</v>
      </c>
    </row>
    <row r="62" spans="1:57" ht="18" customHeight="1">
      <c r="A62" s="197" t="s">
        <v>526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BB62" s="11">
        <f>BB61+Ho/TAN(β)</f>
        <v>4.894</v>
      </c>
      <c r="BE62" s="156">
        <f>BE61+Ho</f>
        <v>8</v>
      </c>
    </row>
    <row r="63" spans="1:57" ht="18" customHeight="1">
      <c r="A63" s="197" t="s">
        <v>525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BB63" s="11">
        <f>MAX(BB65,BB62)+B</f>
        <v>8.991232354382722</v>
      </c>
      <c r="BE63" s="156">
        <f>BE62</f>
        <v>8</v>
      </c>
    </row>
    <row r="64" spans="1:58" ht="18" customHeight="1">
      <c r="A64" s="197"/>
      <c r="B64" s="135" t="s">
        <v>60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BB64" s="11">
        <f>B</f>
        <v>0.8940000000000001</v>
      </c>
      <c r="BF64" s="11">
        <v>0</v>
      </c>
    </row>
    <row r="65" spans="1:58" ht="18" customHeight="1">
      <c r="A65" s="19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BB65" s="11">
        <f>B+Lc*COS(ωa)</f>
        <v>8.097232354382722</v>
      </c>
      <c r="BF65" s="11">
        <f>Lc*SIN(ωa)</f>
        <v>8</v>
      </c>
    </row>
    <row r="66" spans="1:58" ht="18" customHeight="1">
      <c r="A66" s="19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BB66" s="11">
        <f>BB65</f>
        <v>8.097232354382722</v>
      </c>
      <c r="BF66" s="11">
        <f>BF65+zc</f>
        <v>8</v>
      </c>
    </row>
    <row r="67" spans="1:59" ht="18" customHeight="1">
      <c r="A67" s="19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AR67" s="43" t="s">
        <v>453</v>
      </c>
      <c r="BB67" s="11">
        <f>BB62</f>
        <v>4.894</v>
      </c>
      <c r="BG67" s="156">
        <f>BE62</f>
        <v>8</v>
      </c>
    </row>
    <row r="68" spans="1:59" ht="18" customHeight="1">
      <c r="A68" s="19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AR68" s="183">
        <f>data!B21</f>
        <v>1</v>
      </c>
      <c r="BB68" s="11">
        <f>BB67</f>
        <v>4.894</v>
      </c>
      <c r="BG68" s="11">
        <f>BG67+q/γ</f>
        <v>8.5</v>
      </c>
    </row>
    <row r="69" spans="1:59" ht="18" customHeight="1">
      <c r="A69" s="19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BB69" s="11">
        <f>BB63</f>
        <v>8.991232354382722</v>
      </c>
      <c r="BG69" s="11">
        <f>BG68</f>
        <v>8.5</v>
      </c>
    </row>
    <row r="70" spans="1:60" ht="18" customHeight="1">
      <c r="A70" s="19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BB70" s="42">
        <f>E92</f>
        <v>2.4470000000000005</v>
      </c>
      <c r="BH70" s="42">
        <f>E93</f>
        <v>3.9999999999999982</v>
      </c>
    </row>
    <row r="71" spans="1:60" ht="18" customHeight="1">
      <c r="A71" s="19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BB71" s="42">
        <f>BB70</f>
        <v>2.4470000000000005</v>
      </c>
      <c r="BH71" s="11">
        <f>BH70-E90/'入力'!I20</f>
        <v>2.355039999999998</v>
      </c>
    </row>
    <row r="72" spans="1:61" ht="18" customHeight="1">
      <c r="A72" s="19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BB72" s="42">
        <f>BB70</f>
        <v>2.4470000000000005</v>
      </c>
      <c r="BI72" s="42">
        <f>BH70</f>
        <v>3.9999999999999982</v>
      </c>
    </row>
    <row r="73" spans="1:61" ht="18" customHeight="1">
      <c r="A73" s="19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BB73" s="11">
        <f>BB72-E91/'入力'!I20</f>
        <v>2.4470000000000005</v>
      </c>
      <c r="BI73" s="42">
        <f>BI72</f>
        <v>3.9999999999999982</v>
      </c>
    </row>
    <row r="74" spans="1:62" ht="18" customHeight="1">
      <c r="A74" s="19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BB74" s="42">
        <f>G180</f>
        <v>2.227333333333333</v>
      </c>
      <c r="BJ74" s="42">
        <f>G181</f>
        <v>2.6666666666666665</v>
      </c>
    </row>
    <row r="75" spans="1:62" ht="18" customHeight="1">
      <c r="A75" s="19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BB75" s="11">
        <f>BB74+G179/'入力'!I20</f>
        <v>2.9016961677003112</v>
      </c>
      <c r="BJ75" s="11">
        <f>BJ74+G178/'入力'!I20</f>
        <v>2.6285894380366686</v>
      </c>
    </row>
    <row r="76" spans="1:63" ht="18" customHeight="1">
      <c r="A76" s="19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BB76" s="12">
        <f>D204</f>
        <v>1.3330814082721503</v>
      </c>
      <c r="BK76" s="11">
        <v>0</v>
      </c>
    </row>
    <row r="77" spans="1:63" ht="18" customHeight="1">
      <c r="A77" s="19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BB77" s="11">
        <f>BB76+∑H/'入力'!I20</f>
        <v>2.0074442426391284</v>
      </c>
      <c r="BK77" s="11">
        <f>∑V/'入力'!I20</f>
        <v>1.6068827713700022</v>
      </c>
    </row>
    <row r="78" spans="1:64" ht="18" customHeight="1">
      <c r="A78" s="19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BB78" s="11">
        <f>BB55+bu/2-0.05</f>
        <v>4.397</v>
      </c>
      <c r="BL78" s="11">
        <f>H</f>
        <v>8</v>
      </c>
    </row>
    <row r="79" spans="1:64" ht="18" customHeight="1">
      <c r="A79" s="19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BB79" s="11">
        <f>BB78</f>
        <v>4.397</v>
      </c>
      <c r="BL79" s="11">
        <f>IF(hp=0,BL78,BL78+hp+0.1)</f>
        <v>8</v>
      </c>
    </row>
    <row r="80" spans="1:64" ht="18" customHeight="1">
      <c r="A80" s="19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BB80" s="11">
        <f>BB79+0.1</f>
        <v>4.497</v>
      </c>
      <c r="BL80" s="11">
        <f>BL79</f>
        <v>8</v>
      </c>
    </row>
    <row r="81" spans="1:64" ht="18" customHeight="1">
      <c r="A81" s="197"/>
      <c r="B81" s="28" t="s">
        <v>61</v>
      </c>
      <c r="C81" s="29" t="s">
        <v>170</v>
      </c>
      <c r="D81" s="29" t="s">
        <v>171</v>
      </c>
      <c r="E81" s="30" t="s">
        <v>62</v>
      </c>
      <c r="F81" s="29" t="s">
        <v>172</v>
      </c>
      <c r="G81" s="31" t="s">
        <v>173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BB81" s="11">
        <f>BB80</f>
        <v>4.497</v>
      </c>
      <c r="BL81" s="11">
        <f>BL78</f>
        <v>8</v>
      </c>
    </row>
    <row r="82" spans="1:65" ht="18" customHeight="1">
      <c r="A82" s="197"/>
      <c r="B82" s="32">
        <v>0</v>
      </c>
      <c r="C82" s="33">
        <v>0</v>
      </c>
      <c r="D82" s="33">
        <v>0</v>
      </c>
      <c r="E82" s="33">
        <f aca="true" t="shared" si="1" ref="E82:E88">1/2*(C83*D82-C82*D83)</f>
        <v>0</v>
      </c>
      <c r="F82" s="33">
        <f aca="true" t="shared" si="2" ref="F82:F88">-1/2*(D83-D82)*(C82^2+1/3*(C83-C82)*(C83+2*C82))</f>
        <v>0</v>
      </c>
      <c r="G82" s="34">
        <f aca="true" t="shared" si="3" ref="G82:G88">1/2*(C83-C82)*(D82^2+1/3*(D83-D82)*(D83+2*D82))</f>
        <v>0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BB82" s="11">
        <f>BB81</f>
        <v>4.497</v>
      </c>
      <c r="BM82" s="11">
        <f>IF(hp=0,H,BM83+0.05)</f>
        <v>8</v>
      </c>
    </row>
    <row r="83" spans="1:65" ht="18" customHeight="1">
      <c r="A83" s="197"/>
      <c r="B83" s="32">
        <f>B82+1</f>
        <v>1</v>
      </c>
      <c r="C83" s="33">
        <v>0</v>
      </c>
      <c r="D83" s="33">
        <f>Hf</f>
        <v>0</v>
      </c>
      <c r="E83" s="33">
        <f t="shared" si="1"/>
        <v>0</v>
      </c>
      <c r="F83" s="33">
        <f t="shared" si="2"/>
        <v>0</v>
      </c>
      <c r="G83" s="34">
        <f t="shared" si="3"/>
        <v>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BB83" s="11">
        <f>BB82+0.1</f>
        <v>4.5969999999999995</v>
      </c>
      <c r="BM83" s="11">
        <f>IF(hp=0,H,BM84+0.15)</f>
        <v>8</v>
      </c>
    </row>
    <row r="84" spans="1:65" ht="18" customHeight="1">
      <c r="A84" s="197"/>
      <c r="B84" s="32">
        <f>B83+1</f>
        <v>2</v>
      </c>
      <c r="C84" s="33">
        <f>bt</f>
        <v>0</v>
      </c>
      <c r="D84" s="33">
        <f>H-Hw</f>
        <v>0</v>
      </c>
      <c r="E84" s="33">
        <f t="shared" si="1"/>
        <v>0</v>
      </c>
      <c r="F84" s="33">
        <f t="shared" si="2"/>
        <v>-21.333333333333332</v>
      </c>
      <c r="G84" s="34">
        <f t="shared" si="3"/>
        <v>42.666666666666664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BB84" s="11">
        <f>BB83</f>
        <v>4.5969999999999995</v>
      </c>
      <c r="BM84" s="11">
        <f>IF(hp=0,H,BM85+0.1)</f>
        <v>8</v>
      </c>
    </row>
    <row r="85" spans="1:65" ht="18" customHeight="1">
      <c r="A85" s="197"/>
      <c r="B85" s="32">
        <v>3</v>
      </c>
      <c r="C85" s="33">
        <f>bt+Hw*nf</f>
        <v>4</v>
      </c>
      <c r="D85" s="33">
        <f>H</f>
        <v>8</v>
      </c>
      <c r="E85" s="33">
        <f t="shared" si="1"/>
        <v>3.5760000000000005</v>
      </c>
      <c r="F85" s="33">
        <f t="shared" si="2"/>
        <v>0</v>
      </c>
      <c r="G85" s="34">
        <f t="shared" si="3"/>
        <v>28.608000000000004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BB85" s="11">
        <f>BB82</f>
        <v>4.497</v>
      </c>
      <c r="BM85" s="11">
        <f>IF(hp=0,H,H+hp)</f>
        <v>8</v>
      </c>
    </row>
    <row r="86" spans="1:65" ht="18" customHeight="1">
      <c r="A86" s="197"/>
      <c r="B86" s="32">
        <v>4</v>
      </c>
      <c r="C86" s="33">
        <f>C85+bu</f>
        <v>4.894</v>
      </c>
      <c r="D86" s="33">
        <f>H</f>
        <v>8</v>
      </c>
      <c r="E86" s="33">
        <f t="shared" si="1"/>
        <v>3.5760000000000005</v>
      </c>
      <c r="F86" s="33">
        <f t="shared" si="2"/>
        <v>38.83427733333334</v>
      </c>
      <c r="G86" s="34">
        <f t="shared" si="3"/>
        <v>-42.66666666666667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BB86" s="11">
        <f>BB84</f>
        <v>4.5969999999999995</v>
      </c>
      <c r="BM86" s="11">
        <f>IF(hp=0,H,BM85-0.1)</f>
        <v>8</v>
      </c>
    </row>
    <row r="87" spans="1:65" ht="18" customHeight="1">
      <c r="A87" s="197"/>
      <c r="B87" s="32">
        <v>5</v>
      </c>
      <c r="C87" s="35">
        <f>C86-H*nr</f>
        <v>0.8940000000000001</v>
      </c>
      <c r="D87" s="36">
        <v>0</v>
      </c>
      <c r="E87" s="33">
        <f t="shared" si="1"/>
        <v>0</v>
      </c>
      <c r="F87" s="33">
        <f t="shared" si="2"/>
        <v>0</v>
      </c>
      <c r="G87" s="34">
        <f t="shared" si="3"/>
        <v>0</v>
      </c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BB87" s="11">
        <f>BB86</f>
        <v>4.5969999999999995</v>
      </c>
      <c r="BM87" s="11">
        <f>IF(hp=0,H,BM86-0.15)</f>
        <v>8</v>
      </c>
    </row>
    <row r="88" spans="2:65" ht="18" customHeight="1">
      <c r="B88" s="37">
        <v>0</v>
      </c>
      <c r="C88" s="36">
        <v>0</v>
      </c>
      <c r="D88" s="36">
        <v>0</v>
      </c>
      <c r="E88" s="33">
        <f t="shared" si="1"/>
        <v>0</v>
      </c>
      <c r="F88" s="33">
        <f t="shared" si="2"/>
        <v>0</v>
      </c>
      <c r="G88" s="34">
        <f t="shared" si="3"/>
        <v>0</v>
      </c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BB88" s="11">
        <f>BB85</f>
        <v>4.497</v>
      </c>
      <c r="BM88" s="11">
        <f>IF(hp=0,H,BM87-0.05)</f>
        <v>8</v>
      </c>
    </row>
    <row r="89" spans="2:66" ht="18" customHeight="1">
      <c r="B89" s="137" t="s">
        <v>63</v>
      </c>
      <c r="C89" s="38"/>
      <c r="D89" s="38"/>
      <c r="E89" s="39">
        <f>SUM(E82:E88)</f>
        <v>7.152000000000001</v>
      </c>
      <c r="F89" s="39">
        <f>SUM(F82:F88)</f>
        <v>17.500944000000008</v>
      </c>
      <c r="G89" s="40">
        <f>SUM(G82:G88)</f>
        <v>28.60799999999999</v>
      </c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BB89" s="11">
        <f>BB85</f>
        <v>4.497</v>
      </c>
      <c r="BN89" s="11">
        <f>BM85</f>
        <v>8</v>
      </c>
    </row>
    <row r="90" spans="3:66" ht="18" customHeight="1">
      <c r="C90" s="133" t="s">
        <v>64</v>
      </c>
      <c r="D90" s="17"/>
      <c r="E90" s="108">
        <f>γc*E89</f>
        <v>164.49600000000004</v>
      </c>
      <c r="F90" s="11" t="s">
        <v>65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BB90" s="11">
        <f>BB86+P/scal</f>
        <v>4.5969999999999995</v>
      </c>
      <c r="BN90" s="11">
        <f>BN89</f>
        <v>8</v>
      </c>
    </row>
    <row r="91" spans="3:43" ht="18" customHeight="1">
      <c r="C91" s="133" t="s">
        <v>66</v>
      </c>
      <c r="D91" s="17"/>
      <c r="E91" s="108">
        <f>D31*E90</f>
        <v>0</v>
      </c>
      <c r="F91" s="11" t="s">
        <v>65</v>
      </c>
      <c r="G91" s="42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3:43" ht="18" customHeight="1">
      <c r="C92" s="133" t="s">
        <v>67</v>
      </c>
      <c r="D92" s="13" t="s">
        <v>489</v>
      </c>
      <c r="E92" s="108">
        <f>F89/E89</f>
        <v>2.4470000000000005</v>
      </c>
      <c r="F92" s="11" t="s">
        <v>18</v>
      </c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ht="18" customHeight="1">
      <c r="A93" s="197"/>
      <c r="B93" s="20"/>
      <c r="D93" s="13" t="s">
        <v>490</v>
      </c>
      <c r="E93" s="108">
        <f>G89/E89</f>
        <v>3.9999999999999982</v>
      </c>
      <c r="F93" s="11" t="s">
        <v>18</v>
      </c>
      <c r="G93" s="12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ht="18" customHeight="1">
      <c r="A94" s="197" t="s">
        <v>524</v>
      </c>
      <c r="B94" s="20"/>
      <c r="D94" s="17"/>
      <c r="E94" s="42"/>
      <c r="G94" s="12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ht="18" customHeight="1">
      <c r="A95" s="197"/>
      <c r="B95" s="138" t="s">
        <v>80</v>
      </c>
      <c r="D95" s="17"/>
      <c r="E95" s="42"/>
      <c r="G95" s="12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ht="18" customHeight="1">
      <c r="A96" s="138" t="s">
        <v>537</v>
      </c>
      <c r="D96" s="17"/>
      <c r="E96" s="42"/>
      <c r="G96" s="12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ht="18" customHeight="1">
      <c r="A97" s="197"/>
      <c r="D97" s="17"/>
      <c r="E97" s="42"/>
      <c r="G97" s="12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ht="18" customHeight="1">
      <c r="A98" s="197"/>
      <c r="B98" s="20"/>
      <c r="D98" s="17"/>
      <c r="E98" s="42"/>
      <c r="G98" s="12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7" ht="18" customHeight="1">
      <c r="A99" s="197"/>
      <c r="B99" s="20"/>
      <c r="D99" s="17"/>
      <c r="E99" s="42"/>
      <c r="G99" s="12"/>
    </row>
    <row r="100" spans="1:7" ht="18" customHeight="1">
      <c r="A100" s="197"/>
      <c r="B100" s="20"/>
      <c r="D100" s="17"/>
      <c r="E100" s="42"/>
      <c r="G100" s="12"/>
    </row>
    <row r="101" spans="1:7" ht="18" customHeight="1">
      <c r="A101" s="197"/>
      <c r="B101" s="20"/>
      <c r="D101" s="17"/>
      <c r="E101" s="42"/>
      <c r="G101" s="12"/>
    </row>
    <row r="102" spans="1:7" ht="18" customHeight="1">
      <c r="A102" s="197"/>
      <c r="B102" s="20"/>
      <c r="D102" s="17"/>
      <c r="E102" s="42"/>
      <c r="G102" s="12"/>
    </row>
    <row r="103" spans="1:7" ht="18" customHeight="1">
      <c r="A103" s="197"/>
      <c r="B103" s="20"/>
      <c r="D103" s="17"/>
      <c r="E103" s="42"/>
      <c r="G103" s="12"/>
    </row>
    <row r="104" spans="1:7" ht="18" customHeight="1">
      <c r="A104" s="197"/>
      <c r="B104" s="20"/>
      <c r="D104" s="17"/>
      <c r="E104" s="42"/>
      <c r="G104" s="12"/>
    </row>
    <row r="105" spans="1:7" ht="18" customHeight="1">
      <c r="A105" s="197"/>
      <c r="B105" s="20"/>
      <c r="C105" s="20"/>
      <c r="D105" s="26"/>
      <c r="E105" s="15"/>
      <c r="F105" s="17"/>
      <c r="G105" s="12"/>
    </row>
    <row r="106" spans="1:7" ht="18" customHeight="1">
      <c r="A106" s="197"/>
      <c r="B106" s="20"/>
      <c r="C106" s="20"/>
      <c r="D106" s="26"/>
      <c r="E106" s="15"/>
      <c r="F106" s="17"/>
      <c r="G106" s="12"/>
    </row>
    <row r="107" spans="1:7" ht="18" customHeight="1">
      <c r="A107" s="197"/>
      <c r="B107" s="20"/>
      <c r="C107" s="20"/>
      <c r="D107" s="26"/>
      <c r="E107" s="15"/>
      <c r="F107" s="17"/>
      <c r="G107" s="12"/>
    </row>
    <row r="108" spans="1:7" ht="18" customHeight="1">
      <c r="A108" s="197"/>
      <c r="B108" s="20"/>
      <c r="C108" s="20"/>
      <c r="D108" s="26"/>
      <c r="E108" s="15"/>
      <c r="F108" s="17"/>
      <c r="G108" s="12"/>
    </row>
    <row r="109" spans="1:7" ht="18" customHeight="1">
      <c r="A109" s="197"/>
      <c r="B109" s="20"/>
      <c r="C109" s="20"/>
      <c r="D109" s="26"/>
      <c r="E109" s="15"/>
      <c r="F109" s="17"/>
      <c r="G109" s="12"/>
    </row>
    <row r="110" spans="1:7" ht="18" customHeight="1">
      <c r="A110" s="197"/>
      <c r="B110" s="20"/>
      <c r="C110" s="20"/>
      <c r="D110" s="26"/>
      <c r="E110" s="15"/>
      <c r="F110" s="17"/>
      <c r="G110" s="12"/>
    </row>
    <row r="111" spans="1:7" ht="18" customHeight="1">
      <c r="A111" s="197"/>
      <c r="B111" s="20"/>
      <c r="C111" s="20"/>
      <c r="D111" s="26"/>
      <c r="E111" s="15"/>
      <c r="F111" s="17"/>
      <c r="G111" s="12"/>
    </row>
    <row r="112" spans="1:52" ht="18" customHeight="1">
      <c r="A112" s="197"/>
      <c r="B112" s="20"/>
      <c r="C112" s="20"/>
      <c r="D112" s="26"/>
      <c r="E112" s="15"/>
      <c r="F112" s="17"/>
      <c r="G112" s="12"/>
      <c r="AR112" s="116"/>
      <c r="AS112" s="116"/>
      <c r="AT112" s="116"/>
      <c r="AU112" s="116"/>
      <c r="AV112" s="116"/>
      <c r="AW112" s="116"/>
      <c r="AX112" s="116"/>
      <c r="AY112" s="116"/>
      <c r="AZ112" s="116"/>
    </row>
    <row r="113" spans="1:52" ht="18" customHeight="1">
      <c r="A113" s="197"/>
      <c r="B113" s="20"/>
      <c r="C113" s="20"/>
      <c r="D113" s="26"/>
      <c r="E113" s="15"/>
      <c r="F113" s="17"/>
      <c r="G113" s="12"/>
      <c r="AR113" s="116"/>
      <c r="AS113" s="116"/>
      <c r="AT113" s="116"/>
      <c r="AU113" s="116"/>
      <c r="AV113" s="116"/>
      <c r="AW113" s="116"/>
      <c r="AX113" s="116"/>
      <c r="AY113" s="116"/>
      <c r="AZ113" s="116"/>
    </row>
    <row r="114" spans="1:63" ht="18" customHeight="1">
      <c r="A114" s="197"/>
      <c r="B114" s="20"/>
      <c r="C114" s="20"/>
      <c r="D114" s="26"/>
      <c r="E114" s="15"/>
      <c r="F114" s="17"/>
      <c r="G114" s="12"/>
      <c r="AR114" s="116"/>
      <c r="AS114" s="116"/>
      <c r="AT114" s="116"/>
      <c r="AU114" s="116"/>
      <c r="AV114" s="116"/>
      <c r="AW114" s="116"/>
      <c r="AX114" s="116"/>
      <c r="AY114" s="116"/>
      <c r="AZ114" s="116"/>
      <c r="BI114" s="11" t="s">
        <v>81</v>
      </c>
      <c r="BJ114" s="11">
        <f>H+Ho</f>
        <v>8</v>
      </c>
      <c r="BK114" s="11" t="s">
        <v>18</v>
      </c>
    </row>
    <row r="115" spans="1:65" ht="18" customHeight="1">
      <c r="A115" s="197"/>
      <c r="B115" s="20"/>
      <c r="C115" s="20"/>
      <c r="D115" s="26"/>
      <c r="E115" s="15"/>
      <c r="F115" s="17"/>
      <c r="G115" s="12"/>
      <c r="AR115" s="116"/>
      <c r="AS115" s="116"/>
      <c r="AT115" s="116"/>
      <c r="AU115" s="116"/>
      <c r="AV115" s="116"/>
      <c r="AW115" s="116"/>
      <c r="AX115" s="116"/>
      <c r="AY115" s="116"/>
      <c r="AZ115" s="116"/>
      <c r="BI115" s="132" t="s">
        <v>256</v>
      </c>
      <c r="BJ115" s="11">
        <f>IF(Ho=0,PI()/2,IF(β=0,PI()/2,IF(Ho/TAN(β)&lt;H*TAN(α),PI()/2,ATAN((H+Ho-zc)/(1/TAN(β)*Ho-H*TAN(α))))))</f>
        <v>1.5707963267948966</v>
      </c>
      <c r="BK115" s="11" t="s">
        <v>82</v>
      </c>
      <c r="BL115" s="11">
        <f>BJ115*180/PI()</f>
        <v>90</v>
      </c>
      <c r="BM115" s="11" t="s">
        <v>83</v>
      </c>
    </row>
    <row r="116" spans="1:62" ht="18" customHeight="1">
      <c r="A116" s="197"/>
      <c r="B116" s="20"/>
      <c r="C116" s="20"/>
      <c r="D116" s="26"/>
      <c r="E116" s="15"/>
      <c r="F116" s="17"/>
      <c r="G116" s="12"/>
      <c r="AR116" s="116"/>
      <c r="AS116" s="116"/>
      <c r="AT116" s="116"/>
      <c r="AU116" s="116"/>
      <c r="AV116" s="116"/>
      <c r="AW116" s="116"/>
      <c r="AX116" s="116"/>
      <c r="AY116" s="116"/>
      <c r="AZ116" s="116"/>
      <c r="BD116" s="157" t="s">
        <v>257</v>
      </c>
      <c r="BE116" s="132" t="s">
        <v>258</v>
      </c>
      <c r="BF116" s="132" t="s">
        <v>259</v>
      </c>
      <c r="BG116" s="157" t="s">
        <v>260</v>
      </c>
      <c r="BH116" s="157" t="s">
        <v>261</v>
      </c>
      <c r="BI116" s="157" t="s">
        <v>262</v>
      </c>
      <c r="BJ116" s="157" t="s">
        <v>257</v>
      </c>
    </row>
    <row r="117" spans="1:62" ht="18" customHeight="1">
      <c r="A117" s="197"/>
      <c r="B117" s="20"/>
      <c r="C117" s="20"/>
      <c r="D117" s="26"/>
      <c r="E117" s="15"/>
      <c r="F117" s="17"/>
      <c r="G117" s="12"/>
      <c r="BD117" s="41">
        <f>IF(BI117&lt;0,0,MAX(0,(BI117/COS(θ)*SIN(BF117-φ+θ)-cu*BH117*COS(φ))/COS(BF117-φ-α-δ)))</f>
        <v>0</v>
      </c>
      <c r="BE117" s="11">
        <f>MIN(89,ROUNDUP((φ-θ)*180/PI(),0))</f>
        <v>35</v>
      </c>
      <c r="BF117" s="11">
        <f aca="true" t="shared" si="4" ref="BF117:BF148">BE117*PI()/180</f>
        <v>0.6108652381980153</v>
      </c>
      <c r="BG117" s="41">
        <f aca="true" t="shared" si="5" ref="BG117:BG169">IF(BF117&gt;=ωo,0,(TH-zc)/TAN(BF117)+H*TAN(α)-Ho/TAN(β))</f>
        <v>7.425184053936917</v>
      </c>
      <c r="BH117" s="41">
        <f>IF(BF117&gt;=ωo,IF(BF117=β,0,1/SIN(BF117-β)*(COS(α-β)*H/COS(α)-COS(β)*zc)),(TH-zc)/SIN(BF117))</f>
        <v>13.947574364968785</v>
      </c>
      <c r="BI117" s="41">
        <f>IF(BH117=0,0,IF(BF117&gt;=ωo,γ/(2*SIN(BF117-β))*(COS(BF117-α)*COS(α-β)/(COS(α))^2*H^2-COS(BF117)*COS(β)*zc^2),γ/2/COS(α)*(COS(BF117-α)/SIN(BF117)*TH^2-COS(α-β)/SIN(β)*Ho^2-COS(α)/TAN(BF117)*zc^2)+BG117*q))</f>
        <v>668.2665648543225</v>
      </c>
      <c r="BJ117" s="11">
        <f aca="true" t="shared" si="6" ref="BJ117:BJ148">BD117</f>
        <v>0</v>
      </c>
    </row>
    <row r="118" spans="1:62" ht="18" customHeight="1">
      <c r="A118" s="197"/>
      <c r="B118" s="20"/>
      <c r="C118" s="20"/>
      <c r="D118" s="26"/>
      <c r="E118" s="15"/>
      <c r="F118" s="17"/>
      <c r="G118" s="12"/>
      <c r="BD118" s="41">
        <f aca="true" t="shared" si="7" ref="BD118:BD169">IF(BI118&lt;0,0,MAX(0,(BI118/COS(θ)*SIN(BF118-φ+θ)-cu*BH118*COS(φ))/COS(BF118-φ-α-δ)))</f>
        <v>11.042485129740925</v>
      </c>
      <c r="BE118" s="11">
        <f aca="true" t="shared" si="8" ref="BE118:BE149">MIN(89,BE117+1)</f>
        <v>36</v>
      </c>
      <c r="BF118" s="11">
        <f t="shared" si="4"/>
        <v>0.6283185307179586</v>
      </c>
      <c r="BG118" s="41">
        <f t="shared" si="5"/>
        <v>7.011055363769389</v>
      </c>
      <c r="BH118" s="41">
        <f aca="true" t="shared" si="9" ref="BH118:BH130">IF(BF118&gt;=ωo,IF(BF118=β,0,1/SIN(BF118-β)*(COS(α-β)*H/COS(α)-COS(β)*zc)),(TH-zc)/SIN(BF118))</f>
        <v>13.610412933632638</v>
      </c>
      <c r="BI118" s="41">
        <f aca="true" t="shared" si="10" ref="BI118:BI130">IF(BH118=0,0,IF(BF118&gt;=ωo,γ/(2*SIN(BF118-β))*(COS(BF118-α)*COS(α-β)/(COS(α))^2*H^2-COS(BF118)*COS(β)*zc^2),γ/2/COS(α)*(COS(BF118-α)/SIN(BF118)*TH^2-COS(α-β)/SIN(β)*Ho^2-COS(α)/TAN(BF118)*zc^2)+BG118*q))</f>
        <v>630.994982739245</v>
      </c>
      <c r="BJ118" s="11">
        <f t="shared" si="6"/>
        <v>11.042485129740925</v>
      </c>
    </row>
    <row r="119" spans="1:62" ht="18" customHeight="1">
      <c r="A119" s="197"/>
      <c r="B119" s="20"/>
      <c r="C119" s="20"/>
      <c r="D119" s="26"/>
      <c r="E119" s="15"/>
      <c r="F119" s="17"/>
      <c r="G119" s="12"/>
      <c r="BD119" s="41">
        <f t="shared" si="7"/>
        <v>20.86861971246146</v>
      </c>
      <c r="BE119" s="11">
        <f t="shared" si="8"/>
        <v>37</v>
      </c>
      <c r="BF119" s="11">
        <f t="shared" si="4"/>
        <v>0.6457718232379019</v>
      </c>
      <c r="BG119" s="41">
        <f t="shared" si="5"/>
        <v>6.61635857296328</v>
      </c>
      <c r="BH119" s="41">
        <f t="shared" si="9"/>
        <v>13.293121128979866</v>
      </c>
      <c r="BI119" s="41">
        <f t="shared" si="10"/>
        <v>595.4722715666952</v>
      </c>
      <c r="BJ119" s="11">
        <f t="shared" si="6"/>
        <v>20.86861971246146</v>
      </c>
    </row>
    <row r="120" spans="1:62" ht="18" customHeight="1">
      <c r="A120" s="197"/>
      <c r="B120" s="20"/>
      <c r="C120" s="20"/>
      <c r="D120" s="26"/>
      <c r="E120" s="15"/>
      <c r="F120" s="17"/>
      <c r="G120" s="12"/>
      <c r="BD120" s="41">
        <f t="shared" si="7"/>
        <v>29.564368724384106</v>
      </c>
      <c r="BE120" s="11">
        <f t="shared" si="8"/>
        <v>38</v>
      </c>
      <c r="BF120" s="11">
        <f t="shared" si="4"/>
        <v>0.6632251157578452</v>
      </c>
      <c r="BG120" s="41">
        <f t="shared" si="5"/>
        <v>6.239533057544632</v>
      </c>
      <c r="BH120" s="41">
        <f t="shared" si="9"/>
        <v>12.994153963861955</v>
      </c>
      <c r="BI120" s="41">
        <f t="shared" si="10"/>
        <v>561.557975179017</v>
      </c>
      <c r="BJ120" s="11">
        <f t="shared" si="6"/>
        <v>29.564368724384106</v>
      </c>
    </row>
    <row r="121" spans="1:62" ht="18" customHeight="1">
      <c r="A121" s="197"/>
      <c r="B121" s="20"/>
      <c r="C121" s="20"/>
      <c r="D121" s="26"/>
      <c r="E121" s="15"/>
      <c r="F121" s="17"/>
      <c r="G121" s="12"/>
      <c r="BD121" s="41">
        <f t="shared" si="7"/>
        <v>37.2059275590749</v>
      </c>
      <c r="BE121" s="11">
        <f t="shared" si="8"/>
        <v>39</v>
      </c>
      <c r="BF121" s="11">
        <f t="shared" si="4"/>
        <v>0.6806784082777885</v>
      </c>
      <c r="BG121" s="41">
        <f t="shared" si="5"/>
        <v>5.879177252280412</v>
      </c>
      <c r="BH121" s="41">
        <f t="shared" si="9"/>
        <v>12.712125832525997</v>
      </c>
      <c r="BI121" s="41">
        <f t="shared" si="10"/>
        <v>529.1259527052372</v>
      </c>
      <c r="BJ121" s="11">
        <f t="shared" si="6"/>
        <v>37.2059275590749</v>
      </c>
    </row>
    <row r="122" spans="1:62" ht="18" customHeight="1">
      <c r="A122" s="197"/>
      <c r="B122" s="20"/>
      <c r="C122" s="20"/>
      <c r="D122" s="26"/>
      <c r="E122" s="15"/>
      <c r="F122" s="17"/>
      <c r="G122" s="12"/>
      <c r="BD122" s="41">
        <f t="shared" si="7"/>
        <v>43.86090823550585</v>
      </c>
      <c r="BE122" s="11">
        <f t="shared" si="8"/>
        <v>40</v>
      </c>
      <c r="BF122" s="11">
        <f t="shared" si="4"/>
        <v>0.6981317007977318</v>
      </c>
      <c r="BG122" s="41">
        <f t="shared" si="5"/>
        <v>5.53402874075368</v>
      </c>
      <c r="BH122" s="41">
        <f t="shared" si="9"/>
        <v>12.4457906148833</v>
      </c>
      <c r="BI122" s="41">
        <f t="shared" si="10"/>
        <v>498.0625866678314</v>
      </c>
      <c r="BJ122" s="11">
        <f t="shared" si="6"/>
        <v>43.86090823550585</v>
      </c>
    </row>
    <row r="123" spans="1:62" ht="18" customHeight="1">
      <c r="A123" s="197"/>
      <c r="B123" s="20"/>
      <c r="C123" s="20"/>
      <c r="D123" s="26"/>
      <c r="E123" s="15"/>
      <c r="F123" s="17"/>
      <c r="G123" s="12"/>
      <c r="BD123" s="41">
        <f t="shared" si="7"/>
        <v>49.58934805978377</v>
      </c>
      <c r="BE123" s="11">
        <f t="shared" si="8"/>
        <v>41</v>
      </c>
      <c r="BF123" s="11">
        <f t="shared" si="4"/>
        <v>0.715584993317675</v>
      </c>
      <c r="BG123" s="41">
        <f t="shared" si="5"/>
        <v>5.202947257768079</v>
      </c>
      <c r="BH123" s="41">
        <f t="shared" si="9"/>
        <v>12.194024693646517</v>
      </c>
      <c r="BI123" s="41">
        <f t="shared" si="10"/>
        <v>468.2652531991271</v>
      </c>
      <c r="BJ123" s="11">
        <f t="shared" si="6"/>
        <v>49.58934805978377</v>
      </c>
    </row>
    <row r="124" spans="1:62" ht="18" customHeight="1">
      <c r="A124" s="197"/>
      <c r="B124" s="20"/>
      <c r="C124" s="20"/>
      <c r="D124" s="26"/>
      <c r="E124" s="15"/>
      <c r="F124" s="17"/>
      <c r="G124" s="12"/>
      <c r="BD124" s="41">
        <f t="shared" si="7"/>
        <v>54.444570084980164</v>
      </c>
      <c r="BE124" s="11">
        <f t="shared" si="8"/>
        <v>42</v>
      </c>
      <c r="BF124" s="11">
        <f t="shared" si="4"/>
        <v>0.7330382858376184</v>
      </c>
      <c r="BG124" s="41">
        <f t="shared" si="5"/>
        <v>4.884900118633544</v>
      </c>
      <c r="BH124" s="41">
        <f t="shared" si="9"/>
        <v>11.95581239891687</v>
      </c>
      <c r="BI124" s="41">
        <f t="shared" si="10"/>
        <v>439.641010677019</v>
      </c>
      <c r="BJ124" s="11">
        <f t="shared" si="6"/>
        <v>54.444570084980164</v>
      </c>
    </row>
    <row r="125" spans="1:62" ht="18" customHeight="1">
      <c r="A125" s="197"/>
      <c r="B125" s="20"/>
      <c r="C125" s="20"/>
      <c r="D125" s="26"/>
      <c r="E125" s="15"/>
      <c r="F125" s="17"/>
      <c r="G125" s="12"/>
      <c r="BD125" s="41">
        <f t="shared" si="7"/>
        <v>58.47391922202934</v>
      </c>
      <c r="BE125" s="11">
        <f t="shared" si="8"/>
        <v>43</v>
      </c>
      <c r="BF125" s="11">
        <f t="shared" si="4"/>
        <v>0.7504915783575616</v>
      </c>
      <c r="BG125" s="41">
        <f t="shared" si="5"/>
        <v>4.5789496801974625</v>
      </c>
      <c r="BH125" s="41">
        <f t="shared" si="9"/>
        <v>11.730233485117</v>
      </c>
      <c r="BI125" s="41">
        <f t="shared" si="10"/>
        <v>412.10547121777154</v>
      </c>
      <c r="BJ125" s="11">
        <f t="shared" si="6"/>
        <v>58.47391922202934</v>
      </c>
    </row>
    <row r="126" spans="1:62" ht="18" customHeight="1">
      <c r="A126" s="197"/>
      <c r="B126" s="20"/>
      <c r="C126" s="20"/>
      <c r="D126" s="26"/>
      <c r="E126" s="15"/>
      <c r="F126" s="17"/>
      <c r="G126" s="12"/>
      <c r="BD126" s="41">
        <f t="shared" si="7"/>
        <v>61.719393483465815</v>
      </c>
      <c r="BE126" s="11">
        <f t="shared" si="8"/>
        <v>44</v>
      </c>
      <c r="BF126" s="11">
        <f t="shared" si="4"/>
        <v>0.767944870877505</v>
      </c>
      <c r="BG126" s="41">
        <f t="shared" si="5"/>
        <v>4.284242510324557</v>
      </c>
      <c r="BH126" s="41">
        <f t="shared" si="9"/>
        <v>11.516452317005811</v>
      </c>
      <c r="BI126" s="41">
        <f t="shared" si="10"/>
        <v>385.5818259292101</v>
      </c>
      <c r="BJ126" s="11">
        <f t="shared" si="6"/>
        <v>61.719393483465815</v>
      </c>
    </row>
    <row r="127" spans="1:62" ht="18" customHeight="1">
      <c r="A127" s="197"/>
      <c r="B127" s="20"/>
      <c r="C127" s="20"/>
      <c r="D127" s="26"/>
      <c r="E127" s="15"/>
      <c r="F127" s="17"/>
      <c r="G127" s="12"/>
      <c r="BD127" s="41">
        <f t="shared" si="7"/>
        <v>64.21818634144539</v>
      </c>
      <c r="BE127" s="11">
        <f t="shared" si="8"/>
        <v>45</v>
      </c>
      <c r="BF127" s="11">
        <f t="shared" si="4"/>
        <v>0.7853981633974483</v>
      </c>
      <c r="BG127" s="41">
        <f t="shared" si="5"/>
        <v>4</v>
      </c>
      <c r="BH127" s="41">
        <f t="shared" si="9"/>
        <v>11.313708498984761</v>
      </c>
      <c r="BI127" s="41">
        <f t="shared" si="10"/>
        <v>360.00000000000006</v>
      </c>
      <c r="BJ127" s="11">
        <f t="shared" si="6"/>
        <v>64.21818634144539</v>
      </c>
    </row>
    <row r="128" spans="1:62" ht="18" customHeight="1">
      <c r="A128" s="197"/>
      <c r="B128" s="20"/>
      <c r="C128" s="20"/>
      <c r="D128" s="26"/>
      <c r="E128" s="15"/>
      <c r="F128" s="17"/>
      <c r="G128" s="12"/>
      <c r="BD128" s="41">
        <f t="shared" si="7"/>
        <v>66.00315336224082</v>
      </c>
      <c r="BE128" s="11">
        <f t="shared" si="8"/>
        <v>46</v>
      </c>
      <c r="BF128" s="11">
        <f t="shared" si="4"/>
        <v>0.8028514559173915</v>
      </c>
      <c r="BG128" s="41">
        <f t="shared" si="5"/>
        <v>3.7255101984565937</v>
      </c>
      <c r="BH128" s="41">
        <f t="shared" si="9"/>
        <v>11.121308728133432</v>
      </c>
      <c r="BI128" s="41">
        <f t="shared" si="10"/>
        <v>335.2959178610936</v>
      </c>
      <c r="BJ128" s="11">
        <f t="shared" si="6"/>
        <v>66.00315336224082</v>
      </c>
    </row>
    <row r="129" spans="1:62" ht="18" customHeight="1">
      <c r="A129" s="197"/>
      <c r="B129" s="20"/>
      <c r="C129" s="20"/>
      <c r="D129" s="26"/>
      <c r="E129" s="15"/>
      <c r="F129" s="17"/>
      <c r="G129" s="12"/>
      <c r="BD129" s="41">
        <f t="shared" si="7"/>
        <v>67.10321399575605</v>
      </c>
      <c r="BE129" s="11">
        <f t="shared" si="8"/>
        <v>47</v>
      </c>
      <c r="BF129" s="11">
        <f t="shared" si="4"/>
        <v>0.8203047484373349</v>
      </c>
      <c r="BG129" s="41">
        <f t="shared" si="5"/>
        <v>3.4601206891012937</v>
      </c>
      <c r="BH129" s="41">
        <f t="shared" si="9"/>
        <v>10.938619688788762</v>
      </c>
      <c r="BI129" s="41">
        <f t="shared" si="10"/>
        <v>311.4108620191164</v>
      </c>
      <c r="BJ129" s="11">
        <f t="shared" si="6"/>
        <v>67.10321399575605</v>
      </c>
    </row>
    <row r="130" spans="1:62" ht="18" customHeight="1">
      <c r="A130" s="197"/>
      <c r="B130" s="20"/>
      <c r="C130" s="20"/>
      <c r="D130" s="26"/>
      <c r="E130" s="15"/>
      <c r="F130" s="17"/>
      <c r="G130" s="12"/>
      <c r="BD130" s="41">
        <f t="shared" si="7"/>
        <v>67.5436975383792</v>
      </c>
      <c r="BE130" s="11">
        <f t="shared" si="8"/>
        <v>48</v>
      </c>
      <c r="BF130" s="11">
        <f t="shared" si="4"/>
        <v>0.8377580409572781</v>
      </c>
      <c r="BG130" s="41">
        <f t="shared" si="5"/>
        <v>3.203232354382721</v>
      </c>
      <c r="BH130" s="41">
        <f t="shared" si="9"/>
        <v>10.765061836851011</v>
      </c>
      <c r="BI130" s="41">
        <f t="shared" si="10"/>
        <v>288.29091189444495</v>
      </c>
      <c r="BJ130" s="11">
        <f t="shared" si="6"/>
        <v>67.5436975383792</v>
      </c>
    </row>
    <row r="131" spans="1:62" ht="18" customHeight="1">
      <c r="A131" s="197"/>
      <c r="B131" s="20"/>
      <c r="C131" s="20"/>
      <c r="D131" s="26"/>
      <c r="E131" s="15"/>
      <c r="F131" s="17"/>
      <c r="G131" s="12"/>
      <c r="BD131" s="41">
        <f t="shared" si="7"/>
        <v>67.34664076359485</v>
      </c>
      <c r="BE131" s="11">
        <f t="shared" si="8"/>
        <v>49</v>
      </c>
      <c r="BF131" s="11">
        <f t="shared" si="4"/>
        <v>0.8552113334772214</v>
      </c>
      <c r="BG131" s="41">
        <f t="shared" si="5"/>
        <v>2.9542939025298147</v>
      </c>
      <c r="BH131" s="41">
        <f aca="true" t="shared" si="11" ref="BH131:BH147">IF(BF131&gt;=ωo,IF(BF131=β,0,1/SIN(BF131-β)*(COS(α-β)*H/COS(α)-COS(β)*zc)),(TH-zc)/SIN(BF131))</f>
        <v>10.60010394679049</v>
      </c>
      <c r="BI131" s="41">
        <f aca="true" t="shared" si="12" ref="BI131:BI147">IF(BH131=0,0,IF(BF131&gt;=ωo,γ/(2*SIN(BF131-β))*(COS(BF131-α)*COS(α-β)/(COS(α))^2*H^2-COS(BF131)*COS(β)*zc^2),γ/2/COS(α)*(COS(BF131-α)/SIN(BF131)*TH^2-COS(α-β)/SIN(β)*Ho^2-COS(α)/TAN(BF131)*zc^2)+BG131*q))</f>
        <v>265.8864512276833</v>
      </c>
      <c r="BJ131" s="11">
        <f t="shared" si="6"/>
        <v>67.34664076359485</v>
      </c>
    </row>
    <row r="132" spans="1:62" ht="18" customHeight="1">
      <c r="A132" s="197"/>
      <c r="B132" s="20"/>
      <c r="C132" s="20"/>
      <c r="D132" s="26"/>
      <c r="E132" s="15"/>
      <c r="F132" s="17"/>
      <c r="G132" s="12"/>
      <c r="BD132" s="41">
        <f t="shared" si="7"/>
        <v>66.53104345917241</v>
      </c>
      <c r="BE132" s="11">
        <f t="shared" si="8"/>
        <v>50</v>
      </c>
      <c r="BF132" s="11">
        <f t="shared" si="4"/>
        <v>0.8726646259971648</v>
      </c>
      <c r="BG132" s="41">
        <f t="shared" si="5"/>
        <v>2.7127970494182407</v>
      </c>
      <c r="BH132" s="41">
        <f t="shared" si="11"/>
        <v>10.443258314658229</v>
      </c>
      <c r="BI132" s="41">
        <f t="shared" si="12"/>
        <v>244.15173444764173</v>
      </c>
      <c r="BJ132" s="11">
        <f t="shared" si="6"/>
        <v>66.53104345917241</v>
      </c>
    </row>
    <row r="133" spans="1:62" ht="18" customHeight="1">
      <c r="A133" s="197"/>
      <c r="B133" s="20"/>
      <c r="C133" s="20"/>
      <c r="D133" s="26"/>
      <c r="E133" s="15"/>
      <c r="F133" s="17"/>
      <c r="G133" s="12"/>
      <c r="BD133" s="41">
        <f t="shared" si="7"/>
        <v>65.11308706896621</v>
      </c>
      <c r="BE133" s="11">
        <f t="shared" si="8"/>
        <v>51</v>
      </c>
      <c r="BF133" s="11">
        <f t="shared" si="4"/>
        <v>0.890117918517108</v>
      </c>
      <c r="BG133" s="41">
        <f t="shared" si="5"/>
        <v>2.4782722655600593</v>
      </c>
      <c r="BH133" s="41">
        <f t="shared" si="11"/>
        <v>10.29407652714534</v>
      </c>
      <c r="BI133" s="41">
        <f t="shared" si="12"/>
        <v>223.0445039004053</v>
      </c>
      <c r="BJ133" s="11">
        <f t="shared" si="6"/>
        <v>65.11308706896621</v>
      </c>
    </row>
    <row r="134" spans="1:62" ht="18" customHeight="1">
      <c r="A134" s="197"/>
      <c r="B134" s="20"/>
      <c r="C134" s="20"/>
      <c r="D134" s="26"/>
      <c r="E134" s="15"/>
      <c r="F134" s="17"/>
      <c r="G134" s="12"/>
      <c r="BD134" s="41">
        <f t="shared" si="7"/>
        <v>63.106320769116465</v>
      </c>
      <c r="BE134" s="11">
        <f t="shared" si="8"/>
        <v>52</v>
      </c>
      <c r="BF134" s="11">
        <f t="shared" si="4"/>
        <v>0.9075712110370514</v>
      </c>
      <c r="BG134" s="41">
        <f t="shared" si="5"/>
        <v>2.2502850120537397</v>
      </c>
      <c r="BH134" s="41">
        <f t="shared" si="11"/>
        <v>10.15214572058063</v>
      </c>
      <c r="BI134" s="41">
        <f t="shared" si="12"/>
        <v>202.52565108483657</v>
      </c>
      <c r="BJ134" s="11">
        <f t="shared" si="6"/>
        <v>63.106320769116465</v>
      </c>
    </row>
    <row r="135" spans="1:62" ht="18" customHeight="1">
      <c r="A135" s="197"/>
      <c r="B135" s="20"/>
      <c r="C135" s="20"/>
      <c r="D135" s="26"/>
      <c r="E135" s="15"/>
      <c r="F135" s="17"/>
      <c r="G135" s="12"/>
      <c r="BD135" s="41">
        <f t="shared" si="7"/>
        <v>60.52181857906072</v>
      </c>
      <c r="BE135" s="11">
        <f t="shared" si="8"/>
        <v>53</v>
      </c>
      <c r="BF135" s="11">
        <f t="shared" si="4"/>
        <v>0.9250245035569946</v>
      </c>
      <c r="BG135" s="41">
        <f t="shared" si="5"/>
        <v>2.028432400822355</v>
      </c>
      <c r="BH135" s="41">
        <f t="shared" si="11"/>
        <v>10.017085265249806</v>
      </c>
      <c r="BI135" s="41">
        <f t="shared" si="12"/>
        <v>182.55891607401185</v>
      </c>
      <c r="BJ135" s="11">
        <f t="shared" si="6"/>
        <v>60.52181857906072</v>
      </c>
    </row>
    <row r="136" spans="1:62" ht="18" customHeight="1">
      <c r="A136" s="197"/>
      <c r="B136" s="20"/>
      <c r="C136" s="20"/>
      <c r="D136" s="26"/>
      <c r="E136" s="15"/>
      <c r="F136" s="17"/>
      <c r="G136" s="12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D136" s="41">
        <f t="shared" si="7"/>
        <v>57.3683104902758</v>
      </c>
      <c r="BE136" s="11">
        <f t="shared" si="8"/>
        <v>54</v>
      </c>
      <c r="BF136" s="11">
        <f t="shared" si="4"/>
        <v>0.9424777960769379</v>
      </c>
      <c r="BG136" s="41">
        <f t="shared" si="5"/>
        <v>1.8123402240428885</v>
      </c>
      <c r="BH136" s="41">
        <f t="shared" si="11"/>
        <v>9.888543819998317</v>
      </c>
      <c r="BI136" s="41">
        <f t="shared" si="12"/>
        <v>163.11062016385983</v>
      </c>
      <c r="BJ136" s="11">
        <f t="shared" si="6"/>
        <v>57.3683104902758</v>
      </c>
    </row>
    <row r="137" spans="1:62" ht="18" customHeight="1">
      <c r="A137" s="197"/>
      <c r="B137" s="20"/>
      <c r="C137" s="20"/>
      <c r="D137" s="26"/>
      <c r="E137" s="15"/>
      <c r="F137" s="17"/>
      <c r="G137" s="12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D137" s="41">
        <f t="shared" si="7"/>
        <v>53.652290068277985</v>
      </c>
      <c r="BE137" s="11">
        <f t="shared" si="8"/>
        <v>55</v>
      </c>
      <c r="BF137" s="11">
        <f t="shared" si="4"/>
        <v>0.9599310885968813</v>
      </c>
      <c r="BG137" s="41">
        <f t="shared" si="5"/>
        <v>1.601660305677679</v>
      </c>
      <c r="BH137" s="41">
        <f t="shared" si="11"/>
        <v>9.766196710091648</v>
      </c>
      <c r="BI137" s="41">
        <f t="shared" si="12"/>
        <v>144.14942751099105</v>
      </c>
      <c r="BJ137" s="11">
        <f t="shared" si="6"/>
        <v>53.652290068277985</v>
      </c>
    </row>
    <row r="138" spans="1:62" ht="18" customHeight="1">
      <c r="A138" s="197"/>
      <c r="B138" s="20"/>
      <c r="C138" s="20"/>
      <c r="D138" s="26"/>
      <c r="E138" s="15"/>
      <c r="F138" s="17"/>
      <c r="G138" s="12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D138" s="41">
        <f t="shared" si="7"/>
        <v>49.3781005283756</v>
      </c>
      <c r="BE138" s="11">
        <f t="shared" si="8"/>
        <v>56</v>
      </c>
      <c r="BF138" s="11">
        <f t="shared" si="4"/>
        <v>0.9773843811168246</v>
      </c>
      <c r="BG138" s="41">
        <f t="shared" si="5"/>
        <v>1.3960681347394135</v>
      </c>
      <c r="BH138" s="41">
        <f t="shared" si="11"/>
        <v>9.649743588031242</v>
      </c>
      <c r="BI138" s="41">
        <f t="shared" si="12"/>
        <v>125.64613212654714</v>
      </c>
      <c r="BJ138" s="11">
        <f t="shared" si="6"/>
        <v>49.3781005283756</v>
      </c>
    </row>
    <row r="139" spans="1:62" ht="18" customHeight="1">
      <c r="A139" s="197"/>
      <c r="B139" s="20"/>
      <c r="C139" s="20"/>
      <c r="D139" s="26"/>
      <c r="E139" s="15"/>
      <c r="F139" s="17"/>
      <c r="G139" s="12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D139" s="41">
        <f t="shared" si="7"/>
        <v>44.54800088839637</v>
      </c>
      <c r="BE139" s="11">
        <f t="shared" si="8"/>
        <v>57</v>
      </c>
      <c r="BF139" s="11">
        <f t="shared" si="4"/>
        <v>0.9948376736367678</v>
      </c>
      <c r="BG139" s="41">
        <f t="shared" si="5"/>
        <v>1.1952607455800854</v>
      </c>
      <c r="BH139" s="41">
        <f t="shared" si="11"/>
        <v>9.53890634268758</v>
      </c>
      <c r="BI139" s="41">
        <f t="shared" si="12"/>
        <v>107.57346710220777</v>
      </c>
      <c r="BJ139" s="11">
        <f t="shared" si="6"/>
        <v>44.54800088839637</v>
      </c>
    </row>
    <row r="140" spans="1:62" ht="18" customHeight="1">
      <c r="A140" s="197"/>
      <c r="B140" s="20"/>
      <c r="C140" s="20"/>
      <c r="D140" s="26"/>
      <c r="E140" s="15"/>
      <c r="F140" s="17"/>
      <c r="G140" s="12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D140" s="41">
        <f t="shared" si="7"/>
        <v>39.16221344995526</v>
      </c>
      <c r="BE140" s="11">
        <f t="shared" si="8"/>
        <v>58</v>
      </c>
      <c r="BF140" s="11">
        <f t="shared" si="4"/>
        <v>1.0122909661567112</v>
      </c>
      <c r="BG140" s="41">
        <f t="shared" si="5"/>
        <v>0.9989548152746193</v>
      </c>
      <c r="BH140" s="41">
        <f t="shared" si="11"/>
        <v>9.433427226896772</v>
      </c>
      <c r="BI140" s="41">
        <f t="shared" si="12"/>
        <v>89.90593337471572</v>
      </c>
      <c r="BJ140" s="11">
        <f t="shared" si="6"/>
        <v>39.16221344995526</v>
      </c>
    </row>
    <row r="141" spans="1:62" ht="18" customHeight="1">
      <c r="A141" s="197"/>
      <c r="B141" s="20"/>
      <c r="C141" s="20"/>
      <c r="D141" s="26"/>
      <c r="E141" s="15"/>
      <c r="F141" s="17"/>
      <c r="G141" s="12"/>
      <c r="BA141" s="15"/>
      <c r="BD141" s="41">
        <f t="shared" si="7"/>
        <v>33.218953543534575</v>
      </c>
      <c r="BE141" s="11">
        <f t="shared" si="8"/>
        <v>59</v>
      </c>
      <c r="BF141" s="11">
        <f t="shared" si="4"/>
        <v>1.0297442586766543</v>
      </c>
      <c r="BG141" s="41">
        <f t="shared" si="5"/>
        <v>0.8068849522204853</v>
      </c>
      <c r="BH141" s="41">
        <f t="shared" si="11"/>
        <v>9.333067177722645</v>
      </c>
      <c r="BI141" s="41">
        <f t="shared" si="12"/>
        <v>72.61964569984362</v>
      </c>
      <c r="BJ141" s="11">
        <f t="shared" si="6"/>
        <v>33.218953543534575</v>
      </c>
    </row>
    <row r="142" spans="1:62" ht="18" customHeight="1">
      <c r="A142" s="197"/>
      <c r="B142" s="20"/>
      <c r="C142" s="20"/>
      <c r="D142" s="26"/>
      <c r="E142" s="15"/>
      <c r="F142" s="17"/>
      <c r="G142" s="12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D142" s="41">
        <f t="shared" si="7"/>
        <v>26.71444218288601</v>
      </c>
      <c r="BE142" s="11">
        <f t="shared" si="8"/>
        <v>60</v>
      </c>
      <c r="BF142" s="11">
        <f t="shared" si="4"/>
        <v>1.0471975511965976</v>
      </c>
      <c r="BG142" s="41">
        <f t="shared" si="5"/>
        <v>0.6188021535170081</v>
      </c>
      <c r="BH142" s="41">
        <f t="shared" si="11"/>
        <v>9.237604307034013</v>
      </c>
      <c r="BI142" s="41">
        <f t="shared" si="12"/>
        <v>55.69219381653064</v>
      </c>
      <c r="BJ142" s="11">
        <f t="shared" si="6"/>
        <v>26.71444218288601</v>
      </c>
    </row>
    <row r="143" spans="1:62" ht="18" customHeight="1">
      <c r="A143" s="138" t="s">
        <v>523</v>
      </c>
      <c r="C143" s="20"/>
      <c r="D143" s="44"/>
      <c r="E143" s="15"/>
      <c r="F143" s="17"/>
      <c r="G143" s="12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D143" s="41">
        <f t="shared" si="7"/>
        <v>19.642902003307206</v>
      </c>
      <c r="BE143" s="11">
        <f t="shared" si="8"/>
        <v>61</v>
      </c>
      <c r="BF143" s="11">
        <f t="shared" si="4"/>
        <v>1.064650843716541</v>
      </c>
      <c r="BG143" s="41">
        <f t="shared" si="5"/>
        <v>0.43447241162215233</v>
      </c>
      <c r="BH143" s="41">
        <f t="shared" si="11"/>
        <v>9.14683254298656</v>
      </c>
      <c r="BI143" s="41">
        <f t="shared" si="12"/>
        <v>39.10251704599368</v>
      </c>
      <c r="BJ143" s="11">
        <f t="shared" si="6"/>
        <v>19.642902003307206</v>
      </c>
    </row>
    <row r="144" spans="1:62" ht="18" customHeight="1">
      <c r="A144" s="197"/>
      <c r="B144" s="20"/>
      <c r="C144" s="134" t="s">
        <v>39</v>
      </c>
      <c r="D144" s="139" t="s">
        <v>269</v>
      </c>
      <c r="E144" s="3">
        <f>'入力'!D13</f>
        <v>35</v>
      </c>
      <c r="F144" s="43" t="s">
        <v>484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D144" s="41">
        <f t="shared" si="7"/>
        <v>11.996536599177405</v>
      </c>
      <c r="BE144" s="11">
        <f t="shared" si="8"/>
        <v>62</v>
      </c>
      <c r="BF144" s="11">
        <f t="shared" si="4"/>
        <v>1.0821041362364843</v>
      </c>
      <c r="BG144" s="41">
        <f t="shared" si="5"/>
        <v>0.2536754532918306</v>
      </c>
      <c r="BH144" s="41">
        <f t="shared" si="11"/>
        <v>9.060560405512314</v>
      </c>
      <c r="BI144" s="41">
        <f t="shared" si="12"/>
        <v>22.830790796264733</v>
      </c>
      <c r="BJ144" s="11">
        <f t="shared" si="6"/>
        <v>11.996536599177405</v>
      </c>
    </row>
    <row r="145" spans="1:62" ht="18" customHeight="1">
      <c r="A145" s="197"/>
      <c r="B145" s="20"/>
      <c r="C145" s="134" t="s">
        <v>84</v>
      </c>
      <c r="D145" s="139" t="s">
        <v>271</v>
      </c>
      <c r="E145" s="266">
        <f>IF(Kh=0,E144*2/3,E144/2)</f>
        <v>23.333333333333332</v>
      </c>
      <c r="F145" s="43" t="s">
        <v>484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D145" s="41">
        <f t="shared" si="7"/>
        <v>3.7654931222900205</v>
      </c>
      <c r="BE145" s="11">
        <f t="shared" si="8"/>
        <v>63</v>
      </c>
      <c r="BF145" s="11">
        <f t="shared" si="4"/>
        <v>1.0995574287564276</v>
      </c>
      <c r="BG145" s="41">
        <f t="shared" si="5"/>
        <v>0.07620359595543169</v>
      </c>
      <c r="BH145" s="41">
        <f t="shared" si="11"/>
        <v>8.978609901074886</v>
      </c>
      <c r="BI145" s="41">
        <f t="shared" si="12"/>
        <v>6.858323635988764</v>
      </c>
      <c r="BJ145" s="11">
        <f t="shared" si="6"/>
        <v>3.7654931222900205</v>
      </c>
    </row>
    <row r="146" spans="1:62" ht="18" customHeight="1">
      <c r="A146" s="197"/>
      <c r="B146" s="20"/>
      <c r="C146" s="134" t="s">
        <v>85</v>
      </c>
      <c r="D146" s="139" t="s">
        <v>272</v>
      </c>
      <c r="E146" s="266">
        <f>θ*180/PI()</f>
        <v>0</v>
      </c>
      <c r="F146" s="43" t="s">
        <v>484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D146" s="41">
        <f t="shared" si="7"/>
        <v>0</v>
      </c>
      <c r="BE146" s="11">
        <f t="shared" si="8"/>
        <v>64</v>
      </c>
      <c r="BF146" s="11">
        <f t="shared" si="4"/>
        <v>1.117010721276371</v>
      </c>
      <c r="BG146" s="41">
        <f t="shared" si="5"/>
        <v>-0.09813929147310763</v>
      </c>
      <c r="BH146" s="41">
        <f t="shared" si="11"/>
        <v>8.90081552380151</v>
      </c>
      <c r="BI146" s="41">
        <f t="shared" si="12"/>
        <v>-8.832536232579777</v>
      </c>
      <c r="BJ146" s="11">
        <f t="shared" si="6"/>
        <v>0</v>
      </c>
    </row>
    <row r="147" spans="1:62" ht="18" customHeight="1">
      <c r="A147" s="197"/>
      <c r="B147" s="20"/>
      <c r="C147" s="134" t="s">
        <v>86</v>
      </c>
      <c r="D147" s="139" t="s">
        <v>273</v>
      </c>
      <c r="E147" s="266">
        <f>α*180/PI()</f>
        <v>-26.56505117707799</v>
      </c>
      <c r="F147" s="43" t="s">
        <v>484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D147" s="41">
        <f t="shared" si="7"/>
        <v>0</v>
      </c>
      <c r="BE147" s="11">
        <f t="shared" si="8"/>
        <v>65</v>
      </c>
      <c r="BF147" s="11">
        <f t="shared" si="4"/>
        <v>1.1344640137963142</v>
      </c>
      <c r="BG147" s="41">
        <f t="shared" si="5"/>
        <v>-0.2695387347600109</v>
      </c>
      <c r="BH147" s="41">
        <f t="shared" si="11"/>
        <v>8.827023351699934</v>
      </c>
      <c r="BI147" s="41">
        <f t="shared" si="12"/>
        <v>-24.25848612840104</v>
      </c>
      <c r="BJ147" s="11">
        <f t="shared" si="6"/>
        <v>0</v>
      </c>
    </row>
    <row r="148" spans="1:62" ht="18" customHeight="1">
      <c r="A148" s="197"/>
      <c r="B148" s="20"/>
      <c r="C148" s="134" t="s">
        <v>87</v>
      </c>
      <c r="D148" s="139" t="s">
        <v>274</v>
      </c>
      <c r="E148" s="266">
        <f>β*180/PI()</f>
        <v>5.729577951308232E-05</v>
      </c>
      <c r="F148" s="43" t="s">
        <v>484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D148" s="41">
        <f t="shared" si="7"/>
        <v>0</v>
      </c>
      <c r="BE148" s="11">
        <f t="shared" si="8"/>
        <v>66</v>
      </c>
      <c r="BF148" s="11">
        <f t="shared" si="4"/>
        <v>1.1519173063162575</v>
      </c>
      <c r="BG148" s="41">
        <f t="shared" si="5"/>
        <v>-0.43817051753171077</v>
      </c>
      <c r="BH148" s="41">
        <f>IF(BF148&gt;=ωo,IF(BF148=β,0,1/SIN(BF148-β)*(COS(α-β)*H/COS(α)-COS(β)*zc)),(TH-zc)/SIN(BF148))</f>
        <v>8.757090228048375</v>
      </c>
      <c r="BI148" s="41">
        <f>IF(BH148=0,0,IF(BF148&gt;=ωo,γ/(2*SIN(BF148-β))*(COS(BF148-α)*COS(α-β)/(COS(α))^2*H^2-COS(BF148)*COS(β)*zc^2),γ/2/COS(α)*(COS(BF148-α)/SIN(BF148)*TH^2-COS(α-β)/SIN(β)*Ho^2-COS(α)/TAN(BF148)*zc^2)+BG148*q))</f>
        <v>-39.43534657785401</v>
      </c>
      <c r="BJ148" s="11">
        <f t="shared" si="6"/>
        <v>0</v>
      </c>
    </row>
    <row r="149" spans="1:62" ht="18" customHeight="1">
      <c r="A149" s="197"/>
      <c r="B149" s="20"/>
      <c r="C149" s="134" t="s">
        <v>88</v>
      </c>
      <c r="D149" s="44"/>
      <c r="E149" s="15"/>
      <c r="F149" s="17"/>
      <c r="G149" s="12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D149" s="41">
        <f t="shared" si="7"/>
        <v>0</v>
      </c>
      <c r="BE149" s="11">
        <f t="shared" si="8"/>
        <v>67</v>
      </c>
      <c r="BF149" s="11">
        <f aca="true" t="shared" si="13" ref="BF149:BF169">BE149*PI()/180</f>
        <v>1.1693705988362006</v>
      </c>
      <c r="BG149" s="41">
        <f t="shared" si="5"/>
        <v>-0.6042014703231602</v>
      </c>
      <c r="BH149" s="41">
        <f aca="true" t="shared" si="14" ref="BH149:BH169">IF(BF149&gt;=ωo,IF(BF149=β,0,1/SIN(BF149-β)*(COS(α-β)*H/COS(α)-COS(β)*zc)),(TH-zc)/SIN(BF149))</f>
        <v>8.69088301924237</v>
      </c>
      <c r="BI149" s="41">
        <f aca="true" t="shared" si="15" ref="BI149:BI169">IF(BH149=0,0,IF(BF149&gt;=ωo,γ/(2*SIN(BF149-β))*(COS(BF149-α)*COS(α-β)/(COS(α))^2*H^2-COS(BF149)*COS(β)*zc^2),γ/2/COS(α)*(COS(BF149-α)/SIN(BF149)*TH^2-COS(α-β)/SIN(β)*Ho^2-COS(α)/TAN(BF149)*zc^2)+BG149*q))</f>
        <v>-54.378132329084465</v>
      </c>
      <c r="BJ149" s="11">
        <f aca="true" t="shared" si="16" ref="BJ149:BJ169">BD149</f>
        <v>0</v>
      </c>
    </row>
    <row r="150" spans="1:62" ht="18" customHeight="1">
      <c r="A150" s="197"/>
      <c r="B150" s="20"/>
      <c r="C150" s="20"/>
      <c r="D150" s="44"/>
      <c r="E150" s="15"/>
      <c r="F150" s="268">
        <f>2*cu/γ*TAN(PI()/4+φ/2)</f>
        <v>0</v>
      </c>
      <c r="G150" s="12" t="s">
        <v>18</v>
      </c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D150" s="41">
        <f t="shared" si="7"/>
        <v>0</v>
      </c>
      <c r="BE150" s="11">
        <f aca="true" t="shared" si="17" ref="BE150:BE169">MIN(89,BE149+1)</f>
        <v>68</v>
      </c>
      <c r="BF150" s="11">
        <f t="shared" si="13"/>
        <v>1.1868238913561442</v>
      </c>
      <c r="BG150" s="41">
        <f t="shared" si="5"/>
        <v>-0.7677901933187457</v>
      </c>
      <c r="BH150" s="41">
        <f t="shared" si="14"/>
        <v>8.628277941420667</v>
      </c>
      <c r="BI150" s="41">
        <f t="shared" si="15"/>
        <v>-69.10111739868718</v>
      </c>
      <c r="BJ150" s="11">
        <f t="shared" si="16"/>
        <v>0</v>
      </c>
    </row>
    <row r="151" spans="1:62" ht="18" customHeight="1">
      <c r="A151" s="197"/>
      <c r="B151" s="20"/>
      <c r="C151" s="20"/>
      <c r="D151" s="44"/>
      <c r="E151" s="15"/>
      <c r="F151" s="17"/>
      <c r="G151" s="12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D151" s="41">
        <f t="shared" si="7"/>
        <v>0</v>
      </c>
      <c r="BE151" s="11">
        <f t="shared" si="17"/>
        <v>69</v>
      </c>
      <c r="BF151" s="11">
        <f t="shared" si="13"/>
        <v>1.2042771838760873</v>
      </c>
      <c r="BG151" s="41">
        <f t="shared" si="5"/>
        <v>-0.929087719716672</v>
      </c>
      <c r="BH151" s="41">
        <f t="shared" si="14"/>
        <v>8.569159949096232</v>
      </c>
      <c r="BI151" s="41">
        <f t="shared" si="15"/>
        <v>-83.61789477450056</v>
      </c>
      <c r="BJ151" s="11">
        <f t="shared" si="16"/>
        <v>0</v>
      </c>
    </row>
    <row r="152" spans="1:62" ht="18" customHeight="1">
      <c r="A152" s="138" t="s">
        <v>522</v>
      </c>
      <c r="C152" s="20"/>
      <c r="D152" s="44"/>
      <c r="E152" s="15"/>
      <c r="F152" s="17"/>
      <c r="G152" s="12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D152" s="41">
        <f t="shared" si="7"/>
        <v>0</v>
      </c>
      <c r="BE152" s="11">
        <f t="shared" si="17"/>
        <v>70</v>
      </c>
      <c r="BF152" s="11">
        <f t="shared" si="13"/>
        <v>1.2217304763960306</v>
      </c>
      <c r="BG152" s="41">
        <f t="shared" si="5"/>
        <v>-1.08823812587038</v>
      </c>
      <c r="BH152" s="41">
        <f t="shared" si="14"/>
        <v>8.513422179807298</v>
      </c>
      <c r="BI152" s="41">
        <f t="shared" si="15"/>
        <v>-97.94143132833426</v>
      </c>
      <c r="BJ152" s="11">
        <f t="shared" si="16"/>
        <v>0</v>
      </c>
    </row>
    <row r="153" spans="1:62" ht="18" customHeight="1">
      <c r="A153" s="197"/>
      <c r="C153" s="140" t="s">
        <v>275</v>
      </c>
      <c r="D153" s="158" t="s">
        <v>266</v>
      </c>
      <c r="E153" s="158" t="s">
        <v>267</v>
      </c>
      <c r="F153" s="158" t="s">
        <v>268</v>
      </c>
      <c r="G153" s="159" t="s">
        <v>263</v>
      </c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D153" s="41">
        <f>IF(BI153&lt;0,0,MAX(0,(BI153/COS(θ)*SIN(BF153-φ+θ)-cu*BH153*COS(φ))/COS(BF153-φ-α-δ)))</f>
        <v>0</v>
      </c>
      <c r="BE153" s="11">
        <f t="shared" si="17"/>
        <v>71</v>
      </c>
      <c r="BF153" s="11">
        <f t="shared" si="13"/>
        <v>1.239183768915974</v>
      </c>
      <c r="BG153" s="41">
        <f t="shared" si="5"/>
        <v>-1.245379093682677</v>
      </c>
      <c r="BH153" s="41">
        <f t="shared" si="14"/>
        <v>8.460965449493365</v>
      </c>
      <c r="BI153" s="41">
        <f t="shared" si="15"/>
        <v>-112.084118431441</v>
      </c>
      <c r="BJ153" s="11">
        <f t="shared" si="16"/>
        <v>0</v>
      </c>
    </row>
    <row r="154" spans="1:62" ht="18" customHeight="1">
      <c r="A154" s="197"/>
      <c r="C154" s="32">
        <f>ωAd-5</f>
        <v>43</v>
      </c>
      <c r="D154" s="35">
        <f>IF(C154&lt;$BE$117,0,VLOOKUP($C154,$BE$117:$BJ$169,3,FALSE))</f>
        <v>4.5789496801974625</v>
      </c>
      <c r="E154" s="35">
        <f>IF(C154&lt;$BE$117,0,VLOOKUP($C154,$BE$117:$BJ$169,4,FALSE))</f>
        <v>11.730233485117</v>
      </c>
      <c r="F154" s="35">
        <f>IF(C154&lt;$BE$117,0,VLOOKUP($C154,$BE$117:$BJ$169,5,FALSE))</f>
        <v>412.10547121777154</v>
      </c>
      <c r="G154" s="45">
        <f>IF(C154&lt;$BE$117,0,MAX(0,VLOOKUP($C154,$BE$117:$BJ$169,6,FALSE)))</f>
        <v>58.47391922202934</v>
      </c>
      <c r="AR154" s="15"/>
      <c r="AS154" s="15"/>
      <c r="AT154" s="15"/>
      <c r="AU154" s="15"/>
      <c r="AV154" s="15"/>
      <c r="AW154" s="15"/>
      <c r="AX154" s="15"/>
      <c r="AY154" s="15"/>
      <c r="AZ154" s="15"/>
      <c r="BD154" s="41">
        <f t="shared" si="7"/>
        <v>0</v>
      </c>
      <c r="BE154" s="11">
        <f t="shared" si="17"/>
        <v>72</v>
      </c>
      <c r="BF154" s="11">
        <f t="shared" si="13"/>
        <v>1.2566370614359172</v>
      </c>
      <c r="BG154" s="41">
        <f t="shared" si="5"/>
        <v>-1.4006424301367484</v>
      </c>
      <c r="BH154" s="41">
        <f t="shared" si="14"/>
        <v>8.411697793906137</v>
      </c>
      <c r="BI154" s="41">
        <f t="shared" si="15"/>
        <v>-126.05781871230745</v>
      </c>
      <c r="BJ154" s="11">
        <f t="shared" si="16"/>
        <v>0</v>
      </c>
    </row>
    <row r="155" spans="1:62" ht="18" customHeight="1">
      <c r="A155" s="197"/>
      <c r="C155" s="32">
        <f aca="true" t="shared" si="18" ref="C155:C164">C154+1</f>
        <v>44</v>
      </c>
      <c r="D155" s="35">
        <f aca="true" t="shared" si="19" ref="D155:D164">IF(C155&lt;$BE$117,0,VLOOKUP($C155,$BE$117:$BJ$169,3,FALSE))</f>
        <v>4.284242510324557</v>
      </c>
      <c r="E155" s="35">
        <f aca="true" t="shared" si="20" ref="E155:E164">IF(C155&lt;$BE$117,0,VLOOKUP($C155,$BE$117:$BJ$169,4,FALSE))</f>
        <v>11.516452317005811</v>
      </c>
      <c r="F155" s="35">
        <f aca="true" t="shared" si="21" ref="F155:F164">IF(C155&lt;$BE$117,0,VLOOKUP($C155,$BE$117:$BJ$169,5,FALSE))</f>
        <v>385.5818259292101</v>
      </c>
      <c r="G155" s="45">
        <f aca="true" t="shared" si="22" ref="G155:G164">IF(C155&lt;$BE$117,0,MAX(0,VLOOKUP($C155,$BE$117:$BJ$169,6,FALSE)))</f>
        <v>61.719393483465815</v>
      </c>
      <c r="AR155" s="15"/>
      <c r="AS155" s="15"/>
      <c r="AT155" s="15"/>
      <c r="AU155" s="15"/>
      <c r="AV155" s="15"/>
      <c r="AW155" s="15"/>
      <c r="AX155" s="15"/>
      <c r="AY155" s="15"/>
      <c r="AZ155" s="15"/>
      <c r="BD155" s="41">
        <f t="shared" si="7"/>
        <v>0</v>
      </c>
      <c r="BE155" s="11">
        <f t="shared" si="17"/>
        <v>73</v>
      </c>
      <c r="BF155" s="11">
        <f t="shared" si="13"/>
        <v>1.2740903539558606</v>
      </c>
      <c r="BG155" s="41">
        <f t="shared" si="5"/>
        <v>-1.5541545483307164</v>
      </c>
      <c r="BH155" s="41">
        <f t="shared" si="14"/>
        <v>8.365534051897184</v>
      </c>
      <c r="BI155" s="41">
        <f t="shared" si="15"/>
        <v>-139.87390934976457</v>
      </c>
      <c r="BJ155" s="11">
        <f t="shared" si="16"/>
        <v>0</v>
      </c>
    </row>
    <row r="156" spans="1:62" ht="18" customHeight="1">
      <c r="A156" s="197"/>
      <c r="C156" s="32">
        <f t="shared" si="18"/>
        <v>45</v>
      </c>
      <c r="D156" s="35">
        <f t="shared" si="19"/>
        <v>4</v>
      </c>
      <c r="E156" s="35">
        <f t="shared" si="20"/>
        <v>11.313708498984761</v>
      </c>
      <c r="F156" s="35">
        <f t="shared" si="21"/>
        <v>360.00000000000006</v>
      </c>
      <c r="G156" s="45">
        <f t="shared" si="22"/>
        <v>64.21818634144539</v>
      </c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D156" s="41">
        <f t="shared" si="7"/>
        <v>0</v>
      </c>
      <c r="BE156" s="11">
        <f t="shared" si="17"/>
        <v>74</v>
      </c>
      <c r="BF156" s="11">
        <f t="shared" si="13"/>
        <v>1.2915436464758039</v>
      </c>
      <c r="BG156" s="41">
        <f t="shared" si="5"/>
        <v>-1.7060369139295362</v>
      </c>
      <c r="BH156" s="41">
        <f t="shared" si="14"/>
        <v>8.322395486892816</v>
      </c>
      <c r="BI156" s="41">
        <f t="shared" si="15"/>
        <v>-153.5433222536583</v>
      </c>
      <c r="BJ156" s="11">
        <f t="shared" si="16"/>
        <v>0</v>
      </c>
    </row>
    <row r="157" spans="1:62" ht="18" customHeight="1">
      <c r="A157" s="197"/>
      <c r="C157" s="32">
        <f t="shared" si="18"/>
        <v>46</v>
      </c>
      <c r="D157" s="35">
        <f t="shared" si="19"/>
        <v>3.7255101984565937</v>
      </c>
      <c r="E157" s="35">
        <f t="shared" si="20"/>
        <v>11.121308728133432</v>
      </c>
      <c r="F157" s="35">
        <f t="shared" si="21"/>
        <v>335.2959178610936</v>
      </c>
      <c r="G157" s="45">
        <f t="shared" si="22"/>
        <v>66.00315336224082</v>
      </c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D157" s="41">
        <f t="shared" si="7"/>
        <v>0</v>
      </c>
      <c r="BE157" s="11">
        <f t="shared" si="17"/>
        <v>75</v>
      </c>
      <c r="BF157" s="11">
        <f t="shared" si="13"/>
        <v>1.3089969389957472</v>
      </c>
      <c r="BG157" s="41">
        <f t="shared" si="5"/>
        <v>-1.856406460551018</v>
      </c>
      <c r="BH157" s="41">
        <f t="shared" si="14"/>
        <v>8.282209443280664</v>
      </c>
      <c r="BI157" s="41">
        <f t="shared" si="15"/>
        <v>-167.07658144959169</v>
      </c>
      <c r="BJ157" s="11">
        <f t="shared" si="16"/>
        <v>0</v>
      </c>
    </row>
    <row r="158" spans="1:62" ht="18" customHeight="1">
      <c r="A158" s="197"/>
      <c r="C158" s="32">
        <f t="shared" si="18"/>
        <v>47</v>
      </c>
      <c r="D158" s="35">
        <f t="shared" si="19"/>
        <v>3.4601206891012937</v>
      </c>
      <c r="E158" s="35">
        <f t="shared" si="20"/>
        <v>10.938619688788762</v>
      </c>
      <c r="F158" s="35">
        <f t="shared" si="21"/>
        <v>311.4108620191164</v>
      </c>
      <c r="G158" s="45">
        <f t="shared" si="22"/>
        <v>67.10321399575605</v>
      </c>
      <c r="BA158" s="15"/>
      <c r="BD158" s="41">
        <f t="shared" si="7"/>
        <v>0</v>
      </c>
      <c r="BE158" s="11">
        <f t="shared" si="17"/>
        <v>76</v>
      </c>
      <c r="BF158" s="11">
        <f t="shared" si="13"/>
        <v>1.3264502315156903</v>
      </c>
      <c r="BG158" s="41">
        <f t="shared" si="5"/>
        <v>-2.0053759772545527</v>
      </c>
      <c r="BH158" s="41">
        <f t="shared" si="14"/>
        <v>8.244909034799186</v>
      </c>
      <c r="BI158" s="41">
        <f t="shared" si="15"/>
        <v>-180.4838379529098</v>
      </c>
      <c r="BJ158" s="11">
        <f t="shared" si="16"/>
        <v>0</v>
      </c>
    </row>
    <row r="159" spans="1:62" ht="18" customHeight="1">
      <c r="A159" s="197"/>
      <c r="C159" s="259">
        <f t="shared" si="18"/>
        <v>48</v>
      </c>
      <c r="D159" s="260">
        <f t="shared" si="19"/>
        <v>3.203232354382721</v>
      </c>
      <c r="E159" s="260">
        <f t="shared" si="20"/>
        <v>10.765061836851011</v>
      </c>
      <c r="F159" s="260">
        <f t="shared" si="21"/>
        <v>288.29091189444495</v>
      </c>
      <c r="G159" s="257">
        <f t="shared" si="22"/>
        <v>67.5436975383792</v>
      </c>
      <c r="BA159" s="15"/>
      <c r="BD159" s="41">
        <f t="shared" si="7"/>
        <v>0</v>
      </c>
      <c r="BE159" s="11">
        <f t="shared" si="17"/>
        <v>77</v>
      </c>
      <c r="BF159" s="11">
        <f t="shared" si="13"/>
        <v>1.3439035240356338</v>
      </c>
      <c r="BG159" s="41">
        <f t="shared" si="5"/>
        <v>-2.153054470995495</v>
      </c>
      <c r="BH159" s="41">
        <f t="shared" si="14"/>
        <v>8.210432862347133</v>
      </c>
      <c r="BI159" s="41">
        <f t="shared" si="15"/>
        <v>-193.77490238959467</v>
      </c>
      <c r="BJ159" s="11">
        <f t="shared" si="16"/>
        <v>0</v>
      </c>
    </row>
    <row r="160" spans="1:62" ht="18" customHeight="1">
      <c r="A160" s="197"/>
      <c r="C160" s="32">
        <f t="shared" si="18"/>
        <v>49</v>
      </c>
      <c r="D160" s="35">
        <f t="shared" si="19"/>
        <v>2.9542939025298147</v>
      </c>
      <c r="E160" s="35">
        <f t="shared" si="20"/>
        <v>10.60010394679049</v>
      </c>
      <c r="F160" s="35">
        <f t="shared" si="21"/>
        <v>265.8864512276833</v>
      </c>
      <c r="G160" s="45">
        <f t="shared" si="22"/>
        <v>67.34664076359485</v>
      </c>
      <c r="BA160" s="15"/>
      <c r="BD160" s="41">
        <f t="shared" si="7"/>
        <v>0</v>
      </c>
      <c r="BE160" s="11">
        <f t="shared" si="17"/>
        <v>78</v>
      </c>
      <c r="BF160" s="11">
        <f t="shared" si="13"/>
        <v>1.361356816555577</v>
      </c>
      <c r="BG160" s="41">
        <f t="shared" si="5"/>
        <v>-2.299547506639821</v>
      </c>
      <c r="BH160" s="41">
        <f t="shared" si="14"/>
        <v>8.178724758920234</v>
      </c>
      <c r="BI160" s="41">
        <f t="shared" si="15"/>
        <v>-206.959275597584</v>
      </c>
      <c r="BJ160" s="11">
        <f t="shared" si="16"/>
        <v>0</v>
      </c>
    </row>
    <row r="161" spans="1:62" ht="18" customHeight="1">
      <c r="A161" s="197"/>
      <c r="C161" s="32">
        <f t="shared" si="18"/>
        <v>50</v>
      </c>
      <c r="D161" s="35">
        <f t="shared" si="19"/>
        <v>2.7127970494182407</v>
      </c>
      <c r="E161" s="35">
        <f t="shared" si="20"/>
        <v>10.443258314658229</v>
      </c>
      <c r="F161" s="35">
        <f t="shared" si="21"/>
        <v>244.15173444764173</v>
      </c>
      <c r="G161" s="45">
        <f t="shared" si="22"/>
        <v>66.53104345917241</v>
      </c>
      <c r="BA161" s="15"/>
      <c r="BD161" s="41">
        <f t="shared" si="7"/>
        <v>0</v>
      </c>
      <c r="BE161" s="11">
        <f t="shared" si="17"/>
        <v>79</v>
      </c>
      <c r="BF161" s="11">
        <f t="shared" si="13"/>
        <v>1.3788101090755203</v>
      </c>
      <c r="BG161" s="41">
        <f t="shared" si="5"/>
        <v>-2.444957526898251</v>
      </c>
      <c r="BH161" s="41">
        <f t="shared" si="14"/>
        <v>8.149733559641714</v>
      </c>
      <c r="BI161" s="41">
        <f t="shared" si="15"/>
        <v>-220.04617742084258</v>
      </c>
      <c r="BJ161" s="11">
        <f t="shared" si="16"/>
        <v>0</v>
      </c>
    </row>
    <row r="162" spans="1:62" ht="18" customHeight="1">
      <c r="A162" s="197"/>
      <c r="C162" s="32">
        <f t="shared" si="18"/>
        <v>51</v>
      </c>
      <c r="D162" s="35">
        <f t="shared" si="19"/>
        <v>2.4782722655600593</v>
      </c>
      <c r="E162" s="35">
        <f t="shared" si="20"/>
        <v>10.29407652714534</v>
      </c>
      <c r="F162" s="35">
        <f t="shared" si="21"/>
        <v>223.0445039004053</v>
      </c>
      <c r="G162" s="45">
        <f t="shared" si="22"/>
        <v>65.11308706896621</v>
      </c>
      <c r="AR162" s="62"/>
      <c r="AS162" s="62"/>
      <c r="AT162" s="62"/>
      <c r="AU162" s="62"/>
      <c r="AV162" s="62"/>
      <c r="AW162" s="62"/>
      <c r="AX162" s="62"/>
      <c r="AY162" s="62"/>
      <c r="AZ162" s="62"/>
      <c r="BD162" s="41">
        <f t="shared" si="7"/>
        <v>0</v>
      </c>
      <c r="BE162" s="11">
        <f t="shared" si="17"/>
        <v>80</v>
      </c>
      <c r="BF162" s="11">
        <f t="shared" si="13"/>
        <v>1.3962634015954636</v>
      </c>
      <c r="BG162" s="41">
        <f t="shared" si="5"/>
        <v>-2.5893841543322793</v>
      </c>
      <c r="BH162" s="41">
        <f t="shared" si="14"/>
        <v>8.123412895085961</v>
      </c>
      <c r="BI162" s="41">
        <f t="shared" si="15"/>
        <v>-233.0445738899052</v>
      </c>
      <c r="BJ162" s="11">
        <f t="shared" si="16"/>
        <v>0</v>
      </c>
    </row>
    <row r="163" spans="1:62" ht="18" customHeight="1">
      <c r="A163" s="197"/>
      <c r="C163" s="32">
        <f t="shared" si="18"/>
        <v>52</v>
      </c>
      <c r="D163" s="35">
        <f t="shared" si="19"/>
        <v>2.2502850120537397</v>
      </c>
      <c r="E163" s="35">
        <f t="shared" si="20"/>
        <v>10.15214572058063</v>
      </c>
      <c r="F163" s="35">
        <f t="shared" si="21"/>
        <v>202.52565108483657</v>
      </c>
      <c r="G163" s="45">
        <f t="shared" si="22"/>
        <v>63.106320769116465</v>
      </c>
      <c r="AR163" s="49"/>
      <c r="AS163" s="49"/>
      <c r="AT163" s="49"/>
      <c r="AU163" s="49"/>
      <c r="AV163" s="49"/>
      <c r="AW163" s="49"/>
      <c r="AX163" s="49"/>
      <c r="AY163" s="49"/>
      <c r="AZ163" s="49"/>
      <c r="BD163" s="41">
        <f t="shared" si="7"/>
        <v>0</v>
      </c>
      <c r="BE163" s="11">
        <f t="shared" si="17"/>
        <v>81</v>
      </c>
      <c r="BF163" s="11">
        <f t="shared" si="13"/>
        <v>1.413716694115407</v>
      </c>
      <c r="BG163" s="41">
        <f t="shared" si="5"/>
        <v>-2.732924477403709</v>
      </c>
      <c r="BH163" s="41">
        <f t="shared" si="14"/>
        <v>8.099721006304023</v>
      </c>
      <c r="BI163" s="41">
        <f t="shared" si="15"/>
        <v>-245.96320296633388</v>
      </c>
      <c r="BJ163" s="11">
        <f t="shared" si="16"/>
        <v>0</v>
      </c>
    </row>
    <row r="164" spans="1:62" ht="18" customHeight="1">
      <c r="A164" s="197"/>
      <c r="C164" s="117">
        <f t="shared" si="18"/>
        <v>53</v>
      </c>
      <c r="D164" s="46">
        <f t="shared" si="19"/>
        <v>2.028432400822355</v>
      </c>
      <c r="E164" s="46">
        <f t="shared" si="20"/>
        <v>10.017085265249806</v>
      </c>
      <c r="F164" s="46">
        <f t="shared" si="21"/>
        <v>182.55891607401185</v>
      </c>
      <c r="G164" s="47">
        <f t="shared" si="22"/>
        <v>60.52181857906072</v>
      </c>
      <c r="AR164" s="50"/>
      <c r="AS164" s="50"/>
      <c r="AT164" s="50"/>
      <c r="AU164" s="50"/>
      <c r="AV164" s="50"/>
      <c r="AW164" s="50"/>
      <c r="AX164" s="50"/>
      <c r="AY164" s="50"/>
      <c r="AZ164" s="50"/>
      <c r="BD164" s="41">
        <f t="shared" si="7"/>
        <v>0</v>
      </c>
      <c r="BE164" s="11">
        <f t="shared" si="17"/>
        <v>82</v>
      </c>
      <c r="BF164" s="11">
        <f t="shared" si="13"/>
        <v>1.43116998663535</v>
      </c>
      <c r="BG164" s="41">
        <f t="shared" si="5"/>
        <v>-2.875673322380866</v>
      </c>
      <c r="BH164" s="41">
        <f t="shared" si="14"/>
        <v>8.078620580148945</v>
      </c>
      <c r="BI164" s="41">
        <f t="shared" si="15"/>
        <v>-258.810599014278</v>
      </c>
      <c r="BJ164" s="11">
        <f t="shared" si="16"/>
        <v>0</v>
      </c>
    </row>
    <row r="165" spans="1:62" ht="18" customHeight="1">
      <c r="A165" s="197"/>
      <c r="B165" s="20"/>
      <c r="C165" s="20"/>
      <c r="D165" s="48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AR165" s="50"/>
      <c r="AS165" s="50"/>
      <c r="AT165" s="50"/>
      <c r="AU165" s="50"/>
      <c r="AV165" s="50"/>
      <c r="AW165" s="50"/>
      <c r="AX165" s="50"/>
      <c r="AY165" s="50"/>
      <c r="AZ165" s="50"/>
      <c r="BD165" s="41">
        <f t="shared" si="7"/>
        <v>0</v>
      </c>
      <c r="BE165" s="11">
        <f t="shared" si="17"/>
        <v>83</v>
      </c>
      <c r="BF165" s="11">
        <f t="shared" si="13"/>
        <v>1.4486232791552935</v>
      </c>
      <c r="BG165" s="41">
        <f t="shared" si="5"/>
        <v>-3.0177235127767625</v>
      </c>
      <c r="BH165" s="41">
        <f t="shared" si="14"/>
        <v>8.060078603670787</v>
      </c>
      <c r="BI165" s="41">
        <f t="shared" si="15"/>
        <v>-271.59511614990873</v>
      </c>
      <c r="BJ165" s="11">
        <f t="shared" si="16"/>
        <v>0</v>
      </c>
    </row>
    <row r="166" spans="1:62" ht="18" customHeight="1">
      <c r="A166" s="197"/>
      <c r="B166" s="20"/>
      <c r="C166" s="20"/>
      <c r="D166" s="26"/>
      <c r="E166" s="15"/>
      <c r="F166" s="20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AR166" s="50"/>
      <c r="AS166" s="50"/>
      <c r="AT166" s="50"/>
      <c r="AU166" s="50"/>
      <c r="AV166" s="50"/>
      <c r="AW166" s="50"/>
      <c r="AX166" s="50"/>
      <c r="AY166" s="50"/>
      <c r="AZ166" s="50"/>
      <c r="BD166" s="41">
        <f t="shared" si="7"/>
        <v>0</v>
      </c>
      <c r="BE166" s="11">
        <f t="shared" si="17"/>
        <v>84</v>
      </c>
      <c r="BF166" s="11">
        <f t="shared" si="13"/>
        <v>1.4660765716752369</v>
      </c>
      <c r="BG166" s="41">
        <f t="shared" si="5"/>
        <v>-3.1591661178745882</v>
      </c>
      <c r="BH166" s="41">
        <f t="shared" si="14"/>
        <v>8.044066236508131</v>
      </c>
      <c r="BI166" s="41">
        <f t="shared" si="15"/>
        <v>-284.32495060871304</v>
      </c>
      <c r="BJ166" s="11">
        <f t="shared" si="16"/>
        <v>0</v>
      </c>
    </row>
    <row r="167" spans="1:62" ht="18" customHeight="1">
      <c r="A167" s="197"/>
      <c r="B167" s="20"/>
      <c r="C167" s="20"/>
      <c r="D167" s="26"/>
      <c r="E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BD167" s="41">
        <f t="shared" si="7"/>
        <v>0</v>
      </c>
      <c r="BE167" s="11">
        <f t="shared" si="17"/>
        <v>85</v>
      </c>
      <c r="BF167" s="11">
        <f t="shared" si="13"/>
        <v>1.4835298641951802</v>
      </c>
      <c r="BG167" s="41">
        <f t="shared" si="5"/>
        <v>-3.300090691792608</v>
      </c>
      <c r="BH167" s="41">
        <f t="shared" si="14"/>
        <v>8.030558700346779</v>
      </c>
      <c r="BI167" s="41">
        <f t="shared" si="15"/>
        <v>-297.0081622613348</v>
      </c>
      <c r="BJ167" s="11">
        <f t="shared" si="16"/>
        <v>0</v>
      </c>
    </row>
    <row r="168" spans="6:62" ht="18" customHeight="1">
      <c r="F168" s="20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BD168" s="41">
        <f t="shared" si="7"/>
        <v>0</v>
      </c>
      <c r="BE168" s="11">
        <f t="shared" si="17"/>
        <v>86</v>
      </c>
      <c r="BF168" s="11">
        <f t="shared" si="13"/>
        <v>1.5009831567151233</v>
      </c>
      <c r="BG168" s="41">
        <f t="shared" si="5"/>
        <v>-3.440585504451915</v>
      </c>
      <c r="BH168" s="41">
        <f t="shared" si="14"/>
        <v>8.019535184649378</v>
      </c>
      <c r="BI168" s="41">
        <f t="shared" si="15"/>
        <v>-309.6526954006724</v>
      </c>
      <c r="BJ168" s="11">
        <f t="shared" si="16"/>
        <v>0</v>
      </c>
    </row>
    <row r="169" spans="6:62" ht="18" customHeight="1">
      <c r="F169" s="20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BD169" s="41">
        <f t="shared" si="7"/>
        <v>0</v>
      </c>
      <c r="BE169" s="11">
        <f t="shared" si="17"/>
        <v>87</v>
      </c>
      <c r="BF169" s="11">
        <f t="shared" si="13"/>
        <v>1.5184364492350666</v>
      </c>
      <c r="BG169" s="41">
        <f t="shared" si="5"/>
        <v>-3.5807377657356687</v>
      </c>
      <c r="BH169" s="41">
        <f t="shared" si="14"/>
        <v>8.010978767983367</v>
      </c>
      <c r="BI169" s="41">
        <f t="shared" si="15"/>
        <v>-322.26639891621033</v>
      </c>
      <c r="BJ169" s="11">
        <f t="shared" si="16"/>
        <v>0</v>
      </c>
    </row>
    <row r="170" spans="6:61" ht="18" customHeight="1">
      <c r="F170" s="20"/>
      <c r="R170" s="115">
        <f>'入力'!D13/180*PI()</f>
        <v>0.6108652381980153</v>
      </c>
      <c r="S170" s="116" t="s">
        <v>270</v>
      </c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BD170" s="157" t="s">
        <v>263</v>
      </c>
      <c r="BE170" s="132" t="s">
        <v>264</v>
      </c>
      <c r="BF170" s="132" t="s">
        <v>265</v>
      </c>
      <c r="BG170" s="157" t="s">
        <v>266</v>
      </c>
      <c r="BH170" s="157" t="s">
        <v>267</v>
      </c>
      <c r="BI170" s="157" t="s">
        <v>268</v>
      </c>
    </row>
    <row r="171" spans="6:61" ht="18" customHeight="1">
      <c r="F171" s="20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15">
        <f>E145/180*PI()</f>
        <v>0.4072434921320102</v>
      </c>
      <c r="S171" s="116" t="s">
        <v>270</v>
      </c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BD171" s="11">
        <f>MAX(BD117:BD169)</f>
        <v>67.5436975383792</v>
      </c>
      <c r="BE171" s="51">
        <f>VLOOKUP($BD$171,$BD$117:$BI$169,2,FALSE)</f>
        <v>48</v>
      </c>
      <c r="BF171" s="51">
        <f>VLOOKUP($BD$171,$BD$117:$BI$169,3,FALSE)</f>
        <v>0.8377580409572781</v>
      </c>
      <c r="BG171" s="51">
        <f>VLOOKUP($BD$171,$BD$117:$BI$169,4,FALSE)</f>
        <v>3.203232354382721</v>
      </c>
      <c r="BH171" s="51">
        <f>VLOOKUP($BD$171,$BD$117:$BI$169,5,FALSE)</f>
        <v>10.765061836851011</v>
      </c>
      <c r="BI171" s="51">
        <f>VLOOKUP($BD$171,$BD$117:$BI$169,6,FALSE)</f>
        <v>288.29091189444495</v>
      </c>
    </row>
    <row r="172" spans="6:43" ht="18" customHeight="1">
      <c r="F172" s="20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14">
        <f>ATAN(Kh)</f>
        <v>0</v>
      </c>
      <c r="S172" s="116" t="s">
        <v>270</v>
      </c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</row>
    <row r="173" spans="1:52" ht="18" customHeight="1">
      <c r="A173" s="197"/>
      <c r="B173" s="20"/>
      <c r="C173" s="20"/>
      <c r="D173" s="4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14">
        <f>ATAN(-nr)</f>
        <v>-0.4636476090008061</v>
      </c>
      <c r="S173" s="116" t="s">
        <v>270</v>
      </c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T173" s="12"/>
      <c r="AU173" s="12"/>
      <c r="AV173" s="12"/>
      <c r="AW173" s="12"/>
      <c r="AX173" s="12"/>
      <c r="AY173" s="12"/>
      <c r="AZ173" s="12"/>
    </row>
    <row r="174" spans="1:45" ht="18" customHeight="1">
      <c r="A174" s="197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15">
        <f>IF(Ho=0,0.000001,IF(m=0,0.0001,ATAN(1/m)))</f>
        <v>1E-06</v>
      </c>
      <c r="S174" s="116" t="s">
        <v>270</v>
      </c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2"/>
      <c r="AS174" s="12"/>
    </row>
    <row r="175" spans="1:17" ht="18" customHeight="1">
      <c r="A175" s="197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54" ht="18" customHeight="1">
      <c r="A176" s="197"/>
      <c r="C176" s="132" t="s">
        <v>89</v>
      </c>
      <c r="E176" s="133" t="s">
        <v>276</v>
      </c>
      <c r="F176" s="265">
        <f>ωAd</f>
        <v>48</v>
      </c>
      <c r="G176" s="208" t="s">
        <v>465</v>
      </c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AT176" s="53"/>
      <c r="AU176" s="53"/>
      <c r="AV176" s="53"/>
      <c r="AW176" s="53"/>
      <c r="AX176" s="53"/>
      <c r="AY176" s="53"/>
      <c r="AZ176" s="53"/>
      <c r="BA176" s="53"/>
      <c r="BB176" s="41"/>
    </row>
    <row r="177" spans="1:53" ht="18" customHeight="1">
      <c r="A177" s="197"/>
      <c r="C177" s="132" t="s">
        <v>90</v>
      </c>
      <c r="E177" s="21" t="s">
        <v>277</v>
      </c>
      <c r="F177" s="269">
        <f>MAX(0,PA)</f>
        <v>67.5436975383792</v>
      </c>
      <c r="G177" s="15" t="s">
        <v>65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AR177" s="53"/>
      <c r="AS177" s="53"/>
      <c r="AT177" s="41"/>
      <c r="AU177" s="41"/>
      <c r="AV177" s="41"/>
      <c r="AW177" s="41"/>
      <c r="AX177" s="41"/>
      <c r="AY177" s="41"/>
      <c r="AZ177" s="41"/>
      <c r="BA177" s="41"/>
    </row>
    <row r="178" spans="1:53" ht="18" customHeight="1">
      <c r="A178" s="197"/>
      <c r="B178" s="20"/>
      <c r="D178" s="134" t="s">
        <v>91</v>
      </c>
      <c r="E178" s="20"/>
      <c r="F178" s="21" t="s">
        <v>491</v>
      </c>
      <c r="G178" s="266">
        <f>F177*SIN(α+δ)</f>
        <v>-3.8077228629998054</v>
      </c>
      <c r="H178" s="15" t="s">
        <v>65</v>
      </c>
      <c r="I178" s="15"/>
      <c r="J178" s="15"/>
      <c r="K178" s="15"/>
      <c r="L178" s="15"/>
      <c r="M178" s="15"/>
      <c r="N178" s="15"/>
      <c r="O178" s="15"/>
      <c r="P178" s="15"/>
      <c r="Q178" s="15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</row>
    <row r="179" spans="1:54" ht="18" customHeight="1">
      <c r="A179" s="197"/>
      <c r="B179" s="20"/>
      <c r="D179" s="134" t="s">
        <v>92</v>
      </c>
      <c r="E179" s="20"/>
      <c r="F179" s="21" t="s">
        <v>492</v>
      </c>
      <c r="G179" s="266">
        <f>F177*COS(α+δ)</f>
        <v>67.43628343669779</v>
      </c>
      <c r="H179" s="15" t="s">
        <v>65</v>
      </c>
      <c r="I179" s="15"/>
      <c r="J179" s="15"/>
      <c r="K179" s="15"/>
      <c r="L179" s="15"/>
      <c r="M179" s="15"/>
      <c r="N179" s="15"/>
      <c r="O179" s="15"/>
      <c r="P179" s="15"/>
      <c r="Q179" s="15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</row>
    <row r="180" spans="1:54" ht="18" customHeight="1">
      <c r="A180" s="197"/>
      <c r="B180" s="20"/>
      <c r="C180" s="135" t="s">
        <v>93</v>
      </c>
      <c r="D180" s="15"/>
      <c r="F180" s="13" t="s">
        <v>493</v>
      </c>
      <c r="G180" s="269">
        <f>B+nr*G181</f>
        <v>2.227333333333333</v>
      </c>
      <c r="H180" s="15" t="s">
        <v>18</v>
      </c>
      <c r="I180" s="15"/>
      <c r="J180" s="15"/>
      <c r="K180" s="15"/>
      <c r="L180" s="15"/>
      <c r="M180" s="15"/>
      <c r="N180" s="15"/>
      <c r="O180" s="15"/>
      <c r="P180" s="15"/>
      <c r="Q180" s="15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</row>
    <row r="181" spans="6:54" ht="18" customHeight="1">
      <c r="F181" s="13" t="s">
        <v>278</v>
      </c>
      <c r="G181" s="108">
        <f>H/3</f>
        <v>2.6666666666666665</v>
      </c>
      <c r="H181" s="11" t="s">
        <v>18</v>
      </c>
      <c r="AR181" s="41"/>
      <c r="AS181" s="41"/>
      <c r="BA181" s="41"/>
      <c r="BB181" s="41"/>
    </row>
    <row r="182" spans="6:7" ht="18" customHeight="1">
      <c r="F182" s="13"/>
      <c r="G182" s="108"/>
    </row>
    <row r="183" spans="3:7" ht="18" customHeight="1">
      <c r="C183" s="132" t="s">
        <v>371</v>
      </c>
      <c r="F183" s="13"/>
      <c r="G183" s="268">
        <f>2*F177/(γ*H^2)</f>
        <v>0.10553702740371751</v>
      </c>
    </row>
    <row r="184" spans="3:7" ht="18" customHeight="1">
      <c r="C184" s="132"/>
      <c r="F184" s="13"/>
      <c r="G184" s="12"/>
    </row>
    <row r="185" spans="1:7" ht="18" customHeight="1">
      <c r="A185" s="200" t="s">
        <v>521</v>
      </c>
      <c r="G185" s="42"/>
    </row>
    <row r="186" spans="3:7" ht="18" customHeight="1">
      <c r="C186" s="133" t="s">
        <v>56</v>
      </c>
      <c r="D186" s="23" t="s">
        <v>280</v>
      </c>
      <c r="E186" s="270">
        <f>P</f>
        <v>0</v>
      </c>
      <c r="F186" s="11" t="s">
        <v>58</v>
      </c>
      <c r="G186" s="42"/>
    </row>
    <row r="187" spans="3:7" ht="18" customHeight="1">
      <c r="C187" s="133" t="s">
        <v>59</v>
      </c>
      <c r="D187" s="23" t="s">
        <v>281</v>
      </c>
      <c r="E187" s="3">
        <f>hp+H</f>
        <v>8</v>
      </c>
      <c r="F187" s="11" t="s">
        <v>18</v>
      </c>
      <c r="G187" s="42"/>
    </row>
    <row r="188" spans="3:7" ht="18" customHeight="1">
      <c r="C188" s="133" t="s">
        <v>94</v>
      </c>
      <c r="D188" s="23" t="s">
        <v>282</v>
      </c>
      <c r="E188" s="108">
        <f>Lw</f>
        <v>10</v>
      </c>
      <c r="F188" s="11" t="s">
        <v>18</v>
      </c>
      <c r="G188" s="42"/>
    </row>
    <row r="189" spans="3:7" ht="18" customHeight="1">
      <c r="C189" s="17" t="s">
        <v>372</v>
      </c>
      <c r="D189" s="23" t="s">
        <v>283</v>
      </c>
      <c r="E189" s="108">
        <f>E186/E188</f>
        <v>0</v>
      </c>
      <c r="F189" s="11" t="s">
        <v>65</v>
      </c>
      <c r="G189" s="42"/>
    </row>
    <row r="190" spans="6:7" ht="18" customHeight="1">
      <c r="F190" s="13"/>
      <c r="G190" s="42"/>
    </row>
    <row r="191" ht="18" customHeight="1">
      <c r="A191" s="197" t="s">
        <v>520</v>
      </c>
    </row>
    <row r="192" spans="18:43" ht="18" customHeight="1"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</row>
    <row r="193" spans="2:43" ht="18" customHeight="1">
      <c r="B193" s="301" t="s">
        <v>95</v>
      </c>
      <c r="C193" s="151" t="s">
        <v>96</v>
      </c>
      <c r="D193" s="151" t="s">
        <v>97</v>
      </c>
      <c r="E193" s="294" t="s">
        <v>284</v>
      </c>
      <c r="F193" s="295"/>
      <c r="G193" s="294" t="s">
        <v>285</v>
      </c>
      <c r="H193" s="296"/>
      <c r="I193" s="62"/>
      <c r="J193" s="62"/>
      <c r="K193" s="62"/>
      <c r="L193" s="62"/>
      <c r="M193" s="62"/>
      <c r="N193" s="62"/>
      <c r="O193" s="62"/>
      <c r="P193" s="62"/>
      <c r="Q193" s="62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</row>
    <row r="194" spans="2:43" ht="18" customHeight="1">
      <c r="B194" s="302"/>
      <c r="C194" s="54" t="s">
        <v>286</v>
      </c>
      <c r="D194" s="54" t="s">
        <v>287</v>
      </c>
      <c r="E194" s="54" t="s">
        <v>69</v>
      </c>
      <c r="F194" s="54" t="s">
        <v>98</v>
      </c>
      <c r="G194" s="54" t="s">
        <v>99</v>
      </c>
      <c r="H194" s="55" t="s">
        <v>100</v>
      </c>
      <c r="I194" s="49"/>
      <c r="J194" s="49"/>
      <c r="K194" s="49"/>
      <c r="L194" s="49"/>
      <c r="M194" s="49"/>
      <c r="N194" s="49"/>
      <c r="O194" s="49"/>
      <c r="P194" s="49"/>
      <c r="Q194" s="49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</row>
    <row r="195" spans="2:43" ht="18" customHeight="1">
      <c r="B195" s="142" t="s">
        <v>74</v>
      </c>
      <c r="C195" s="35">
        <f>E90</f>
        <v>164.49600000000004</v>
      </c>
      <c r="D195" s="35">
        <f>E91</f>
        <v>0</v>
      </c>
      <c r="E195" s="35">
        <f>E92</f>
        <v>2.4470000000000005</v>
      </c>
      <c r="F195" s="35">
        <f>E93</f>
        <v>3.9999999999999982</v>
      </c>
      <c r="G195" s="35">
        <f>C195*E195</f>
        <v>402.52171200000015</v>
      </c>
      <c r="H195" s="45">
        <f>D195*F195</f>
        <v>0</v>
      </c>
      <c r="I195" s="50"/>
      <c r="J195" s="50"/>
      <c r="K195" s="50"/>
      <c r="L195" s="50"/>
      <c r="M195" s="50"/>
      <c r="N195" s="50"/>
      <c r="O195" s="50"/>
      <c r="P195" s="50"/>
      <c r="Q195" s="50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</row>
    <row r="196" spans="2:43" ht="18" customHeight="1">
      <c r="B196" s="142" t="s">
        <v>76</v>
      </c>
      <c r="C196" s="35">
        <f>G178</f>
        <v>-3.8077228629998054</v>
      </c>
      <c r="D196" s="35">
        <f>G179</f>
        <v>67.43628343669779</v>
      </c>
      <c r="E196" s="56">
        <f>G180</f>
        <v>2.227333333333333</v>
      </c>
      <c r="F196" s="35">
        <f>G181</f>
        <v>2.6666666666666665</v>
      </c>
      <c r="G196" s="35">
        <f>C196*E196</f>
        <v>-8.4810680568549</v>
      </c>
      <c r="H196" s="45">
        <f>D196*F196</f>
        <v>179.83008916452744</v>
      </c>
      <c r="I196" s="50"/>
      <c r="J196" s="50"/>
      <c r="K196" s="50"/>
      <c r="L196" s="50"/>
      <c r="M196" s="50"/>
      <c r="N196" s="50"/>
      <c r="O196" s="50"/>
      <c r="P196" s="50"/>
      <c r="Q196" s="50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</row>
    <row r="197" spans="2:17" ht="18" customHeight="1">
      <c r="B197" s="168" t="s">
        <v>56</v>
      </c>
      <c r="C197" s="46">
        <f>0</f>
        <v>0</v>
      </c>
      <c r="D197" s="46">
        <f>E189</f>
        <v>0</v>
      </c>
      <c r="E197" s="261" t="s">
        <v>487</v>
      </c>
      <c r="F197" s="46">
        <f>H+hp</f>
        <v>8</v>
      </c>
      <c r="G197" s="46">
        <v>0</v>
      </c>
      <c r="H197" s="47">
        <f>D197*F197</f>
        <v>0</v>
      </c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2:43" ht="18" customHeight="1">
      <c r="B198" s="137" t="s">
        <v>101</v>
      </c>
      <c r="C198" s="57">
        <f>SUM(C195:C197)</f>
        <v>160.68827713700023</v>
      </c>
      <c r="D198" s="57">
        <f>SUM(D195:D197)</f>
        <v>67.43628343669779</v>
      </c>
      <c r="E198" s="256" t="s">
        <v>488</v>
      </c>
      <c r="F198" s="256" t="s">
        <v>488</v>
      </c>
      <c r="G198" s="57">
        <f>SUM(G195:G197)</f>
        <v>394.04064394314526</v>
      </c>
      <c r="H198" s="58">
        <f>SUM(H195:H197)</f>
        <v>179.83008916452744</v>
      </c>
      <c r="I198" s="50"/>
      <c r="J198" s="50"/>
      <c r="K198" s="50"/>
      <c r="L198" s="50"/>
      <c r="M198" s="50"/>
      <c r="N198" s="50"/>
      <c r="O198" s="50"/>
      <c r="P198" s="50"/>
      <c r="Q198" s="50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</row>
    <row r="199" spans="2:43" ht="18" customHeight="1">
      <c r="B199" s="133" t="s">
        <v>96</v>
      </c>
      <c r="C199" s="131" t="s">
        <v>290</v>
      </c>
      <c r="D199" s="108">
        <f>C198</f>
        <v>160.68827713700023</v>
      </c>
      <c r="E199" s="11" t="s">
        <v>65</v>
      </c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</row>
    <row r="200" spans="2:43" ht="18" customHeight="1">
      <c r="B200" s="133" t="s">
        <v>97</v>
      </c>
      <c r="C200" s="131" t="s">
        <v>291</v>
      </c>
      <c r="D200" s="108">
        <f>D198</f>
        <v>67.43628343669779</v>
      </c>
      <c r="E200" s="11" t="s">
        <v>65</v>
      </c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</row>
    <row r="201" spans="2:43" ht="18" customHeight="1">
      <c r="B201" s="133" t="s">
        <v>102</v>
      </c>
      <c r="C201" s="131" t="s">
        <v>292</v>
      </c>
      <c r="D201" s="108">
        <f>G198-H198</f>
        <v>214.21055477861782</v>
      </c>
      <c r="E201" s="11" t="s">
        <v>103</v>
      </c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</row>
    <row r="202" spans="2:43" ht="18" customHeight="1">
      <c r="B202" s="17"/>
      <c r="C202" s="13"/>
      <c r="D202" s="108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</row>
    <row r="203" spans="2:43" ht="18" customHeight="1">
      <c r="B203" s="132" t="s">
        <v>104</v>
      </c>
      <c r="C203" s="13" t="s">
        <v>105</v>
      </c>
      <c r="D203" s="268">
        <f>B</f>
        <v>0.8940000000000001</v>
      </c>
      <c r="E203" s="11" t="s">
        <v>18</v>
      </c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</row>
    <row r="204" spans="1:43" ht="18" customHeight="1">
      <c r="A204" s="201"/>
      <c r="B204" s="132" t="s">
        <v>106</v>
      </c>
      <c r="C204" s="13" t="s">
        <v>107</v>
      </c>
      <c r="D204" s="268">
        <f>D201/D199</f>
        <v>1.3330814082721503</v>
      </c>
      <c r="E204" s="11" t="s">
        <v>18</v>
      </c>
      <c r="F204" s="3"/>
      <c r="G204" s="17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</row>
    <row r="205" spans="1:43" ht="18" customHeight="1">
      <c r="A205" s="201"/>
      <c r="B205" s="132" t="s">
        <v>108</v>
      </c>
      <c r="C205" s="13" t="s">
        <v>477</v>
      </c>
      <c r="D205" s="268">
        <f>ABS(B/2-D204)</f>
        <v>0.8860814082721502</v>
      </c>
      <c r="E205" s="11" t="s">
        <v>18</v>
      </c>
      <c r="F205" s="3" t="str">
        <f>IF(ABS(D205)&gt;H205,"&gt;","&lt;")</f>
        <v>&gt;</v>
      </c>
      <c r="G205" s="13" t="s">
        <v>294</v>
      </c>
      <c r="H205" s="268">
        <f>B/6</f>
        <v>0.14900000000000002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</row>
    <row r="206" spans="1:43" ht="18" customHeight="1">
      <c r="A206" s="201"/>
      <c r="C206" s="11" t="str">
        <f>U232&amp;W232</f>
        <v>荷重の合力は核外(後方)</v>
      </c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</row>
    <row r="207" spans="1:43" ht="18" customHeight="1">
      <c r="A207" s="201"/>
      <c r="B207" s="59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</row>
    <row r="208" spans="1:43" ht="18" customHeight="1">
      <c r="A208" s="201"/>
      <c r="B208" s="59"/>
      <c r="C208" s="60"/>
      <c r="D208" s="61"/>
      <c r="E208" s="53"/>
      <c r="F208" s="53"/>
      <c r="G208" s="61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</row>
    <row r="209" spans="1:43" ht="18" customHeight="1">
      <c r="A209" s="201"/>
      <c r="B209" s="62"/>
      <c r="C209" s="63"/>
      <c r="D209" s="63"/>
      <c r="E209" s="60"/>
      <c r="F209" s="60"/>
      <c r="G209" s="6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</row>
    <row r="210" spans="1:17" ht="18" customHeight="1">
      <c r="A210" s="20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1:17" ht="18" customHeight="1">
      <c r="A211" s="201"/>
      <c r="B211" s="41"/>
      <c r="C211" s="63"/>
      <c r="D211" s="41"/>
      <c r="E211" s="41"/>
      <c r="F211" s="63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1:17" ht="18" customHeight="1">
      <c r="A212" s="201"/>
      <c r="B212" s="41"/>
      <c r="C212" s="63"/>
      <c r="D212" s="41"/>
      <c r="E212" s="41"/>
      <c r="F212" s="63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4" spans="61:63" ht="18" customHeight="1">
      <c r="BI214" s="17"/>
      <c r="BJ214" s="42"/>
      <c r="BK214" s="3"/>
    </row>
    <row r="215" spans="61:63" ht="18" customHeight="1">
      <c r="BI215" s="17"/>
      <c r="BJ215" s="42"/>
      <c r="BK215" s="3"/>
    </row>
    <row r="216" spans="61:63" ht="18" customHeight="1">
      <c r="BI216" s="17"/>
      <c r="BJ216" s="42"/>
      <c r="BK216" s="3"/>
    </row>
    <row r="217" spans="61:63" ht="18" customHeight="1">
      <c r="BI217" s="17"/>
      <c r="BJ217" s="42"/>
      <c r="BK217" s="3"/>
    </row>
    <row r="218" spans="58:63" ht="18" customHeight="1">
      <c r="BF218" s="120"/>
      <c r="BG218" s="120"/>
      <c r="BI218" s="17"/>
      <c r="BJ218" s="52"/>
      <c r="BK218" s="3"/>
    </row>
    <row r="219" spans="58:62" ht="18" customHeight="1">
      <c r="BF219" s="120"/>
      <c r="BG219" s="120"/>
      <c r="BJ219" s="160"/>
    </row>
    <row r="220" spans="58:72" ht="18" customHeight="1">
      <c r="BF220" s="120"/>
      <c r="BG220" s="15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</row>
    <row r="221" spans="58:72" ht="18" customHeight="1">
      <c r="BF221" s="120"/>
      <c r="BG221" s="15"/>
      <c r="BJ221" s="162"/>
      <c r="BK221" s="162"/>
      <c r="BL221" s="162"/>
      <c r="BM221" s="162"/>
      <c r="BN221" s="162"/>
      <c r="BO221" s="162"/>
      <c r="BP221" s="162"/>
      <c r="BQ221" s="162"/>
      <c r="BR221" s="162"/>
      <c r="BS221" s="162"/>
      <c r="BT221" s="162"/>
    </row>
    <row r="222" spans="1:72" ht="18" customHeight="1">
      <c r="A222" s="197" t="s">
        <v>519</v>
      </c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BF222" s="120"/>
      <c r="BG222" s="15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2"/>
    </row>
    <row r="223" spans="2:62" ht="18" customHeight="1">
      <c r="B223" s="132" t="s">
        <v>109</v>
      </c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BF223" s="120"/>
      <c r="BG223" s="15"/>
      <c r="BJ223" s="163"/>
    </row>
    <row r="224" spans="1:62" ht="18" customHeight="1">
      <c r="A224" s="199" t="s">
        <v>518</v>
      </c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BG224" s="15"/>
      <c r="BJ224" s="163"/>
    </row>
    <row r="225" spans="18:62" ht="18" customHeight="1"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BG225" s="15"/>
      <c r="BJ225" s="164"/>
    </row>
    <row r="226" spans="18:62" ht="18" customHeight="1"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BG226" s="15"/>
      <c r="BJ226" s="165"/>
    </row>
    <row r="227" spans="18:62" ht="18" customHeight="1"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BG227" s="15"/>
      <c r="BJ227" s="164"/>
    </row>
    <row r="228" spans="59:62" ht="18" customHeight="1">
      <c r="BG228" s="15"/>
      <c r="BJ228" s="164"/>
    </row>
    <row r="229" spans="59:62" ht="18" customHeight="1">
      <c r="BG229" s="15"/>
      <c r="BJ229" s="164"/>
    </row>
    <row r="230" spans="59:62" ht="18" customHeight="1">
      <c r="BG230" s="15"/>
      <c r="BJ230" s="164"/>
    </row>
    <row r="231" spans="59:62" ht="18" customHeight="1">
      <c r="BG231" s="15"/>
      <c r="BI231" s="20"/>
      <c r="BJ231" s="165"/>
    </row>
    <row r="232" spans="21:62" ht="18" customHeight="1">
      <c r="U232" s="11" t="str">
        <f>IF(e&lt;=B/6,"荷重の合力は核内","荷重の合力は核外")</f>
        <v>荷重の合力は核外</v>
      </c>
      <c r="W232" s="11" t="str">
        <f>IF(d&lt;=B/2,"(前方)","(後方)")</f>
        <v>(後方)</v>
      </c>
      <c r="BG232" s="17"/>
      <c r="BJ232" s="165"/>
    </row>
    <row r="233" spans="59:62" ht="18" customHeight="1">
      <c r="BG233" s="20"/>
      <c r="BJ233" s="165"/>
    </row>
    <row r="234" spans="18:62" ht="18" customHeight="1"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BG234" s="17"/>
      <c r="BJ234" s="165"/>
    </row>
    <row r="235" spans="59:62" ht="18" customHeight="1">
      <c r="BG235" s="20"/>
      <c r="BJ235" s="165"/>
    </row>
    <row r="236" ht="18" customHeight="1">
      <c r="A236" s="199" t="s">
        <v>552</v>
      </c>
    </row>
    <row r="237" spans="18:43" ht="18" customHeight="1"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</row>
    <row r="238" spans="18:43" ht="18" customHeight="1"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</row>
    <row r="239" spans="18:43" ht="18" customHeight="1"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</row>
    <row r="240" spans="18:43" ht="18" customHeight="1"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</row>
    <row r="241" spans="18:43" ht="18" customHeight="1"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</row>
    <row r="242" ht="18" customHeight="1">
      <c r="BE242" s="120"/>
    </row>
    <row r="243" spans="53:57" ht="18" customHeight="1">
      <c r="BA243" s="118"/>
      <c r="BE243" s="120"/>
    </row>
    <row r="244" spans="53:57" ht="18" customHeight="1">
      <c r="BA244" s="119"/>
      <c r="BB244" s="120"/>
      <c r="BE244" s="120"/>
    </row>
    <row r="245" spans="53:57" ht="18" customHeight="1">
      <c r="BA245" s="119"/>
      <c r="BB245" s="120"/>
      <c r="BC245" s="120"/>
      <c r="BD245" s="120"/>
      <c r="BE245" s="120"/>
    </row>
    <row r="246" spans="53:57" ht="18" customHeight="1">
      <c r="BA246" s="119"/>
      <c r="BB246" s="120"/>
      <c r="BC246" s="120"/>
      <c r="BD246" s="120"/>
      <c r="BE246" s="120"/>
    </row>
    <row r="247" spans="54:57" ht="18" customHeight="1">
      <c r="BB247" s="121"/>
      <c r="BC247" s="120"/>
      <c r="BD247" s="120"/>
      <c r="BE247" s="120"/>
    </row>
    <row r="248" spans="54:56" ht="18" customHeight="1">
      <c r="BB248" s="122"/>
      <c r="BC248" s="120"/>
      <c r="BD248" s="120"/>
    </row>
    <row r="249" spans="60:62" ht="18" customHeight="1">
      <c r="BH249" s="121"/>
      <c r="BI249" s="120"/>
      <c r="BJ249" s="120"/>
    </row>
    <row r="250" spans="59:62" ht="18" customHeight="1">
      <c r="BG250" s="119"/>
      <c r="BI250" s="120"/>
      <c r="BJ250" s="120"/>
    </row>
    <row r="251" spans="1:59" ht="18" customHeight="1">
      <c r="A251" s="132" t="s">
        <v>542</v>
      </c>
      <c r="BG251" s="123"/>
    </row>
    <row r="252" ht="18" customHeight="1">
      <c r="BG252" s="123"/>
    </row>
    <row r="253" spans="53:79" ht="18" customHeight="1">
      <c r="BA253" s="141" t="s">
        <v>110</v>
      </c>
      <c r="BB253" s="166" t="s">
        <v>110</v>
      </c>
      <c r="BC253" s="64" t="s">
        <v>279</v>
      </c>
      <c r="BG253" s="141" t="s">
        <v>110</v>
      </c>
      <c r="BH253" s="166" t="s">
        <v>110</v>
      </c>
      <c r="BI253" s="64" t="s">
        <v>279</v>
      </c>
      <c r="BM253" s="141" t="s">
        <v>110</v>
      </c>
      <c r="BN253" s="166" t="s">
        <v>110</v>
      </c>
      <c r="BO253" s="64" t="s">
        <v>279</v>
      </c>
      <c r="BS253" s="141" t="s">
        <v>110</v>
      </c>
      <c r="BT253" s="166" t="s">
        <v>110</v>
      </c>
      <c r="BU253" s="64" t="s">
        <v>279</v>
      </c>
      <c r="BY253" s="141" t="s">
        <v>110</v>
      </c>
      <c r="BZ253" s="166" t="s">
        <v>110</v>
      </c>
      <c r="CA253" s="64" t="s">
        <v>279</v>
      </c>
    </row>
    <row r="254" spans="1:79" ht="18" customHeight="1">
      <c r="A254" s="11" t="s">
        <v>543</v>
      </c>
      <c r="BA254" s="11">
        <f>BC275</f>
        <v>0.260577149587883</v>
      </c>
      <c r="BB254" s="11">
        <f aca="true" t="shared" si="23" ref="BB254:BB264">ABS(BA254)</f>
        <v>0.260577149587883</v>
      </c>
      <c r="BC254" s="11">
        <f>L</f>
        <v>8.94427190999916</v>
      </c>
      <c r="BG254" s="11">
        <f>BI275</f>
        <v>0.00022931522325633997</v>
      </c>
      <c r="BH254" s="11">
        <f aca="true" t="shared" si="24" ref="BH254:BH264">ABS(BG254)</f>
        <v>0.00022931522325633997</v>
      </c>
      <c r="BI254" s="11">
        <f>BC265+L/10</f>
        <v>6.260990336999411</v>
      </c>
      <c r="BM254" s="11">
        <f>BO275</f>
        <v>0.00013014340314589133</v>
      </c>
      <c r="BN254" s="11">
        <f aca="true" t="shared" si="25" ref="BN254:BN264">ABS(BM254)</f>
        <v>0.00013014340314589133</v>
      </c>
      <c r="BO254" s="11">
        <f>BI265+L/50</f>
        <v>6.082104898799428</v>
      </c>
      <c r="BS254" s="11">
        <f>BU275</f>
        <v>1.7354116788631524E-05</v>
      </c>
      <c r="BT254" s="11">
        <f aca="true" t="shared" si="26" ref="BT254:BT264">ABS(BS254)</f>
        <v>1.7354116788631524E-05</v>
      </c>
      <c r="BU254" s="11">
        <f>BO265+L/250</f>
        <v>5.867442372959446</v>
      </c>
      <c r="BY254" s="11">
        <f>CA275</f>
        <v>2.7438540990492276E-06</v>
      </c>
      <c r="BZ254" s="11">
        <f aca="true" t="shared" si="27" ref="BZ254:BZ264">ABS(BY254)</f>
        <v>2.7438540990492276E-06</v>
      </c>
      <c r="CA254" s="11">
        <f>BU265+L/1250</f>
        <v>5.838820702847447</v>
      </c>
    </row>
    <row r="255" spans="44:79" ht="18" customHeight="1">
      <c r="AR255" s="19"/>
      <c r="AS255" s="19"/>
      <c r="AT255" s="19"/>
      <c r="AU255" s="19"/>
      <c r="AV255" s="19"/>
      <c r="AW255" s="19"/>
      <c r="AX255" s="19"/>
      <c r="BA255" s="11">
        <f>BC285</f>
        <v>0.0022608698528034364</v>
      </c>
      <c r="BB255" s="11">
        <f t="shared" si="23"/>
        <v>0.0022608698528034364</v>
      </c>
      <c r="BC255" s="11">
        <f aca="true" t="shared" si="28" ref="BC255:BC264">BC254-L/10</f>
        <v>8.049844718999243</v>
      </c>
      <c r="BG255" s="11">
        <f>BI285</f>
        <v>0.00013014340314589133</v>
      </c>
      <c r="BH255" s="11">
        <f t="shared" si="24"/>
        <v>0.00013014340314589133</v>
      </c>
      <c r="BI255" s="11">
        <f aca="true" t="shared" si="29" ref="BI255:BI264">BI254-L/50</f>
        <v>6.082104898799428</v>
      </c>
      <c r="BM255" s="11">
        <f>BO285</f>
        <v>0.00011091653081584654</v>
      </c>
      <c r="BN255" s="11">
        <f t="shared" si="25"/>
        <v>0.00011091653081584654</v>
      </c>
      <c r="BO255" s="11">
        <f aca="true" t="shared" si="30" ref="BO255:BO264">BO254-L/250</f>
        <v>6.046327811159431</v>
      </c>
      <c r="BS255" s="11">
        <f>BU285</f>
        <v>1.3692942195318338E-05</v>
      </c>
      <c r="BT255" s="11">
        <f t="shared" si="26"/>
        <v>1.3692942195318338E-05</v>
      </c>
      <c r="BU255" s="11">
        <f aca="true" t="shared" si="31" ref="BU255:BU264">BU254-L/1250</f>
        <v>5.860286955431446</v>
      </c>
      <c r="BY255" s="11">
        <f>CA285</f>
        <v>2.0157292996226053E-06</v>
      </c>
      <c r="BZ255" s="11">
        <f t="shared" si="27"/>
        <v>2.0157292996226053E-06</v>
      </c>
      <c r="CA255" s="11">
        <f aca="true" t="shared" si="32" ref="CA255:CA264">CA254-L/6250</f>
        <v>5.837389619341847</v>
      </c>
    </row>
    <row r="256" spans="44:79" ht="18" customHeight="1">
      <c r="AR256" s="19"/>
      <c r="AS256" s="19"/>
      <c r="AT256" s="19"/>
      <c r="AU256" s="19"/>
      <c r="AV256" s="19"/>
      <c r="AW256" s="19"/>
      <c r="AX256" s="19"/>
      <c r="BA256" s="11">
        <f>BC295</f>
        <v>0.0008585168926945087</v>
      </c>
      <c r="BB256" s="11">
        <f t="shared" si="23"/>
        <v>0.0008585168926945087</v>
      </c>
      <c r="BC256" s="11">
        <f t="shared" si="28"/>
        <v>7.155417527999327</v>
      </c>
      <c r="BG256" s="11">
        <f>BI295</f>
        <v>3.574835847992277E-05</v>
      </c>
      <c r="BH256" s="11">
        <f t="shared" si="24"/>
        <v>3.574835847992277E-05</v>
      </c>
      <c r="BI256" s="11">
        <f t="shared" si="29"/>
        <v>5.903219460599445</v>
      </c>
      <c r="BM256" s="11">
        <f>BO295</f>
        <v>9.187138473216441E-05</v>
      </c>
      <c r="BN256" s="11">
        <f t="shared" si="25"/>
        <v>9.187138473216441E-05</v>
      </c>
      <c r="BO256" s="11">
        <f t="shared" si="30"/>
        <v>6.010550723519434</v>
      </c>
      <c r="BS256" s="11">
        <f>BU295</f>
        <v>1.0037540049100992E-05</v>
      </c>
      <c r="BT256" s="11">
        <f t="shared" si="26"/>
        <v>1.0037540049100992E-05</v>
      </c>
      <c r="BU256" s="11">
        <f t="shared" si="31"/>
        <v>5.8531315379034465</v>
      </c>
      <c r="BY256" s="11">
        <f>CA295</f>
        <v>1.287829083590833E-06</v>
      </c>
      <c r="BZ256" s="11">
        <f t="shared" si="27"/>
        <v>1.287829083590833E-06</v>
      </c>
      <c r="CA256" s="11">
        <f t="shared" si="32"/>
        <v>5.835958535836247</v>
      </c>
    </row>
    <row r="257" spans="1:79" ht="18" customHeight="1">
      <c r="A257" s="132" t="s">
        <v>544</v>
      </c>
      <c r="AR257" s="19"/>
      <c r="AS257" s="19"/>
      <c r="AT257" s="19"/>
      <c r="AU257" s="19"/>
      <c r="AV257" s="19"/>
      <c r="AW257" s="19"/>
      <c r="AX257" s="19"/>
      <c r="BA257" s="11">
        <f>BC305</f>
        <v>0.00022931522325633997</v>
      </c>
      <c r="BB257" s="11">
        <f t="shared" si="23"/>
        <v>0.00022931522325633997</v>
      </c>
      <c r="BC257" s="11">
        <f t="shared" si="28"/>
        <v>6.260990336999411</v>
      </c>
      <c r="BG257" s="11">
        <f>BI305</f>
        <v>-5.4827085576614285E-05</v>
      </c>
      <c r="BH257" s="11">
        <f t="shared" si="24"/>
        <v>5.4827085576614285E-05</v>
      </c>
      <c r="BI257" s="11">
        <f t="shared" si="29"/>
        <v>5.724334022399462</v>
      </c>
      <c r="BM257" s="11">
        <f>BO305</f>
        <v>7.299996921794529E-05</v>
      </c>
      <c r="BN257" s="11">
        <f t="shared" si="25"/>
        <v>7.299996921794529E-05</v>
      </c>
      <c r="BO257" s="11">
        <f t="shared" si="30"/>
        <v>5.974773635879437</v>
      </c>
      <c r="BS257" s="11">
        <f>BU305</f>
        <v>6.3878604730249235E-06</v>
      </c>
      <c r="BT257" s="11">
        <f t="shared" si="26"/>
        <v>6.3878604730249235E-06</v>
      </c>
      <c r="BU257" s="11">
        <f t="shared" si="31"/>
        <v>5.845976120375447</v>
      </c>
      <c r="BY257" s="11">
        <f>CA305</f>
        <v>5.601530632297694E-07</v>
      </c>
      <c r="BZ257" s="11">
        <f t="shared" si="27"/>
        <v>5.601530632297694E-07</v>
      </c>
      <c r="CA257" s="11">
        <f t="shared" si="32"/>
        <v>5.834527452330647</v>
      </c>
    </row>
    <row r="258" spans="44:79" ht="18" customHeight="1">
      <c r="AR258" s="19"/>
      <c r="AS258" s="19"/>
      <c r="AT258" s="19"/>
      <c r="AU258" s="19"/>
      <c r="AV258" s="19"/>
      <c r="AW258" s="19"/>
      <c r="AX258" s="19"/>
      <c r="BA258" s="11">
        <f>BC315</f>
        <v>-0.00022730839066568715</v>
      </c>
      <c r="BB258" s="11">
        <f t="shared" si="23"/>
        <v>0.00022730839066568715</v>
      </c>
      <c r="BC258" s="11">
        <f t="shared" si="28"/>
        <v>5.366563145999495</v>
      </c>
      <c r="BG258" s="11">
        <f>BI315</f>
        <v>-0.00014232201810021562</v>
      </c>
      <c r="BH258" s="11">
        <f t="shared" si="24"/>
        <v>0.00014232201810021562</v>
      </c>
      <c r="BI258" s="11">
        <f t="shared" si="29"/>
        <v>5.5454485841994785</v>
      </c>
      <c r="BM258" s="11">
        <f>BO315</f>
        <v>5.4294695387617584E-05</v>
      </c>
      <c r="BN258" s="11">
        <f t="shared" si="25"/>
        <v>5.4294695387617584E-05</v>
      </c>
      <c r="BO258" s="11">
        <f t="shared" si="30"/>
        <v>5.93899654823944</v>
      </c>
      <c r="BS258" s="11">
        <f>BU315</f>
        <v>2.7438540990492276E-06</v>
      </c>
      <c r="BT258" s="11">
        <f t="shared" si="26"/>
        <v>2.7438540990492276E-06</v>
      </c>
      <c r="BU258" s="11">
        <f t="shared" si="31"/>
        <v>5.838820702847447</v>
      </c>
      <c r="BY258" s="11">
        <f>CA315</f>
        <v>-1.6729914838415141E-07</v>
      </c>
      <c r="BZ258" s="11">
        <f t="shared" si="27"/>
        <v>1.6729914838415141E-07</v>
      </c>
      <c r="CA258" s="11">
        <f t="shared" si="32"/>
        <v>5.833096368825047</v>
      </c>
    </row>
    <row r="259" spans="44:79" ht="18" customHeight="1">
      <c r="AR259" s="19"/>
      <c r="AS259" s="19"/>
      <c r="AT259" s="19"/>
      <c r="AU259" s="19"/>
      <c r="AV259" s="19"/>
      <c r="AW259" s="19"/>
      <c r="AX259" s="19"/>
      <c r="BA259" s="11">
        <f>BC325</f>
        <v>-0.0006267488554957353</v>
      </c>
      <c r="BB259" s="11">
        <f t="shared" si="23"/>
        <v>0.0006267488554957353</v>
      </c>
      <c r="BC259" s="11">
        <f t="shared" si="28"/>
        <v>4.47213595499958</v>
      </c>
      <c r="BG259" s="11">
        <f>BI325</f>
        <v>-0.00022730839066568715</v>
      </c>
      <c r="BH259" s="11">
        <f t="shared" si="24"/>
        <v>0.00022730839066568715</v>
      </c>
      <c r="BI259" s="11">
        <f t="shared" si="29"/>
        <v>5.366563145999495</v>
      </c>
      <c r="BM259" s="11">
        <f>BO325</f>
        <v>3.574835847992277E-05</v>
      </c>
      <c r="BN259" s="11">
        <f t="shared" si="25"/>
        <v>3.574835847992277E-05</v>
      </c>
      <c r="BO259" s="11">
        <f t="shared" si="30"/>
        <v>5.903219460599443</v>
      </c>
      <c r="BS259" s="11">
        <f>BU325</f>
        <v>-8.945279373864974E-07</v>
      </c>
      <c r="BT259" s="11">
        <f t="shared" si="26"/>
        <v>8.945279373864974E-07</v>
      </c>
      <c r="BU259" s="11">
        <f t="shared" si="31"/>
        <v>5.831665285319447</v>
      </c>
      <c r="BY259" s="11">
        <f>CA325</f>
        <v>-8.945279373864974E-07</v>
      </c>
      <c r="BZ259" s="11">
        <f t="shared" si="27"/>
        <v>8.945279373864974E-07</v>
      </c>
      <c r="CA259" s="11">
        <f t="shared" si="32"/>
        <v>5.831665285319447</v>
      </c>
    </row>
    <row r="260" spans="44:79" ht="18" customHeight="1">
      <c r="AR260" s="19"/>
      <c r="AS260" s="19"/>
      <c r="AT260" s="19"/>
      <c r="AU260" s="19"/>
      <c r="AV260" s="19"/>
      <c r="AW260" s="19"/>
      <c r="AX260" s="19"/>
      <c r="BA260" s="11">
        <f>BC339</f>
        <v>-0.0009959757602734658</v>
      </c>
      <c r="BB260" s="11">
        <f t="shared" si="23"/>
        <v>0.0009959757602734658</v>
      </c>
      <c r="BC260" s="11">
        <f t="shared" si="28"/>
        <v>3.577708763999664</v>
      </c>
      <c r="BG260" s="11">
        <f>BI339</f>
        <v>-0.0003102272046534749</v>
      </c>
      <c r="BH260" s="11">
        <f t="shared" si="24"/>
        <v>0.0003102272046534749</v>
      </c>
      <c r="BI260" s="11">
        <f t="shared" si="29"/>
        <v>5.187677707799512</v>
      </c>
      <c r="BM260" s="11">
        <f>BO339</f>
        <v>1.7354116788631524E-05</v>
      </c>
      <c r="BN260" s="11">
        <f t="shared" si="25"/>
        <v>1.7354116788631524E-05</v>
      </c>
      <c r="BO260" s="11">
        <f t="shared" si="30"/>
        <v>5.867442372959446</v>
      </c>
      <c r="BS260" s="11">
        <f>BU339</f>
        <v>-4.527334002725047E-06</v>
      </c>
      <c r="BT260" s="11">
        <f t="shared" si="26"/>
        <v>4.527334002725047E-06</v>
      </c>
      <c r="BU260" s="11">
        <f t="shared" si="31"/>
        <v>5.8245098677914475</v>
      </c>
      <c r="BY260" s="11">
        <f>CA339</f>
        <v>-1.6215336891231037E-06</v>
      </c>
      <c r="BZ260" s="11">
        <f t="shared" si="27"/>
        <v>1.6215336891231037E-06</v>
      </c>
      <c r="CA260" s="11">
        <f t="shared" si="32"/>
        <v>5.830234201813847</v>
      </c>
    </row>
    <row r="261" spans="1:79" ht="18" customHeight="1">
      <c r="A261" s="132" t="s">
        <v>541</v>
      </c>
      <c r="AR261" s="19"/>
      <c r="AS261" s="19"/>
      <c r="AT261" s="19"/>
      <c r="AU261" s="19"/>
      <c r="AV261" s="19"/>
      <c r="AW261" s="19"/>
      <c r="AX261" s="19"/>
      <c r="BA261" s="11">
        <f>BC349</f>
        <v>-0.0013298706638393248</v>
      </c>
      <c r="BB261" s="11">
        <f t="shared" si="23"/>
        <v>0.0013298706638393248</v>
      </c>
      <c r="BC261" s="11">
        <f t="shared" si="28"/>
        <v>2.683281572999748</v>
      </c>
      <c r="BG261" s="11">
        <f>BI349</f>
        <v>-0.0003914146537913727</v>
      </c>
      <c r="BH261" s="11">
        <f t="shared" si="24"/>
        <v>0.0003914146537913727</v>
      </c>
      <c r="BI261" s="11">
        <f t="shared" si="29"/>
        <v>5.008792269599529</v>
      </c>
      <c r="BM261" s="11">
        <f>BO349</f>
        <v>-8.945279373864974E-07</v>
      </c>
      <c r="BN261" s="11">
        <f t="shared" si="25"/>
        <v>8.945279373864974E-07</v>
      </c>
      <c r="BO261" s="11">
        <f t="shared" si="30"/>
        <v>5.831665285319449</v>
      </c>
      <c r="BS261" s="11">
        <f>BU349</f>
        <v>-8.154611970566904E-06</v>
      </c>
      <c r="BT261" s="11">
        <f t="shared" si="26"/>
        <v>8.154611970566904E-06</v>
      </c>
      <c r="BU261" s="11">
        <f t="shared" si="31"/>
        <v>5.817354450263448</v>
      </c>
      <c r="BY261" s="11">
        <f>CA349</f>
        <v>-2.3483167881487715E-06</v>
      </c>
      <c r="BZ261" s="11">
        <f t="shared" si="27"/>
        <v>2.3483167881487715E-06</v>
      </c>
      <c r="CA261" s="11">
        <f t="shared" si="32"/>
        <v>5.828803118308247</v>
      </c>
    </row>
    <row r="262" spans="44:79" ht="18" customHeight="1">
      <c r="AR262" s="19"/>
      <c r="AS262" s="19"/>
      <c r="AT262" s="19"/>
      <c r="AU262" s="19"/>
      <c r="AV262" s="19"/>
      <c r="AW262" s="19"/>
      <c r="AX262" s="19"/>
      <c r="BA262" s="11">
        <f>BC359</f>
        <v>-0.0016080906129084653</v>
      </c>
      <c r="BB262" s="11">
        <f t="shared" si="23"/>
        <v>0.0016080906129084653</v>
      </c>
      <c r="BC262" s="11">
        <f t="shared" si="28"/>
        <v>1.7888543819998322</v>
      </c>
      <c r="BG262" s="11">
        <f>BI359</f>
        <v>-0.0004711213124730285</v>
      </c>
      <c r="BH262" s="11">
        <f t="shared" si="24"/>
        <v>0.0004711213124730285</v>
      </c>
      <c r="BI262" s="11">
        <f t="shared" si="29"/>
        <v>4.829906831399546</v>
      </c>
      <c r="BM262" s="11">
        <f>BO359</f>
        <v>-1.9003748741530657E-05</v>
      </c>
      <c r="BN262" s="11">
        <f t="shared" si="25"/>
        <v>1.9003748741530657E-05</v>
      </c>
      <c r="BO262" s="11">
        <f t="shared" si="30"/>
        <v>5.795888197679452</v>
      </c>
      <c r="BS262" s="11">
        <f>BU359</f>
        <v>-1.1776409226891323E-05</v>
      </c>
      <c r="BT262" s="11">
        <f t="shared" si="26"/>
        <v>1.1776409226891323E-05</v>
      </c>
      <c r="BU262" s="11">
        <f t="shared" si="31"/>
        <v>5.810199032735448</v>
      </c>
      <c r="BY262" s="11">
        <f>CA359</f>
        <v>-3.074877618231605E-06</v>
      </c>
      <c r="BZ262" s="11">
        <f t="shared" si="27"/>
        <v>3.074877618231605E-06</v>
      </c>
      <c r="CA262" s="11">
        <f t="shared" si="32"/>
        <v>5.827372034802647</v>
      </c>
    </row>
    <row r="263" spans="44:79" ht="18" customHeight="1">
      <c r="AR263" s="19"/>
      <c r="AS263" s="19"/>
      <c r="AT263" s="19"/>
      <c r="AU263" s="19"/>
      <c r="AV263" s="19"/>
      <c r="AW263" s="19"/>
      <c r="AX263" s="19"/>
      <c r="BA263" s="11">
        <f>BC369</f>
        <v>-0.001807108717977821</v>
      </c>
      <c r="BB263" s="11">
        <f t="shared" si="23"/>
        <v>0.001807108717977821</v>
      </c>
      <c r="BC263" s="11">
        <f t="shared" si="28"/>
        <v>0.8944271909999162</v>
      </c>
      <c r="BG263" s="11">
        <f>BI369</f>
        <v>-0.0005495264443396782</v>
      </c>
      <c r="BH263" s="11">
        <f t="shared" si="24"/>
        <v>0.0005495264443396782</v>
      </c>
      <c r="BI263" s="11">
        <f t="shared" si="29"/>
        <v>4.651021393199563</v>
      </c>
      <c r="BM263" s="11">
        <f>BO369</f>
        <v>-3.697941046059642E-05</v>
      </c>
      <c r="BN263" s="11">
        <f t="shared" si="25"/>
        <v>3.697941046059642E-05</v>
      </c>
      <c r="BO263" s="11">
        <f t="shared" si="30"/>
        <v>5.760111110039455</v>
      </c>
      <c r="BS263" s="11">
        <f>BU369</f>
        <v>-1.5392772675191114E-05</v>
      </c>
      <c r="BT263" s="11">
        <f t="shared" si="26"/>
        <v>1.5392772675191114E-05</v>
      </c>
      <c r="BU263" s="11">
        <f t="shared" si="31"/>
        <v>5.803043615207448</v>
      </c>
      <c r="BY263" s="11">
        <f>CA369</f>
        <v>-3.801216562356914E-06</v>
      </c>
      <c r="BZ263" s="11">
        <f t="shared" si="27"/>
        <v>3.801216562356914E-06</v>
      </c>
      <c r="CA263" s="11">
        <f t="shared" si="32"/>
        <v>5.8259409512970475</v>
      </c>
    </row>
    <row r="264" spans="44:79" ht="18" customHeight="1">
      <c r="AR264" s="19"/>
      <c r="AS264" s="19"/>
      <c r="AT264" s="19"/>
      <c r="AU264" s="19"/>
      <c r="AV264" s="19"/>
      <c r="AW264" s="19"/>
      <c r="AX264" s="19"/>
      <c r="BA264" s="11">
        <f>BC379</f>
        <v>-0.001911785573990153</v>
      </c>
      <c r="BB264" s="11">
        <f t="shared" si="23"/>
        <v>0.001911785573990153</v>
      </c>
      <c r="BC264" s="11">
        <f t="shared" si="28"/>
        <v>0</v>
      </c>
      <c r="BG264" s="11">
        <f>BI379</f>
        <v>-0.0006267488554957353</v>
      </c>
      <c r="BH264" s="11">
        <f t="shared" si="24"/>
        <v>0.0006267488554957353</v>
      </c>
      <c r="BI264" s="11">
        <f t="shared" si="29"/>
        <v>4.47213595499958</v>
      </c>
      <c r="BM264" s="11">
        <f>BO379</f>
        <v>-5.482708557661515E-05</v>
      </c>
      <c r="BN264" s="11">
        <f t="shared" si="25"/>
        <v>5.482708557661515E-05</v>
      </c>
      <c r="BO264" s="11">
        <f t="shared" si="30"/>
        <v>5.724334022399458</v>
      </c>
      <c r="BS264" s="11">
        <f>BU379</f>
        <v>-1.9003748741531525E-05</v>
      </c>
      <c r="BT264" s="11">
        <f t="shared" si="26"/>
        <v>1.9003748741531525E-05</v>
      </c>
      <c r="BU264" s="11">
        <f t="shared" si="31"/>
        <v>5.7958881976794485</v>
      </c>
      <c r="BY264" s="11">
        <f>CA379</f>
        <v>-4.527334002725047E-06</v>
      </c>
      <c r="BZ264" s="11">
        <f t="shared" si="27"/>
        <v>4.527334002725047E-06</v>
      </c>
      <c r="CA264" s="11">
        <f t="shared" si="32"/>
        <v>5.8245098677914475</v>
      </c>
    </row>
    <row r="265" spans="44:79" ht="18" customHeight="1">
      <c r="AR265" s="19"/>
      <c r="AS265" s="19"/>
      <c r="AT265" s="19"/>
      <c r="AU265" s="19"/>
      <c r="AV265" s="19"/>
      <c r="AW265" s="19"/>
      <c r="AX265" s="19"/>
      <c r="BA265" s="167" t="s">
        <v>111</v>
      </c>
      <c r="BB265" s="65">
        <f>MIN(BB254:BB264)</f>
        <v>0.00022730839066568715</v>
      </c>
      <c r="BC265" s="65">
        <f>VLOOKUP(BB265,BB254:BC264,2,FALSE)</f>
        <v>5.366563145999495</v>
      </c>
      <c r="BG265" s="167" t="s">
        <v>111</v>
      </c>
      <c r="BH265" s="65">
        <f>MIN(BH254:BH264)</f>
        <v>3.574835847992277E-05</v>
      </c>
      <c r="BI265" s="65">
        <f>VLOOKUP(BH265,BH254:BI264,2,FALSE)</f>
        <v>5.903219460599445</v>
      </c>
      <c r="BM265" s="167" t="s">
        <v>111</v>
      </c>
      <c r="BN265" s="65">
        <f>MIN(BN254:BN264)</f>
        <v>8.945279373864974E-07</v>
      </c>
      <c r="BO265" s="65">
        <f>VLOOKUP(BN265,BN254:BO264,2,FALSE)</f>
        <v>5.831665285319449</v>
      </c>
      <c r="BS265" s="167" t="s">
        <v>111</v>
      </c>
      <c r="BT265" s="65">
        <f>MIN(BT254:BT264)</f>
        <v>8.945279373864974E-07</v>
      </c>
      <c r="BU265" s="65">
        <f>VLOOKUP(BT265,BT254:BU264,2,FALSE)</f>
        <v>5.831665285319447</v>
      </c>
      <c r="BY265" s="167" t="s">
        <v>111</v>
      </c>
      <c r="BZ265" s="65">
        <f>MIN(BZ254:BZ264)</f>
        <v>1.6729914838415141E-07</v>
      </c>
      <c r="CA265" s="65">
        <f>VLOOKUP(BZ265,BZ254:CA264,2,FALSE)</f>
        <v>5.833096368825047</v>
      </c>
    </row>
    <row r="266" spans="1:50" ht="18" customHeight="1">
      <c r="A266" s="132" t="s">
        <v>545</v>
      </c>
      <c r="AR266" s="19"/>
      <c r="AS266" s="19"/>
      <c r="AT266" s="19"/>
      <c r="AU266" s="19"/>
      <c r="AV266" s="19"/>
      <c r="AW266" s="19"/>
      <c r="AX266" s="19"/>
    </row>
    <row r="267" spans="44:81" ht="18" customHeight="1">
      <c r="AR267" s="19"/>
      <c r="AS267" s="19"/>
      <c r="AT267" s="19"/>
      <c r="AU267" s="19"/>
      <c r="AV267" s="19"/>
      <c r="AW267" s="19"/>
      <c r="AX267" s="19"/>
      <c r="BA267" s="66" t="s">
        <v>288</v>
      </c>
      <c r="BB267" s="27">
        <f>BC254</f>
        <v>8.94427190999916</v>
      </c>
      <c r="BC267" s="66" t="s">
        <v>289</v>
      </c>
      <c r="BD267" s="27">
        <f>L-BB267</f>
        <v>0</v>
      </c>
      <c r="BE267" s="27"/>
      <c r="BG267" s="66" t="s">
        <v>288</v>
      </c>
      <c r="BH267" s="27">
        <f>BI254</f>
        <v>6.260990336999411</v>
      </c>
      <c r="BI267" s="66" t="s">
        <v>289</v>
      </c>
      <c r="BJ267" s="27">
        <f>L-BH267</f>
        <v>2.683281572999748</v>
      </c>
      <c r="BK267" s="27"/>
      <c r="BM267" s="66" t="s">
        <v>288</v>
      </c>
      <c r="BN267" s="27">
        <f>BO254</f>
        <v>6.082104898799428</v>
      </c>
      <c r="BO267" s="66" t="s">
        <v>289</v>
      </c>
      <c r="BP267" s="27">
        <f>L-BN267</f>
        <v>2.8621670111997313</v>
      </c>
      <c r="BQ267" s="27"/>
      <c r="BS267" s="66" t="s">
        <v>288</v>
      </c>
      <c r="BT267" s="27">
        <f>BU254</f>
        <v>5.867442372959446</v>
      </c>
      <c r="BU267" s="66" t="s">
        <v>289</v>
      </c>
      <c r="BV267" s="27">
        <f>L-BT267</f>
        <v>3.076829537039713</v>
      </c>
      <c r="BW267" s="27"/>
      <c r="BY267" s="66" t="s">
        <v>288</v>
      </c>
      <c r="BZ267" s="27">
        <f>CA254</f>
        <v>5.838820702847447</v>
      </c>
      <c r="CA267" s="66" t="s">
        <v>289</v>
      </c>
      <c r="CB267" s="27">
        <f>L-BZ267</f>
        <v>3.105451207151712</v>
      </c>
      <c r="CC267" s="27"/>
    </row>
    <row r="268" spans="44:81" ht="18" customHeight="1">
      <c r="AR268" s="19"/>
      <c r="AS268" s="19"/>
      <c r="AT268" s="19"/>
      <c r="AU268" s="19"/>
      <c r="AV268" s="19"/>
      <c r="AW268" s="19"/>
      <c r="AX268" s="19"/>
      <c r="BA268" s="67" t="s">
        <v>112</v>
      </c>
      <c r="BB268" s="68"/>
      <c r="BC268" s="69" t="s">
        <v>113</v>
      </c>
      <c r="BD268" s="70"/>
      <c r="BE268" s="67" t="s">
        <v>114</v>
      </c>
      <c r="BG268" s="67" t="s">
        <v>112</v>
      </c>
      <c r="BH268" s="68"/>
      <c r="BI268" s="69" t="s">
        <v>113</v>
      </c>
      <c r="BJ268" s="70"/>
      <c r="BK268" s="67" t="s">
        <v>114</v>
      </c>
      <c r="BM268" s="67" t="s">
        <v>112</v>
      </c>
      <c r="BN268" s="68"/>
      <c r="BO268" s="69" t="s">
        <v>113</v>
      </c>
      <c r="BP268" s="70"/>
      <c r="BQ268" s="67" t="s">
        <v>114</v>
      </c>
      <c r="BS268" s="67" t="s">
        <v>112</v>
      </c>
      <c r="BT268" s="68"/>
      <c r="BU268" s="69" t="s">
        <v>113</v>
      </c>
      <c r="BV268" s="70"/>
      <c r="BW268" s="67" t="s">
        <v>114</v>
      </c>
      <c r="BY268" s="67" t="s">
        <v>112</v>
      </c>
      <c r="BZ268" s="68"/>
      <c r="CA268" s="69" t="s">
        <v>113</v>
      </c>
      <c r="CB268" s="70"/>
      <c r="CC268" s="67" t="s">
        <v>114</v>
      </c>
    </row>
    <row r="269" spans="44:81" ht="18" customHeight="1">
      <c r="AR269" s="19"/>
      <c r="AS269" s="19"/>
      <c r="AT269" s="19"/>
      <c r="AU269" s="19"/>
      <c r="AV269" s="19"/>
      <c r="AW269" s="19"/>
      <c r="AX269" s="19"/>
      <c r="BA269" s="71">
        <f>-∑H</f>
        <v>-67.43628343669779</v>
      </c>
      <c r="BB269" s="72">
        <f>Kx*B+Kt*BD267*COS(-α)^2</f>
        <v>18592.265115192637</v>
      </c>
      <c r="BC269" s="72">
        <f>BB270</f>
        <v>0</v>
      </c>
      <c r="BD269" s="72">
        <f>BB271</f>
        <v>0</v>
      </c>
      <c r="BE269" s="73" t="s">
        <v>174</v>
      </c>
      <c r="BG269" s="71">
        <f>-∑H</f>
        <v>-67.43628343669779</v>
      </c>
      <c r="BH269" s="72">
        <f>Kx*B+Kt*BJ267*COS(-α)^2</f>
        <v>33650.123345387554</v>
      </c>
      <c r="BI269" s="72">
        <f>BH270</f>
        <v>7528.92911509746</v>
      </c>
      <c r="BJ269" s="72">
        <f>BH271</f>
        <v>134722.65758555397</v>
      </c>
      <c r="BK269" s="73" t="s">
        <v>174</v>
      </c>
      <c r="BM269" s="71">
        <f>-∑H</f>
        <v>-67.43628343669779</v>
      </c>
      <c r="BN269" s="72">
        <f>Kx*B+Kt*BP267*COS(-α)^2</f>
        <v>34653.98056073388</v>
      </c>
      <c r="BO269" s="72">
        <f>BN270</f>
        <v>8030.857722770623</v>
      </c>
      <c r="BP269" s="72">
        <f>BN271</f>
        <v>142097.9965467034</v>
      </c>
      <c r="BQ269" s="73" t="s">
        <v>174</v>
      </c>
      <c r="BS269" s="71">
        <f>-∑H</f>
        <v>-67.43628343669779</v>
      </c>
      <c r="BT269" s="72">
        <f>Kx*B+Kt*BV267*COS(-α)^2</f>
        <v>35858.60921914948</v>
      </c>
      <c r="BU269" s="72">
        <f>BT270</f>
        <v>8633.172051978425</v>
      </c>
      <c r="BV269" s="72">
        <f>BT271</f>
        <v>150683.38499523143</v>
      </c>
      <c r="BW269" s="73" t="s">
        <v>174</v>
      </c>
      <c r="BY269" s="71">
        <f>-∑H</f>
        <v>-67.43628343669779</v>
      </c>
      <c r="BZ269" s="72">
        <f>Kx*B+Kt*CB267*COS(-α)^2</f>
        <v>36019.226373604906</v>
      </c>
      <c r="CA269" s="72">
        <f>BZ270</f>
        <v>8713.480629206138</v>
      </c>
      <c r="CB269" s="72">
        <f>BZ271</f>
        <v>151806.25952202932</v>
      </c>
      <c r="CC269" s="73" t="s">
        <v>174</v>
      </c>
    </row>
    <row r="270" spans="44:81" ht="18" customHeight="1">
      <c r="AR270" s="19"/>
      <c r="AS270" s="19"/>
      <c r="AT270" s="19"/>
      <c r="AU270" s="19"/>
      <c r="AV270" s="19"/>
      <c r="AW270" s="19"/>
      <c r="AX270" s="19"/>
      <c r="BA270" s="71">
        <f>∑V</f>
        <v>160.68827713700023</v>
      </c>
      <c r="BB270" s="72">
        <f>Kt*BD267*SIN(-α)*COS(-α)</f>
        <v>0</v>
      </c>
      <c r="BC270" s="72">
        <f>Ky*B+Kt*BD267*SIN(-α)^2</f>
        <v>74369.06046077055</v>
      </c>
      <c r="BD270" s="72">
        <f>BC271</f>
        <v>33242.97002596444</v>
      </c>
      <c r="BE270" s="73" t="s">
        <v>175</v>
      </c>
      <c r="BG270" s="71">
        <f>∑V</f>
        <v>160.68827713700023</v>
      </c>
      <c r="BH270" s="72">
        <f>Kt*BJ267*SIN(-α)*COS(-α)</f>
        <v>7528.92911509746</v>
      </c>
      <c r="BI270" s="72">
        <f>Ky*B+Kt*BJ267*SIN(-α)^2</f>
        <v>78133.52501831927</v>
      </c>
      <c r="BJ270" s="72">
        <f>BI271</f>
        <v>100604.29881874143</v>
      </c>
      <c r="BK270" s="73" t="s">
        <v>175</v>
      </c>
      <c r="BM270" s="71">
        <f>∑V</f>
        <v>160.68827713700023</v>
      </c>
      <c r="BN270" s="72">
        <f>Kt*BP267*SIN(-α)*COS(-α)</f>
        <v>8030.857722770623</v>
      </c>
      <c r="BO270" s="72">
        <f>Ky*B+Kt*BP267*SIN(-α)^2</f>
        <v>78384.48932215586</v>
      </c>
      <c r="BP270" s="72">
        <f>BO271</f>
        <v>104291.96829931613</v>
      </c>
      <c r="BQ270" s="73" t="s">
        <v>175</v>
      </c>
      <c r="BS270" s="71">
        <f>∑V</f>
        <v>160.68827713700023</v>
      </c>
      <c r="BT270" s="72">
        <f>Kt*BV267*SIN(-α)*COS(-α)</f>
        <v>8633.172051978425</v>
      </c>
      <c r="BU270" s="72">
        <f>Ky*B+Kt*BV267*SIN(-α)^2</f>
        <v>78685.64648675975</v>
      </c>
      <c r="BV270" s="72">
        <f>BU271</f>
        <v>108584.66252358016</v>
      </c>
      <c r="BW270" s="73" t="s">
        <v>175</v>
      </c>
      <c r="BY270" s="71">
        <f>∑V</f>
        <v>160.68827713700023</v>
      </c>
      <c r="BZ270" s="72">
        <f>Kt*CB267*SIN(-α)*COS(-α)</f>
        <v>8713.480629206138</v>
      </c>
      <c r="CA270" s="72">
        <f>Ky*B+Kt*CB267*SIN(-α)^2</f>
        <v>78725.80077537362</v>
      </c>
      <c r="CB270" s="72">
        <f>CA271</f>
        <v>109146.09978697909</v>
      </c>
      <c r="CC270" s="73" t="s">
        <v>175</v>
      </c>
    </row>
    <row r="271" spans="53:81" ht="18" customHeight="1">
      <c r="BA271" s="71">
        <f>∑M</f>
        <v>214.21055477861782</v>
      </c>
      <c r="BB271" s="72">
        <f>Kt*BD267*COS(-α)*(B*SIN(-α)+BB267+BD267/2)</f>
        <v>0</v>
      </c>
      <c r="BC271" s="72">
        <f>1/2*Ky*B^2+Kt*BD267*SIN(-α)*(B*SIN(-α)+BB267+BD267/2)</f>
        <v>33242.97002596444</v>
      </c>
      <c r="BD271" s="72">
        <f>1/3*Ky*B^3+Kt*BD267*(B*SIN(-α)*(B*SIN(-α)+2*BB267+BD267)+BB267^2+BB267*BD267+BD267^2/3)</f>
        <v>19812.810135474807</v>
      </c>
      <c r="BE271" s="74" t="s">
        <v>115</v>
      </c>
      <c r="BG271" s="71">
        <f>∑M</f>
        <v>214.21055477861782</v>
      </c>
      <c r="BH271" s="72">
        <f>Kt*BJ267*COS(-α)*(B*SIN(-α)+BH267+BJ267/2)</f>
        <v>134722.65758555397</v>
      </c>
      <c r="BI271" s="72">
        <f>1/2*Ky*B^2+Kt*BJ267*SIN(-α)*(B*SIN(-α)+BH267+BJ267/2)</f>
        <v>100604.29881874143</v>
      </c>
      <c r="BJ271" s="72">
        <f>1/3*Ky*B^3+Kt*BJ267*(B*SIN(-α)*(B*SIN(-α)+2*BH267+BJ267)+BH267^2+BH267*BJ267+BJ267^2/3)</f>
        <v>1236469.8212260725</v>
      </c>
      <c r="BK271" s="74" t="s">
        <v>115</v>
      </c>
      <c r="BM271" s="71">
        <f>∑M</f>
        <v>214.21055477861782</v>
      </c>
      <c r="BN271" s="72">
        <f>Kt*BP267*COS(-α)*(B*SIN(-α)+BN267+BP267/2)</f>
        <v>142097.9965467034</v>
      </c>
      <c r="BO271" s="72">
        <f>1/2*Ky*B^2+Kt*BP267*SIN(-α)*(B*SIN(-α)+BN267+BP267/2)</f>
        <v>104291.96829931613</v>
      </c>
      <c r="BP271" s="72">
        <f>1/3*Ky*B^3+Kt*BP267*(B*SIN(-α)*(B*SIN(-α)+2*BN267+BP267)+BN267^2+BN267*BP267+BP267^2/3)</f>
        <v>1290659.7827643552</v>
      </c>
      <c r="BQ271" s="74" t="s">
        <v>115</v>
      </c>
      <c r="BS271" s="71">
        <f>∑M</f>
        <v>214.21055477861782</v>
      </c>
      <c r="BT271" s="72">
        <f>Kt*BV267*COS(-α)*(B*SIN(-α)+BT267+BV267/2)</f>
        <v>150683.38499523143</v>
      </c>
      <c r="BU271" s="72">
        <f>1/2*Ky*B^2+Kt*BV267*SIN(-α)*(B*SIN(-α)+BT267+BV267/2)</f>
        <v>108584.66252358016</v>
      </c>
      <c r="BV271" s="72">
        <f>1/3*Ky*B^3+Kt*BV267*(B*SIN(-α)*(B*SIN(-α)+2*BT267+BV267)+BT267^2+BT267*BV267+BV267^2/3)</f>
        <v>1351853.6284545746</v>
      </c>
      <c r="BW271" s="74" t="s">
        <v>115</v>
      </c>
      <c r="BY271" s="71">
        <f>∑M</f>
        <v>214.21055477861782</v>
      </c>
      <c r="BZ271" s="72">
        <f>Kt*CB267*COS(-α)*(B*SIN(-α)+BZ267+CB267/2)</f>
        <v>151806.25952202932</v>
      </c>
      <c r="CA271" s="72">
        <f>1/2*Ky*B^2+Kt*CB267*SIN(-α)*(B*SIN(-α)+BZ267+CB267/2)</f>
        <v>109146.09978697909</v>
      </c>
      <c r="CB271" s="72">
        <f>1/3*Ky*B^3+Kt*CB267*(B*SIN(-α)*(B*SIN(-α)+2*BZ267+CB267)+BZ267^2+BZ267*CB267+CB267^2/3)</f>
        <v>1359703.6579774157</v>
      </c>
      <c r="CC271" s="74" t="s">
        <v>115</v>
      </c>
    </row>
    <row r="272" spans="53:81" ht="18" customHeight="1">
      <c r="BA272" s="75" t="s">
        <v>116</v>
      </c>
      <c r="BB272" s="76" t="s">
        <v>176</v>
      </c>
      <c r="BC272" s="77">
        <f>INDEX(MMULT(MINVERSE(BB269:BD271),BA269:BA271),1)</f>
        <v>-0.0036271149867367347</v>
      </c>
      <c r="BD272" s="78" t="s">
        <v>18</v>
      </c>
      <c r="BE272" s="78"/>
      <c r="BG272" s="75" t="s">
        <v>116</v>
      </c>
      <c r="BH272" s="76" t="s">
        <v>176</v>
      </c>
      <c r="BI272" s="77">
        <f>INDEX(MMULT(MINVERSE(BH269:BJ271),BG269:BG271),1)</f>
        <v>-0.004453939588592804</v>
      </c>
      <c r="BJ272" s="78" t="s">
        <v>18</v>
      </c>
      <c r="BK272" s="78"/>
      <c r="BM272" s="75" t="s">
        <v>116</v>
      </c>
      <c r="BN272" s="76" t="s">
        <v>176</v>
      </c>
      <c r="BO272" s="77">
        <f>INDEX(MMULT(MINVERSE(BN269:BP271),BM269:BM271),1)</f>
        <v>-0.004455970568577333</v>
      </c>
      <c r="BP272" s="78" t="s">
        <v>18</v>
      </c>
      <c r="BQ272" s="78"/>
      <c r="BS272" s="75" t="s">
        <v>116</v>
      </c>
      <c r="BT272" s="76" t="s">
        <v>176</v>
      </c>
      <c r="BU272" s="77">
        <f>INDEX(MMULT(MINVERSE(BT269:BV271),BS269:BS271),1)</f>
        <v>-0.004457040532461419</v>
      </c>
      <c r="BV272" s="78" t="s">
        <v>18</v>
      </c>
      <c r="BW272" s="78"/>
      <c r="BY272" s="75" t="s">
        <v>116</v>
      </c>
      <c r="BZ272" s="76" t="s">
        <v>176</v>
      </c>
      <c r="CA272" s="77">
        <f>INDEX(MMULT(MINVERSE(BZ269:CB271),BY269:BY271),1)</f>
        <v>-0.004457061221410959</v>
      </c>
      <c r="CB272" s="78" t="s">
        <v>18</v>
      </c>
      <c r="CC272" s="78"/>
    </row>
    <row r="273" spans="53:81" ht="18" customHeight="1">
      <c r="BA273" s="78"/>
      <c r="BB273" s="76" t="s">
        <v>177</v>
      </c>
      <c r="BC273" s="77">
        <f>INDEX(MMULT(MINVERSE(BB269:BD271),BA269:BA271),2)</f>
        <v>-0.010688606479426278</v>
      </c>
      <c r="BD273" s="78" t="s">
        <v>18</v>
      </c>
      <c r="BE273" s="78"/>
      <c r="BG273" s="78"/>
      <c r="BH273" s="76" t="s">
        <v>177</v>
      </c>
      <c r="BI273" s="77">
        <f>INDEX(MMULT(MINVERSE(BH269:BJ271),BG269:BG271),2)</f>
        <v>0.0018295083261383916</v>
      </c>
      <c r="BJ273" s="78" t="s">
        <v>18</v>
      </c>
      <c r="BK273" s="78"/>
      <c r="BM273" s="78"/>
      <c r="BN273" s="76" t="s">
        <v>177</v>
      </c>
      <c r="BO273" s="77">
        <f>INDEX(MMULT(MINVERSE(BN269:BP271),BM269:BM271),2)</f>
        <v>0.0018296862153707127</v>
      </c>
      <c r="BP273" s="78" t="s">
        <v>18</v>
      </c>
      <c r="BQ273" s="78"/>
      <c r="BS273" s="78"/>
      <c r="BT273" s="76" t="s">
        <v>177</v>
      </c>
      <c r="BU273" s="77">
        <f>INDEX(MMULT(MINVERSE(BT269:BV271),BS269:BS271),2)</f>
        <v>0.0018297418961515947</v>
      </c>
      <c r="BV273" s="78" t="s">
        <v>18</v>
      </c>
      <c r="BW273" s="78"/>
      <c r="BY273" s="78"/>
      <c r="BZ273" s="76" t="s">
        <v>177</v>
      </c>
      <c r="CA273" s="77">
        <f>INDEX(MMULT(MINVERSE(BZ269:CB271),BY269:BY271),2)</f>
        <v>0.0018297424602602681</v>
      </c>
      <c r="CB273" s="78" t="s">
        <v>18</v>
      </c>
      <c r="CC273" s="78"/>
    </row>
    <row r="274" spans="53:81" ht="18" customHeight="1">
      <c r="BA274" s="78"/>
      <c r="BB274" s="76" t="s">
        <v>293</v>
      </c>
      <c r="BC274" s="77">
        <f>INDEX(MMULT(MINVERSE(BB269:BD271),BA269:BA271),3)</f>
        <v>0.028745623447618333</v>
      </c>
      <c r="BD274" s="78" t="s">
        <v>82</v>
      </c>
      <c r="BE274" s="78"/>
      <c r="BG274" s="78"/>
      <c r="BH274" s="76" t="s">
        <v>293</v>
      </c>
      <c r="BI274" s="77">
        <f>INDEX(MMULT(MINVERSE(BH269:BJ271),BG269:BG271),3)</f>
        <v>0.0005096774055676067</v>
      </c>
      <c r="BJ274" s="78" t="s">
        <v>82</v>
      </c>
      <c r="BK274" s="78"/>
      <c r="BM274" s="78"/>
      <c r="BN274" s="76" t="s">
        <v>293</v>
      </c>
      <c r="BO274" s="77">
        <f>INDEX(MMULT(MINVERSE(BN269:BP271),BM269:BM271),3)</f>
        <v>0.0005087114956562251</v>
      </c>
      <c r="BP274" s="78" t="s">
        <v>82</v>
      </c>
      <c r="BQ274" s="78"/>
      <c r="BS274" s="78"/>
      <c r="BT274" s="76" t="s">
        <v>293</v>
      </c>
      <c r="BU274" s="77">
        <f>INDEX(MMULT(MINVERSE(BT269:BV271),BS269:BS271),3)</f>
        <v>0.0005082877232481873</v>
      </c>
      <c r="BV274" s="78" t="s">
        <v>82</v>
      </c>
      <c r="BW274" s="78"/>
      <c r="BY274" s="78"/>
      <c r="BZ274" s="76" t="s">
        <v>293</v>
      </c>
      <c r="CA274" s="77">
        <f>INDEX(MMULT(MINVERSE(BZ269:CB271),BY269:BY271),3)</f>
        <v>0.0005082806757596752</v>
      </c>
      <c r="CB274" s="78" t="s">
        <v>82</v>
      </c>
      <c r="CC274" s="78"/>
    </row>
    <row r="275" spans="53:81" ht="18" customHeight="1">
      <c r="BA275" s="27"/>
      <c r="BB275" s="145" t="s">
        <v>110</v>
      </c>
      <c r="BC275" s="27">
        <f>BC272*COS(-α)+(BC273+B*BC274)*SIN(-α)+BB267*BC274</f>
        <v>0.260577149587883</v>
      </c>
      <c r="BD275" s="27"/>
      <c r="BE275" s="27"/>
      <c r="BG275" s="27"/>
      <c r="BH275" s="145" t="s">
        <v>110</v>
      </c>
      <c r="BI275" s="27">
        <f>BI272*COS(-α)+(BI273+B*BI274)*SIN(-α)+BH267*BI274</f>
        <v>0.00022931522325633997</v>
      </c>
      <c r="BJ275" s="27"/>
      <c r="BK275" s="27"/>
      <c r="BM275" s="27"/>
      <c r="BN275" s="145" t="s">
        <v>110</v>
      </c>
      <c r="BO275" s="27">
        <f>BO272*COS(-α)+(BO273+B*BO274)*SIN(-α)+BN267*BO274</f>
        <v>0.00013014340314589133</v>
      </c>
      <c r="BP275" s="27"/>
      <c r="BQ275" s="27"/>
      <c r="BS275" s="27"/>
      <c r="BT275" s="145" t="s">
        <v>110</v>
      </c>
      <c r="BU275" s="27">
        <f>BU272*COS(-α)+(BU273+B*BU274)*SIN(-α)+BT267*BU274</f>
        <v>1.7354116788631524E-05</v>
      </c>
      <c r="BV275" s="27"/>
      <c r="BW275" s="27"/>
      <c r="BY275" s="27"/>
      <c r="BZ275" s="145" t="s">
        <v>110</v>
      </c>
      <c r="CA275" s="27">
        <f>CA272*COS(-α)+(CA273+B*CA274)*SIN(-α)+BZ267*CA274</f>
        <v>2.7438540990492276E-06</v>
      </c>
      <c r="CB275" s="27"/>
      <c r="CC275" s="27"/>
    </row>
    <row r="276" spans="54:78" ht="18" customHeight="1">
      <c r="BB276" s="27"/>
      <c r="BH276" s="27"/>
      <c r="BN276" s="27"/>
      <c r="BT276" s="27"/>
      <c r="BZ276" s="27"/>
    </row>
    <row r="277" spans="53:81" ht="18" customHeight="1">
      <c r="BA277" s="66" t="s">
        <v>288</v>
      </c>
      <c r="BB277" s="27">
        <f>BC255</f>
        <v>8.049844718999243</v>
      </c>
      <c r="BC277" s="66" t="s">
        <v>289</v>
      </c>
      <c r="BD277" s="27">
        <f>L-BB277</f>
        <v>0.8944271909999166</v>
      </c>
      <c r="BE277" s="27"/>
      <c r="BG277" s="66" t="s">
        <v>288</v>
      </c>
      <c r="BH277" s="27">
        <f>BI255</f>
        <v>6.082104898799428</v>
      </c>
      <c r="BI277" s="66" t="s">
        <v>289</v>
      </c>
      <c r="BJ277" s="27">
        <f>L-BH277</f>
        <v>2.8621670111997313</v>
      </c>
      <c r="BK277" s="27"/>
      <c r="BM277" s="66" t="s">
        <v>288</v>
      </c>
      <c r="BN277" s="27">
        <f>BO255</f>
        <v>6.046327811159431</v>
      </c>
      <c r="BO277" s="66" t="s">
        <v>289</v>
      </c>
      <c r="BP277" s="27">
        <f>L-BN277</f>
        <v>2.8979440988397283</v>
      </c>
      <c r="BQ277" s="27"/>
      <c r="BS277" s="66" t="s">
        <v>288</v>
      </c>
      <c r="BT277" s="27">
        <f>BU255</f>
        <v>5.860286955431446</v>
      </c>
      <c r="BU277" s="66" t="s">
        <v>289</v>
      </c>
      <c r="BV277" s="27">
        <f>L-BT277</f>
        <v>3.083984954567713</v>
      </c>
      <c r="BW277" s="27"/>
      <c r="BY277" s="66" t="s">
        <v>288</v>
      </c>
      <c r="BZ277" s="27">
        <f>CA255</f>
        <v>5.837389619341847</v>
      </c>
      <c r="CA277" s="66" t="s">
        <v>289</v>
      </c>
      <c r="CB277" s="27">
        <f>L-BZ277</f>
        <v>3.106882290657312</v>
      </c>
      <c r="CC277" s="27"/>
    </row>
    <row r="278" spans="53:81" ht="18" customHeight="1">
      <c r="BA278" s="67" t="s">
        <v>112</v>
      </c>
      <c r="BB278" s="68"/>
      <c r="BC278" s="69" t="s">
        <v>113</v>
      </c>
      <c r="BD278" s="70"/>
      <c r="BE278" s="67" t="s">
        <v>114</v>
      </c>
      <c r="BG278" s="67" t="s">
        <v>112</v>
      </c>
      <c r="BH278" s="68"/>
      <c r="BI278" s="69" t="s">
        <v>113</v>
      </c>
      <c r="BJ278" s="70"/>
      <c r="BK278" s="67" t="s">
        <v>114</v>
      </c>
      <c r="BM278" s="67" t="s">
        <v>112</v>
      </c>
      <c r="BN278" s="68"/>
      <c r="BO278" s="69" t="s">
        <v>113</v>
      </c>
      <c r="BP278" s="70"/>
      <c r="BQ278" s="67" t="s">
        <v>114</v>
      </c>
      <c r="BS278" s="67" t="s">
        <v>112</v>
      </c>
      <c r="BT278" s="68"/>
      <c r="BU278" s="69" t="s">
        <v>113</v>
      </c>
      <c r="BV278" s="70"/>
      <c r="BW278" s="67" t="s">
        <v>114</v>
      </c>
      <c r="BY278" s="67" t="s">
        <v>112</v>
      </c>
      <c r="BZ278" s="68"/>
      <c r="CA278" s="69" t="s">
        <v>113</v>
      </c>
      <c r="CB278" s="70"/>
      <c r="CC278" s="67" t="s">
        <v>114</v>
      </c>
    </row>
    <row r="279" spans="1:81" ht="18" customHeight="1">
      <c r="A279" s="132" t="s">
        <v>546</v>
      </c>
      <c r="BA279" s="71">
        <f>-∑H</f>
        <v>-67.43628343669779</v>
      </c>
      <c r="BB279" s="72">
        <f>Kx*B+Kt*BD277*COS(-α)^2</f>
        <v>23611.551191924278</v>
      </c>
      <c r="BC279" s="72">
        <f>BB280</f>
        <v>2509.643038365821</v>
      </c>
      <c r="BD279" s="72">
        <f>BB281</f>
        <v>49926.83860524964</v>
      </c>
      <c r="BE279" s="73" t="s">
        <v>174</v>
      </c>
      <c r="BG279" s="71">
        <f>-∑H</f>
        <v>-67.43628343669779</v>
      </c>
      <c r="BH279" s="72">
        <f>Kx*B+Kt*BJ277*COS(-α)^2</f>
        <v>34653.98056073388</v>
      </c>
      <c r="BI279" s="72">
        <f>BH280</f>
        <v>8030.857722770623</v>
      </c>
      <c r="BJ279" s="72">
        <f>BH281</f>
        <v>142097.9965467034</v>
      </c>
      <c r="BK279" s="73" t="s">
        <v>174</v>
      </c>
      <c r="BM279" s="71">
        <f>-∑H</f>
        <v>-67.43628343669779</v>
      </c>
      <c r="BN279" s="72">
        <f>Kx*B+Kt*BP277*COS(-α)^2</f>
        <v>34854.75200380315</v>
      </c>
      <c r="BO279" s="72">
        <f>BN280</f>
        <v>8131.243444305256</v>
      </c>
      <c r="BP279" s="72">
        <f>BN281</f>
        <v>143548.971765765</v>
      </c>
      <c r="BQ279" s="73" t="s">
        <v>174</v>
      </c>
      <c r="BS279" s="71">
        <f>-∑H</f>
        <v>-67.43628343669779</v>
      </c>
      <c r="BT279" s="72">
        <f>Kx*B+Kt*BV277*COS(-α)^2</f>
        <v>35898.763507763346</v>
      </c>
      <c r="BU279" s="72">
        <f>BT280</f>
        <v>8653.249196285355</v>
      </c>
      <c r="BV279" s="72">
        <f>BT281</f>
        <v>150964.58547839426</v>
      </c>
      <c r="BW279" s="73" t="s">
        <v>174</v>
      </c>
      <c r="BY279" s="71">
        <f>-∑H</f>
        <v>-67.43628343669779</v>
      </c>
      <c r="BZ279" s="72">
        <f>Kx*B+Kt*CB277*COS(-α)^2</f>
        <v>36027.257231327676</v>
      </c>
      <c r="CA279" s="72">
        <f>BZ280</f>
        <v>8717.496058067523</v>
      </c>
      <c r="CB279" s="72">
        <f>BZ281</f>
        <v>151862.26832995945</v>
      </c>
      <c r="CC279" s="73" t="s">
        <v>174</v>
      </c>
    </row>
    <row r="280" spans="2:81" ht="18" customHeight="1">
      <c r="B280" s="126"/>
      <c r="BA280" s="71">
        <f>∑V</f>
        <v>160.68827713700023</v>
      </c>
      <c r="BB280" s="72">
        <f>Kt*BD277*SIN(-α)*COS(-α)</f>
        <v>2509.643038365821</v>
      </c>
      <c r="BC280" s="72">
        <f>Ky*B+Kt*BD277*SIN(-α)^2</f>
        <v>75623.88197995345</v>
      </c>
      <c r="BD280" s="72">
        <f>BC281</f>
        <v>58206.389328589255</v>
      </c>
      <c r="BE280" s="73" t="s">
        <v>175</v>
      </c>
      <c r="BG280" s="71">
        <f>∑V</f>
        <v>160.68827713700023</v>
      </c>
      <c r="BH280" s="72">
        <f>Kt*BJ277*SIN(-α)*COS(-α)</f>
        <v>8030.857722770623</v>
      </c>
      <c r="BI280" s="72">
        <f>Ky*B+Kt*BJ277*SIN(-α)^2</f>
        <v>78384.48932215586</v>
      </c>
      <c r="BJ280" s="72">
        <f>BI281</f>
        <v>104291.96829931613</v>
      </c>
      <c r="BK280" s="73" t="s">
        <v>175</v>
      </c>
      <c r="BM280" s="71">
        <f>∑V</f>
        <v>160.68827713700023</v>
      </c>
      <c r="BN280" s="72">
        <f>Kt*BP277*SIN(-α)*COS(-α)</f>
        <v>8131.243444305256</v>
      </c>
      <c r="BO280" s="72">
        <f>Ky*B+Kt*BP277*SIN(-α)^2</f>
        <v>78434.68218292318</v>
      </c>
      <c r="BP280" s="72">
        <f>BO281</f>
        <v>105017.45590884693</v>
      </c>
      <c r="BQ280" s="73" t="s">
        <v>175</v>
      </c>
      <c r="BS280" s="71">
        <f>∑V</f>
        <v>160.68827713700023</v>
      </c>
      <c r="BT280" s="72">
        <f>Kt*BV277*SIN(-α)*COS(-α)</f>
        <v>8653.249196285355</v>
      </c>
      <c r="BU280" s="72">
        <f>Ky*B+Kt*BV277*SIN(-α)^2</f>
        <v>78695.68505891322</v>
      </c>
      <c r="BV280" s="72">
        <f>BU281</f>
        <v>108725.26276516158</v>
      </c>
      <c r="BW280" s="73" t="s">
        <v>175</v>
      </c>
      <c r="BY280" s="71">
        <f>∑V</f>
        <v>160.68827713700023</v>
      </c>
      <c r="BZ280" s="72">
        <f>Kt*CB277*SIN(-α)*COS(-α)</f>
        <v>8717.496058067523</v>
      </c>
      <c r="CA280" s="72">
        <f>Ky*B+Kt*CB277*SIN(-α)^2</f>
        <v>78727.8084898043</v>
      </c>
      <c r="CB280" s="72">
        <f>CA281</f>
        <v>109174.10419094417</v>
      </c>
      <c r="CC280" s="73" t="s">
        <v>175</v>
      </c>
    </row>
    <row r="281" spans="1:81" ht="18" customHeight="1">
      <c r="A281" s="202" t="s">
        <v>517</v>
      </c>
      <c r="BA281" s="71">
        <f>∑M</f>
        <v>214.21055477861782</v>
      </c>
      <c r="BB281" s="72">
        <f>Kt*BD277*COS(-α)*(B*SIN(-α)+BB277+BD277/2)</f>
        <v>49926.83860524964</v>
      </c>
      <c r="BC281" s="72">
        <f>1/2*Ky*B^2+Kt*BD277*SIN(-α)*(B*SIN(-α)+BB277+BD277/2)</f>
        <v>58206.389328589255</v>
      </c>
      <c r="BD281" s="72">
        <f>1/3*Ky*B^3+Kt*BD277*(B*SIN(-α)*(B*SIN(-α)+2*BB277+BD277)+BB277^2+BB277*BD277+BD277^2/3)</f>
        <v>516853.3475816207</v>
      </c>
      <c r="BE281" s="74" t="s">
        <v>115</v>
      </c>
      <c r="BG281" s="71">
        <f>∑M</f>
        <v>214.21055477861782</v>
      </c>
      <c r="BH281" s="72">
        <f>Kt*BJ277*COS(-α)*(B*SIN(-α)+BH277+BJ277/2)</f>
        <v>142097.9965467034</v>
      </c>
      <c r="BI281" s="72">
        <f>1/2*Ky*B^2+Kt*BJ277*SIN(-α)*(B*SIN(-α)+BH277+BJ277/2)</f>
        <v>104291.96829931613</v>
      </c>
      <c r="BJ281" s="72">
        <f>1/3*Ky*B^3+Kt*BJ277*(B*SIN(-α)*(B*SIN(-α)+2*BH277+BJ277)+BH277^2+BH277*BJ277+BJ277^2/3)</f>
        <v>1290659.7827643552</v>
      </c>
      <c r="BK281" s="74" t="s">
        <v>115</v>
      </c>
      <c r="BM281" s="71">
        <f>∑M</f>
        <v>214.21055477861782</v>
      </c>
      <c r="BN281" s="72">
        <f>Kt*BP277*COS(-α)*(B*SIN(-α)+BN277+BP277/2)</f>
        <v>143548.971765765</v>
      </c>
      <c r="BO281" s="72">
        <f>1/2*Ky*B^2+Kt*BP277*SIN(-α)*(B*SIN(-α)+BN277+BP277/2)</f>
        <v>105017.45590884693</v>
      </c>
      <c r="BP281" s="72">
        <f>1/3*Ky*B^3+Kt*BP277*(B*SIN(-α)*(B*SIN(-α)+2*BN277+BP277)+BN277^2+BN277*BP277+BP277^2/3)</f>
        <v>1301146.007442039</v>
      </c>
      <c r="BQ281" s="74" t="s">
        <v>115</v>
      </c>
      <c r="BS281" s="71">
        <f>∑M</f>
        <v>214.21055477861782</v>
      </c>
      <c r="BT281" s="72">
        <f>Kt*BV277*COS(-α)*(B*SIN(-α)+BT277+BV277/2)</f>
        <v>150964.58547839426</v>
      </c>
      <c r="BU281" s="72">
        <f>1/2*Ky*B^2+Kt*BV277*SIN(-α)*(B*SIN(-α)+BT277+BV277/2)</f>
        <v>108725.26276516158</v>
      </c>
      <c r="BV281" s="72">
        <f>1/3*Ky*B^3+Kt*BV277*(B*SIN(-α)*(B*SIN(-α)+2*BT277+BV277)+BT277^2+BT277*BV277+BV277^2/3)</f>
        <v>1353822.8756523205</v>
      </c>
      <c r="BW281" s="74" t="s">
        <v>115</v>
      </c>
      <c r="BY281" s="71">
        <f>∑M</f>
        <v>214.21055477861782</v>
      </c>
      <c r="BZ281" s="72">
        <f>Kt*CB277*COS(-α)*(B*SIN(-α)+BZ277+CB277/2)</f>
        <v>151862.26832995945</v>
      </c>
      <c r="CA281" s="72">
        <f>1/2*Ky*B^2+Kt*CB277*SIN(-α)*(B*SIN(-α)+BZ277+CB277/2)</f>
        <v>109174.10419094417</v>
      </c>
      <c r="CB281" s="72">
        <f>1/3*Ky*B^3+Kt*CB277*(B*SIN(-α)*(B*SIN(-α)+2*BZ277+CB277)+BZ277^2+BZ277*CB277+CB277^2/3)</f>
        <v>1360094.2746073955</v>
      </c>
      <c r="CC281" s="74" t="s">
        <v>115</v>
      </c>
    </row>
    <row r="282" spans="2:81" ht="18" customHeight="1">
      <c r="B282" s="80" t="s">
        <v>95</v>
      </c>
      <c r="C282" s="76" t="s">
        <v>97</v>
      </c>
      <c r="D282" s="81" t="s">
        <v>390</v>
      </c>
      <c r="E282" s="271">
        <f>-∑H</f>
        <v>-67.43628343669779</v>
      </c>
      <c r="F282" s="25" t="s">
        <v>65</v>
      </c>
      <c r="BA282" s="75" t="s">
        <v>116</v>
      </c>
      <c r="BB282" s="76" t="s">
        <v>176</v>
      </c>
      <c r="BC282" s="77">
        <f>INDEX(MMULT(MINVERSE(BB279:BD281),BA279:BA281),1)</f>
        <v>-0.004395732190101533</v>
      </c>
      <c r="BD282" s="78" t="s">
        <v>18</v>
      </c>
      <c r="BE282" s="78"/>
      <c r="BG282" s="75" t="s">
        <v>116</v>
      </c>
      <c r="BH282" s="76" t="s">
        <v>176</v>
      </c>
      <c r="BI282" s="77">
        <f>INDEX(MMULT(MINVERSE(BH279:BJ281),BG279:BG281),1)</f>
        <v>-0.004455970568577333</v>
      </c>
      <c r="BJ282" s="78" t="s">
        <v>18</v>
      </c>
      <c r="BK282" s="78"/>
      <c r="BM282" s="75" t="s">
        <v>116</v>
      </c>
      <c r="BN282" s="76" t="s">
        <v>176</v>
      </c>
      <c r="BO282" s="77">
        <f>INDEX(MMULT(MINVERSE(BN279:BP281),BM279:BM281),1)</f>
        <v>-0.004456256746107871</v>
      </c>
      <c r="BP282" s="78" t="s">
        <v>18</v>
      </c>
      <c r="BQ282" s="78"/>
      <c r="BS282" s="75" t="s">
        <v>116</v>
      </c>
      <c r="BT282" s="76" t="s">
        <v>176</v>
      </c>
      <c r="BU282" s="77">
        <f>INDEX(MMULT(MINVERSE(BT279:BV281),BS279:BS281),1)</f>
        <v>-0.004457048505856034</v>
      </c>
      <c r="BV282" s="78" t="s">
        <v>18</v>
      </c>
      <c r="BW282" s="78"/>
      <c r="BY282" s="75" t="s">
        <v>116</v>
      </c>
      <c r="BZ282" s="76" t="s">
        <v>176</v>
      </c>
      <c r="CA282" s="77">
        <f>INDEX(MMULT(MINVERSE(BZ279:CB281),BY279:BY281),1)</f>
        <v>-0.00445706146828807</v>
      </c>
      <c r="CB282" s="78" t="s">
        <v>18</v>
      </c>
      <c r="CC282" s="78"/>
    </row>
    <row r="283" spans="2:81" ht="18" customHeight="1">
      <c r="B283" s="78"/>
      <c r="C283" s="76" t="s">
        <v>96</v>
      </c>
      <c r="D283" s="81" t="s">
        <v>391</v>
      </c>
      <c r="E283" s="271">
        <f>∑V</f>
        <v>160.68827713700023</v>
      </c>
      <c r="F283" s="25" t="s">
        <v>65</v>
      </c>
      <c r="BA283" s="78"/>
      <c r="BB283" s="76" t="s">
        <v>177</v>
      </c>
      <c r="BC283" s="77">
        <f>INDEX(MMULT(MINVERSE(BB279:BD281),BA279:BA281),2)</f>
        <v>0.0017791059630601447</v>
      </c>
      <c r="BD283" s="78" t="s">
        <v>18</v>
      </c>
      <c r="BE283" s="78"/>
      <c r="BG283" s="78"/>
      <c r="BH283" s="76" t="s">
        <v>177</v>
      </c>
      <c r="BI283" s="77">
        <f>INDEX(MMULT(MINVERSE(BH279:BJ281),BG279:BG281),2)</f>
        <v>0.0018296862153707127</v>
      </c>
      <c r="BJ283" s="78" t="s">
        <v>18</v>
      </c>
      <c r="BK283" s="78"/>
      <c r="BM283" s="78"/>
      <c r="BN283" s="76" t="s">
        <v>177</v>
      </c>
      <c r="BO283" s="77">
        <f>INDEX(MMULT(MINVERSE(BN279:BP281),BM279:BM281),2)</f>
        <v>0.0018297044514373646</v>
      </c>
      <c r="BP283" s="78" t="s">
        <v>18</v>
      </c>
      <c r="BQ283" s="78"/>
      <c r="BS283" s="78"/>
      <c r="BT283" s="76" t="s">
        <v>177</v>
      </c>
      <c r="BU283" s="77">
        <f>INDEX(MMULT(MINVERSE(BT279:BV281),BS279:BS281),2)</f>
        <v>0.0018297421228880854</v>
      </c>
      <c r="BV283" s="78" t="s">
        <v>18</v>
      </c>
      <c r="BW283" s="78"/>
      <c r="BY283" s="78"/>
      <c r="BZ283" s="76" t="s">
        <v>177</v>
      </c>
      <c r="CA283" s="77">
        <f>INDEX(MMULT(MINVERSE(BZ279:CB281),BY279:BY281),2)</f>
        <v>0.001829742466279382</v>
      </c>
      <c r="CB283" s="78" t="s">
        <v>18</v>
      </c>
      <c r="CC283" s="78"/>
    </row>
    <row r="284" spans="2:81" ht="18" customHeight="1">
      <c r="B284" s="78"/>
      <c r="C284" s="76" t="s">
        <v>178</v>
      </c>
      <c r="D284" s="81" t="s">
        <v>392</v>
      </c>
      <c r="E284" s="271">
        <f>∑M</f>
        <v>214.21055477861782</v>
      </c>
      <c r="F284" s="25" t="s">
        <v>103</v>
      </c>
      <c r="BA284" s="78"/>
      <c r="BB284" s="76" t="s">
        <v>293</v>
      </c>
      <c r="BC284" s="77">
        <f>INDEX(MMULT(MINVERSE(BB279:BD281),BA279:BA281),3)</f>
        <v>0.0006387116066630331</v>
      </c>
      <c r="BD284" s="78" t="s">
        <v>82</v>
      </c>
      <c r="BE284" s="78"/>
      <c r="BG284" s="78"/>
      <c r="BH284" s="76" t="s">
        <v>293</v>
      </c>
      <c r="BI284" s="77">
        <f>INDEX(MMULT(MINVERSE(BH279:BJ281),BG279:BG281),3)</f>
        <v>0.0005087114956562251</v>
      </c>
      <c r="BJ284" s="78" t="s">
        <v>82</v>
      </c>
      <c r="BK284" s="78"/>
      <c r="BM284" s="78"/>
      <c r="BN284" s="76" t="s">
        <v>293</v>
      </c>
      <c r="BO284" s="77">
        <f>INDEX(MMULT(MINVERSE(BN279:BP281),BM279:BM281),3)</f>
        <v>0.0005085906718128945</v>
      </c>
      <c r="BP284" s="78" t="s">
        <v>82</v>
      </c>
      <c r="BQ284" s="78"/>
      <c r="BS284" s="78"/>
      <c r="BT284" s="76" t="s">
        <v>293</v>
      </c>
      <c r="BU284" s="77">
        <f>INDEX(MMULT(MINVERSE(BT279:BV281),BS279:BS281),3)</f>
        <v>0.0005082849863112367</v>
      </c>
      <c r="BV284" s="78" t="s">
        <v>82</v>
      </c>
      <c r="BW284" s="78"/>
      <c r="BY284" s="78"/>
      <c r="BZ284" s="76" t="s">
        <v>293</v>
      </c>
      <c r="CA284" s="77">
        <f>INDEX(MMULT(MINVERSE(BZ279:CB281),BY279:BY281),3)</f>
        <v>0.0005082805932568729</v>
      </c>
      <c r="CB284" s="78" t="s">
        <v>82</v>
      </c>
      <c r="CC284" s="78"/>
    </row>
    <row r="285" spans="2:81" ht="18" customHeight="1">
      <c r="B285" s="75" t="s">
        <v>122</v>
      </c>
      <c r="C285" s="76" t="s">
        <v>179</v>
      </c>
      <c r="D285" s="82" t="s">
        <v>180</v>
      </c>
      <c r="E285" s="272">
        <f>H</f>
        <v>8</v>
      </c>
      <c r="F285" s="25" t="s">
        <v>18</v>
      </c>
      <c r="BA285" s="27"/>
      <c r="BB285" s="145" t="s">
        <v>110</v>
      </c>
      <c r="BC285" s="27">
        <f>BC282*COS(-α)+(BC283+B*BC284)*SIN(-α)+BB277*BC284</f>
        <v>0.0022608698528034364</v>
      </c>
      <c r="BD285" s="27"/>
      <c r="BE285" s="27"/>
      <c r="BG285" s="27"/>
      <c r="BH285" s="145" t="s">
        <v>110</v>
      </c>
      <c r="BI285" s="27">
        <f>BI282*COS(-α)+(BI283+B*BI284)*SIN(-α)+BH277*BI284</f>
        <v>0.00013014340314589133</v>
      </c>
      <c r="BJ285" s="27"/>
      <c r="BK285" s="27"/>
      <c r="BM285" s="27"/>
      <c r="BN285" s="145" t="s">
        <v>110</v>
      </c>
      <c r="BO285" s="27">
        <f>BO282*COS(-α)+(BO283+B*BO284)*SIN(-α)+BN277*BO284</f>
        <v>0.00011091653081584654</v>
      </c>
      <c r="BP285" s="27"/>
      <c r="BQ285" s="27"/>
      <c r="BS285" s="27"/>
      <c r="BT285" s="145" t="s">
        <v>110</v>
      </c>
      <c r="BU285" s="27">
        <f>BU282*COS(-α)+(BU283+B*BU284)*SIN(-α)+BT277*BU284</f>
        <v>1.3692942195318338E-05</v>
      </c>
      <c r="BV285" s="27"/>
      <c r="BW285" s="27"/>
      <c r="BY285" s="27"/>
      <c r="BZ285" s="145" t="s">
        <v>110</v>
      </c>
      <c r="CA285" s="27">
        <f>CA282*COS(-α)+(CA283+B*CA284)*SIN(-α)+BZ277*CA284</f>
        <v>2.0157292996226053E-06</v>
      </c>
      <c r="CB285" s="27"/>
      <c r="CC285" s="27"/>
    </row>
    <row r="286" spans="2:6" ht="18" customHeight="1">
      <c r="B286" s="78"/>
      <c r="C286" s="76" t="s">
        <v>181</v>
      </c>
      <c r="D286" s="82" t="s">
        <v>393</v>
      </c>
      <c r="E286" s="3">
        <f>Lw</f>
        <v>10</v>
      </c>
      <c r="F286" s="78" t="s">
        <v>18</v>
      </c>
    </row>
    <row r="287" spans="2:81" ht="18" customHeight="1">
      <c r="B287" s="78"/>
      <c r="C287" s="76" t="s">
        <v>104</v>
      </c>
      <c r="D287" s="82" t="s">
        <v>182</v>
      </c>
      <c r="E287" s="273">
        <f>B</f>
        <v>0.8940000000000001</v>
      </c>
      <c r="F287" s="78" t="s">
        <v>18</v>
      </c>
      <c r="BA287" s="66" t="s">
        <v>288</v>
      </c>
      <c r="BB287" s="27">
        <f>BC256</f>
        <v>7.155417527999327</v>
      </c>
      <c r="BC287" s="66" t="s">
        <v>289</v>
      </c>
      <c r="BD287" s="27">
        <f>L-BB287</f>
        <v>1.7888543819998324</v>
      </c>
      <c r="BE287" s="27"/>
      <c r="BG287" s="66" t="s">
        <v>288</v>
      </c>
      <c r="BH287" s="27">
        <f>BI256</f>
        <v>5.903219460599445</v>
      </c>
      <c r="BI287" s="66" t="s">
        <v>289</v>
      </c>
      <c r="BJ287" s="27">
        <f>L-BH287</f>
        <v>3.0410524493997144</v>
      </c>
      <c r="BK287" s="27"/>
      <c r="BM287" s="66" t="s">
        <v>288</v>
      </c>
      <c r="BN287" s="27">
        <f>BO256</f>
        <v>6.010550723519434</v>
      </c>
      <c r="BO287" s="66" t="s">
        <v>289</v>
      </c>
      <c r="BP287" s="27">
        <f>L-BN287</f>
        <v>2.9337211864797252</v>
      </c>
      <c r="BQ287" s="27"/>
      <c r="BS287" s="66" t="s">
        <v>288</v>
      </c>
      <c r="BT287" s="27">
        <f>BU256</f>
        <v>5.8531315379034465</v>
      </c>
      <c r="BU287" s="66" t="s">
        <v>289</v>
      </c>
      <c r="BV287" s="27">
        <f>L-BT287</f>
        <v>3.0911403720957127</v>
      </c>
      <c r="BW287" s="27"/>
      <c r="BY287" s="66" t="s">
        <v>288</v>
      </c>
      <c r="BZ287" s="27">
        <f>CA256</f>
        <v>5.835958535836247</v>
      </c>
      <c r="CA287" s="66" t="s">
        <v>289</v>
      </c>
      <c r="CB287" s="27">
        <f>L-BZ287</f>
        <v>3.108313374162912</v>
      </c>
      <c r="CC287" s="27"/>
    </row>
    <row r="288" spans="2:81" ht="18" customHeight="1">
      <c r="B288" s="78"/>
      <c r="C288" s="76" t="s">
        <v>123</v>
      </c>
      <c r="D288" s="79" t="s">
        <v>394</v>
      </c>
      <c r="E288" s="3">
        <f>ROUND(R290*180/PI(),3)</f>
        <v>26.565</v>
      </c>
      <c r="F288" s="43" t="s">
        <v>495</v>
      </c>
      <c r="BA288" s="67" t="s">
        <v>112</v>
      </c>
      <c r="BB288" s="68"/>
      <c r="BC288" s="69" t="s">
        <v>113</v>
      </c>
      <c r="BD288" s="70"/>
      <c r="BE288" s="67" t="s">
        <v>114</v>
      </c>
      <c r="BG288" s="67" t="s">
        <v>112</v>
      </c>
      <c r="BH288" s="68"/>
      <c r="BI288" s="69" t="s">
        <v>113</v>
      </c>
      <c r="BJ288" s="70"/>
      <c r="BK288" s="67" t="s">
        <v>114</v>
      </c>
      <c r="BM288" s="67" t="s">
        <v>112</v>
      </c>
      <c r="BN288" s="68"/>
      <c r="BO288" s="69" t="s">
        <v>113</v>
      </c>
      <c r="BP288" s="70"/>
      <c r="BQ288" s="67" t="s">
        <v>114</v>
      </c>
      <c r="BS288" s="67" t="s">
        <v>112</v>
      </c>
      <c r="BT288" s="68"/>
      <c r="BU288" s="69" t="s">
        <v>113</v>
      </c>
      <c r="BV288" s="70"/>
      <c r="BW288" s="67" t="s">
        <v>114</v>
      </c>
      <c r="BY288" s="67" t="s">
        <v>112</v>
      </c>
      <c r="BZ288" s="68"/>
      <c r="CA288" s="69" t="s">
        <v>113</v>
      </c>
      <c r="CB288" s="70"/>
      <c r="CC288" s="67" t="s">
        <v>114</v>
      </c>
    </row>
    <row r="289" spans="2:81" ht="18" customHeight="1">
      <c r="B289" s="78"/>
      <c r="C289" s="76" t="s">
        <v>373</v>
      </c>
      <c r="D289" s="83" t="s">
        <v>538</v>
      </c>
      <c r="E289" s="274">
        <f>H/COS(α)</f>
        <v>8.94427190999916</v>
      </c>
      <c r="F289" s="25" t="s">
        <v>18</v>
      </c>
      <c r="AR289" s="41"/>
      <c r="AS289" s="41"/>
      <c r="AT289" s="41"/>
      <c r="AU289" s="41"/>
      <c r="AV289" s="41"/>
      <c r="AW289" s="41"/>
      <c r="AX289" s="41"/>
      <c r="AY289" s="90"/>
      <c r="AZ289" s="78"/>
      <c r="BA289" s="71">
        <f>-∑H</f>
        <v>-67.43628343669779</v>
      </c>
      <c r="BB289" s="72">
        <f>Kx*B+Kt*BD287*COS(-α)^2</f>
        <v>28630.837268655916</v>
      </c>
      <c r="BC289" s="72">
        <f>BB290</f>
        <v>5019.286076731641</v>
      </c>
      <c r="BD289" s="72">
        <f>BB291</f>
        <v>94834.39113376764</v>
      </c>
      <c r="BE289" s="73" t="s">
        <v>174</v>
      </c>
      <c r="BG289" s="71">
        <f>-∑H</f>
        <v>-67.43628343669779</v>
      </c>
      <c r="BH289" s="72">
        <f>Kx*B+Kt*BJ287*COS(-α)^2</f>
        <v>35657.83777608021</v>
      </c>
      <c r="BI289" s="72">
        <f>BH290</f>
        <v>8532.786330443787</v>
      </c>
      <c r="BJ289" s="72">
        <f>BH291</f>
        <v>149272.56406478363</v>
      </c>
      <c r="BK289" s="73" t="s">
        <v>174</v>
      </c>
      <c r="BM289" s="71">
        <f>-∑H</f>
        <v>-67.43628343669779</v>
      </c>
      <c r="BN289" s="72">
        <f>Kx*B+Kt*BP287*COS(-α)^2</f>
        <v>35055.52344687242</v>
      </c>
      <c r="BO289" s="72">
        <f>BN290</f>
        <v>8231.629165839891</v>
      </c>
      <c r="BP289" s="72">
        <f>BN291</f>
        <v>144991.91612710385</v>
      </c>
      <c r="BQ289" s="73" t="s">
        <v>174</v>
      </c>
      <c r="BS289" s="71">
        <f>-∑H</f>
        <v>-67.43628343669779</v>
      </c>
      <c r="BT289" s="72">
        <f>Kx*B+Kt*BV287*COS(-α)^2</f>
        <v>35938.917796377194</v>
      </c>
      <c r="BU289" s="72">
        <f>BT290</f>
        <v>8673.32634059228</v>
      </c>
      <c r="BV289" s="72">
        <f>BT291</f>
        <v>151245.46472724818</v>
      </c>
      <c r="BW289" s="73" t="s">
        <v>174</v>
      </c>
      <c r="BY289" s="71">
        <f>-∑H</f>
        <v>-67.43628343669779</v>
      </c>
      <c r="BZ289" s="72">
        <f>Kx*B+Kt*CB287*COS(-α)^2</f>
        <v>36035.28808905045</v>
      </c>
      <c r="CA289" s="72">
        <f>BZ290</f>
        <v>8721.511486928908</v>
      </c>
      <c r="CB289" s="72">
        <f>BZ291</f>
        <v>151918.2642885172</v>
      </c>
      <c r="CC289" s="73" t="s">
        <v>174</v>
      </c>
    </row>
    <row r="290" spans="2:81" ht="18" customHeight="1">
      <c r="B290" s="84" t="s">
        <v>183</v>
      </c>
      <c r="C290" s="79" t="s">
        <v>124</v>
      </c>
      <c r="D290" s="82" t="s">
        <v>184</v>
      </c>
      <c r="E290" s="273">
        <f>Nb</f>
        <v>50</v>
      </c>
      <c r="F290" s="78"/>
      <c r="R290" s="16">
        <f>-α</f>
        <v>0.4636476090008061</v>
      </c>
      <c r="S290" s="25" t="s">
        <v>82</v>
      </c>
      <c r="AR290" s="78"/>
      <c r="AS290" s="78"/>
      <c r="AT290" s="78"/>
      <c r="AU290" s="78"/>
      <c r="AV290" s="78"/>
      <c r="AW290" s="78"/>
      <c r="AX290" s="78"/>
      <c r="AY290" s="41"/>
      <c r="AZ290" s="41"/>
      <c r="BA290" s="71">
        <f>∑V</f>
        <v>160.68827713700023</v>
      </c>
      <c r="BB290" s="72">
        <f>Kt*BD287*SIN(-α)*COS(-α)</f>
        <v>5019.286076731641</v>
      </c>
      <c r="BC290" s="72">
        <f>Ky*B+Kt*BD287*SIN(-α)^2</f>
        <v>76878.70349913636</v>
      </c>
      <c r="BD290" s="72">
        <f>BC291</f>
        <v>80660.16559284827</v>
      </c>
      <c r="BE290" s="73" t="s">
        <v>175</v>
      </c>
      <c r="BG290" s="71">
        <f>∑V</f>
        <v>160.68827713700023</v>
      </c>
      <c r="BH290" s="72">
        <f>Kt*BJ287*SIN(-α)*COS(-α)</f>
        <v>8532.786330443787</v>
      </c>
      <c r="BI290" s="72">
        <f>Ky*B+Kt*BJ287*SIN(-α)^2</f>
        <v>78635.45362599244</v>
      </c>
      <c r="BJ290" s="72">
        <f>BI291</f>
        <v>107879.25205835624</v>
      </c>
      <c r="BK290" s="73" t="s">
        <v>175</v>
      </c>
      <c r="BM290" s="71">
        <f>∑V</f>
        <v>160.68827713700023</v>
      </c>
      <c r="BN290" s="72">
        <f>Kt*BP287*SIN(-α)*COS(-α)</f>
        <v>8231.629165839891</v>
      </c>
      <c r="BO290" s="72">
        <f>Ky*B+Kt*BP287*SIN(-α)^2</f>
        <v>78484.8750436905</v>
      </c>
      <c r="BP290" s="72">
        <f>BO291</f>
        <v>105738.92808951635</v>
      </c>
      <c r="BQ290" s="73" t="s">
        <v>175</v>
      </c>
      <c r="BS290" s="71">
        <f>∑V</f>
        <v>160.68827713700023</v>
      </c>
      <c r="BT290" s="72">
        <f>Kt*BV287*SIN(-α)*COS(-α)</f>
        <v>8673.32634059228</v>
      </c>
      <c r="BU290" s="72">
        <f>Ky*B+Kt*BV287*SIN(-α)^2</f>
        <v>78705.72363106669</v>
      </c>
      <c r="BV290" s="72">
        <f>BU291</f>
        <v>108865.70238958852</v>
      </c>
      <c r="BW290" s="73" t="s">
        <v>175</v>
      </c>
      <c r="BY290" s="71">
        <f>∑V</f>
        <v>160.68827713700023</v>
      </c>
      <c r="BZ290" s="72">
        <f>Kt*CB287*SIN(-α)*COS(-α)</f>
        <v>8721.511486928908</v>
      </c>
      <c r="CA290" s="72">
        <f>Ky*B+Kt*CB287*SIN(-α)^2</f>
        <v>78729.816204235</v>
      </c>
      <c r="CB290" s="72">
        <f>CA291</f>
        <v>109202.10217022305</v>
      </c>
      <c r="CC290" s="73" t="s">
        <v>175</v>
      </c>
    </row>
    <row r="291" spans="2:81" ht="18" customHeight="1">
      <c r="B291" s="78"/>
      <c r="C291" s="79" t="s">
        <v>125</v>
      </c>
      <c r="D291" s="82" t="s">
        <v>185</v>
      </c>
      <c r="E291" s="273">
        <f>Nw</f>
        <v>10</v>
      </c>
      <c r="F291" s="78"/>
      <c r="AR291" s="78"/>
      <c r="AS291" s="78"/>
      <c r="AT291" s="78"/>
      <c r="AU291" s="78"/>
      <c r="AV291" s="78"/>
      <c r="AW291" s="78"/>
      <c r="AX291" s="78"/>
      <c r="AY291" s="41"/>
      <c r="AZ291" s="41"/>
      <c r="BA291" s="71">
        <f>∑M</f>
        <v>214.21055477861782</v>
      </c>
      <c r="BB291" s="72">
        <f>Kt*BD287*COS(-α)*(B*SIN(-α)+BB287+BD287/2)</f>
        <v>94834.39113376764</v>
      </c>
      <c r="BC291" s="72">
        <f>1/2*Ky*B^2+Kt*BD287*SIN(-α)*(B*SIN(-α)+BB287+BD287/2)</f>
        <v>80660.16559284827</v>
      </c>
      <c r="BD291" s="72">
        <f>1/3*Ky*B^3+Kt*BD287*(B*SIN(-α)*(B*SIN(-α)+2*BB287+BD287)+BB287^2+BB287*BD287+BD287^2/3)</f>
        <v>919059.4938939987</v>
      </c>
      <c r="BE291" s="74" t="s">
        <v>115</v>
      </c>
      <c r="BG291" s="71">
        <f>∑M</f>
        <v>214.21055477861782</v>
      </c>
      <c r="BH291" s="72">
        <f>Kt*BJ287*COS(-α)*(B*SIN(-α)+BH287+BJ287/2)</f>
        <v>149272.56406478363</v>
      </c>
      <c r="BI291" s="72">
        <f>1/2*Ky*B^2+Kt*BJ287*SIN(-α)*(B*SIN(-α)+BH287+BJ287/2)</f>
        <v>107879.25205835624</v>
      </c>
      <c r="BJ291" s="72">
        <f>1/3*Ky*B^3+Kt*BJ287*(B*SIN(-α)*(B*SIN(-α)+2*BH287+BJ287)+BH287^2+BH287*BJ287+BJ287^2/3)</f>
        <v>1341939.7630067924</v>
      </c>
      <c r="BK291" s="74" t="s">
        <v>115</v>
      </c>
      <c r="BM291" s="71">
        <f>∑M</f>
        <v>214.21055477861782</v>
      </c>
      <c r="BN291" s="72">
        <f>Kt*BP287*COS(-α)*(B*SIN(-α)+BN287+BP287/2)</f>
        <v>144991.91612710385</v>
      </c>
      <c r="BO291" s="72">
        <f>1/2*Ky*B^2+Kt*BP287*SIN(-α)*(B*SIN(-α)+BN287+BP287/2)</f>
        <v>105738.92808951635</v>
      </c>
      <c r="BP291" s="72">
        <f>1/3*Ky*B^3+Kt*BP287*(B*SIN(-α)*(B*SIN(-α)+2*BN287+BP287)+BN287^2+BN287*BP287+BP287^2/3)</f>
        <v>1311516.4753365072</v>
      </c>
      <c r="BQ291" s="74" t="s">
        <v>115</v>
      </c>
      <c r="BS291" s="71">
        <f>∑M</f>
        <v>214.21055477861782</v>
      </c>
      <c r="BT291" s="72">
        <f>Kt*BV287*COS(-α)*(B*SIN(-α)+BT287+BV287/2)</f>
        <v>151245.46472724818</v>
      </c>
      <c r="BU291" s="72">
        <f>1/2*Ky*B^2+Kt*BV287*SIN(-α)*(B*SIN(-α)+BT287+BV287/2)</f>
        <v>108865.70238958852</v>
      </c>
      <c r="BV291" s="72">
        <f>1/3*Ky*B^3+Kt*BV287*(B*SIN(-α)*(B*SIN(-α)+2*BT287+BV287)+BT287^2+BT287*BV287+BV287^2/3)</f>
        <v>1355787.6262122095</v>
      </c>
      <c r="BW291" s="74" t="s">
        <v>115</v>
      </c>
      <c r="BY291" s="71">
        <f>∑M</f>
        <v>214.21055477861782</v>
      </c>
      <c r="BZ291" s="72">
        <f>Kt*CB287*COS(-α)*(B*SIN(-α)+BZ287+CB287/2)</f>
        <v>151918.2642885172</v>
      </c>
      <c r="CA291" s="72">
        <f>1/2*Ky*B^2+Kt*CB287*SIN(-α)*(B*SIN(-α)+BZ287+CB287/2)</f>
        <v>109202.10217022305</v>
      </c>
      <c r="CB291" s="72">
        <f>1/3*Ky*B^3+Kt*CB287*(B*SIN(-α)*(B*SIN(-α)+2*BZ287+CB287)+BZ287^2+BZ287*CB287+CB287^2/3)</f>
        <v>1360484.7120297486</v>
      </c>
      <c r="CC291" s="74" t="s">
        <v>115</v>
      </c>
    </row>
    <row r="292" spans="1:81" ht="18" customHeight="1">
      <c r="A292" s="203" t="s">
        <v>516</v>
      </c>
      <c r="B292" s="41"/>
      <c r="D292" s="128"/>
      <c r="E292" s="41"/>
      <c r="AR292" s="78"/>
      <c r="AS292" s="78"/>
      <c r="AT292" s="78"/>
      <c r="AU292" s="78"/>
      <c r="AV292" s="78"/>
      <c r="AW292" s="78"/>
      <c r="AX292" s="78"/>
      <c r="AY292" s="63"/>
      <c r="AZ292" s="41"/>
      <c r="BA292" s="75" t="s">
        <v>116</v>
      </c>
      <c r="BB292" s="76" t="s">
        <v>176</v>
      </c>
      <c r="BC292" s="77">
        <f>INDEX(MMULT(MINVERSE(BB289:BD291),BA289:BA291),1)</f>
        <v>-0.004431736388309797</v>
      </c>
      <c r="BD292" s="78" t="s">
        <v>18</v>
      </c>
      <c r="BE292" s="78"/>
      <c r="BG292" s="75" t="s">
        <v>116</v>
      </c>
      <c r="BH292" s="76" t="s">
        <v>176</v>
      </c>
      <c r="BI292" s="77">
        <f>INDEX(MMULT(MINVERSE(BH289:BJ291),BG289:BG291),1)</f>
        <v>-0.00445697297867369</v>
      </c>
      <c r="BJ292" s="78" t="s">
        <v>18</v>
      </c>
      <c r="BK292" s="78"/>
      <c r="BM292" s="75" t="s">
        <v>116</v>
      </c>
      <c r="BN292" s="76" t="s">
        <v>176</v>
      </c>
      <c r="BO292" s="77">
        <f>INDEX(MMULT(MINVERSE(BN289:BP291),BM289:BM291),1)</f>
        <v>-0.004456500944219718</v>
      </c>
      <c r="BP292" s="78" t="s">
        <v>18</v>
      </c>
      <c r="BQ292" s="78"/>
      <c r="BS292" s="75" t="s">
        <v>116</v>
      </c>
      <c r="BT292" s="76" t="s">
        <v>176</v>
      </c>
      <c r="BU292" s="77">
        <f>INDEX(MMULT(MINVERSE(BT289:BV291),BS289:BS291),1)</f>
        <v>-0.004457054616638698</v>
      </c>
      <c r="BV292" s="78" t="s">
        <v>18</v>
      </c>
      <c r="BW292" s="78"/>
      <c r="BY292" s="75" t="s">
        <v>116</v>
      </c>
      <c r="BZ292" s="76" t="s">
        <v>176</v>
      </c>
      <c r="CA292" s="77">
        <f>INDEX(MMULT(MINVERSE(BZ289:CB291),BY289:BY291),1)</f>
        <v>-0.004457061639732728</v>
      </c>
      <c r="CB292" s="78" t="s">
        <v>18</v>
      </c>
      <c r="CC292" s="78"/>
    </row>
    <row r="293" spans="1:81" ht="18" customHeight="1">
      <c r="A293" s="203"/>
      <c r="B293" s="143" t="s">
        <v>126</v>
      </c>
      <c r="C293" s="41"/>
      <c r="D293" s="128"/>
      <c r="E293" s="41"/>
      <c r="AR293" s="19"/>
      <c r="AS293" s="19"/>
      <c r="AT293" s="19"/>
      <c r="AU293" s="19"/>
      <c r="AV293" s="19"/>
      <c r="AW293" s="19"/>
      <c r="AX293" s="19"/>
      <c r="BA293" s="78"/>
      <c r="BB293" s="76" t="s">
        <v>177</v>
      </c>
      <c r="BC293" s="77">
        <f>INDEX(MMULT(MINVERSE(BB289:BD291),BA289:BA291),2)</f>
        <v>0.0018230322342038324</v>
      </c>
      <c r="BD293" s="78" t="s">
        <v>18</v>
      </c>
      <c r="BE293" s="78"/>
      <c r="BG293" s="78"/>
      <c r="BH293" s="76" t="s">
        <v>177</v>
      </c>
      <c r="BI293" s="77">
        <f>INDEX(MMULT(MINVERSE(BH289:BJ291),BG289:BG291),2)</f>
        <v>0.0018297397212129445</v>
      </c>
      <c r="BJ293" s="78" t="s">
        <v>18</v>
      </c>
      <c r="BK293" s="78"/>
      <c r="BM293" s="78"/>
      <c r="BN293" s="76" t="s">
        <v>177</v>
      </c>
      <c r="BO293" s="77">
        <f>INDEX(MMULT(MINVERSE(BN289:BP291),BM289:BM291),2)</f>
        <v>0.001829718348776693</v>
      </c>
      <c r="BP293" s="78" t="s">
        <v>18</v>
      </c>
      <c r="BQ293" s="78"/>
      <c r="BS293" s="78"/>
      <c r="BT293" s="76" t="s">
        <v>177</v>
      </c>
      <c r="BU293" s="77">
        <f>INDEX(MMULT(MINVERSE(BT289:BV291),BS289:BS291),2)</f>
        <v>0.0018297422897807754</v>
      </c>
      <c r="BV293" s="78" t="s">
        <v>18</v>
      </c>
      <c r="BW293" s="78"/>
      <c r="BY293" s="78"/>
      <c r="BZ293" s="76" t="s">
        <v>177</v>
      </c>
      <c r="CA293" s="77">
        <f>INDEX(MMULT(MINVERSE(BZ289:CB291),BY289:BY291),2)</f>
        <v>0.001829742470421837</v>
      </c>
      <c r="CB293" s="78" t="s">
        <v>18</v>
      </c>
      <c r="CC293" s="78"/>
    </row>
    <row r="294" spans="1:81" ht="18" customHeight="1">
      <c r="A294" s="203"/>
      <c r="B294" s="41"/>
      <c r="C294" s="211" t="s">
        <v>469</v>
      </c>
      <c r="D294" s="128"/>
      <c r="E294" s="41" t="str">
        <f>"(補正係数αo="&amp;AT333&amp;")"</f>
        <v>(補正係数αo=1)</v>
      </c>
      <c r="BA294" s="78"/>
      <c r="BB294" s="76" t="s">
        <v>293</v>
      </c>
      <c r="BC294" s="77">
        <f>INDEX(MMULT(MINVERSE(BB289:BD291),BA289:BA291),3)</f>
        <v>0.000530374255612204</v>
      </c>
      <c r="BD294" s="78" t="s">
        <v>82</v>
      </c>
      <c r="BE294" s="78"/>
      <c r="BG294" s="78"/>
      <c r="BH294" s="76" t="s">
        <v>293</v>
      </c>
      <c r="BI294" s="77">
        <f>INDEX(MMULT(MINVERSE(BH289:BJ291),BG289:BG291),3)</f>
        <v>0.0005083114797629894</v>
      </c>
      <c r="BJ294" s="78" t="s">
        <v>82</v>
      </c>
      <c r="BK294" s="78"/>
      <c r="BM294" s="78"/>
      <c r="BN294" s="76" t="s">
        <v>293</v>
      </c>
      <c r="BO294" s="77">
        <f>INDEX(MMULT(MINVERSE(BN289:BP291),BM289:BM291),3)</f>
        <v>0.0005084912935057137</v>
      </c>
      <c r="BP294" s="78" t="s">
        <v>82</v>
      </c>
      <c r="BQ294" s="78"/>
      <c r="BS294" s="78"/>
      <c r="BT294" s="76" t="s">
        <v>293</v>
      </c>
      <c r="BU294" s="77">
        <f>INDEX(MMULT(MINVERSE(BT289:BV291),BS289:BS291),3)</f>
        <v>0.000508282904117672</v>
      </c>
      <c r="BV294" s="78" t="s">
        <v>82</v>
      </c>
      <c r="BW294" s="78"/>
      <c r="BY294" s="78"/>
      <c r="BZ294" s="76" t="s">
        <v>293</v>
      </c>
      <c r="CA294" s="77">
        <f>INDEX(MMULT(MINVERSE(BZ289:CB291),BY289:BY291),3)</f>
        <v>0.0005082805360464969</v>
      </c>
      <c r="CB294" s="78" t="s">
        <v>82</v>
      </c>
      <c r="CC294" s="78"/>
    </row>
    <row r="295" spans="1:81" ht="18" customHeight="1">
      <c r="A295" s="203"/>
      <c r="B295" s="41"/>
      <c r="C295" s="41"/>
      <c r="D295" s="128"/>
      <c r="E295" s="41"/>
      <c r="F295" s="275">
        <f>AT333*3783*Nb*(B*Lw)^(-0.375)</f>
        <v>83186.86852435183</v>
      </c>
      <c r="G295" s="25" t="s">
        <v>395</v>
      </c>
      <c r="BA295" s="27"/>
      <c r="BB295" s="145" t="s">
        <v>110</v>
      </c>
      <c r="BC295" s="27">
        <f>BC292*COS(-α)+(BC293+B*BC294)*SIN(-α)+BB287*BC294</f>
        <v>0.0008585168926945087</v>
      </c>
      <c r="BD295" s="27"/>
      <c r="BE295" s="27"/>
      <c r="BG295" s="27"/>
      <c r="BH295" s="145" t="s">
        <v>110</v>
      </c>
      <c r="BI295" s="27">
        <f>BI292*COS(-α)+(BI293+B*BI294)*SIN(-α)+BH287*BI294</f>
        <v>3.574835847992277E-05</v>
      </c>
      <c r="BJ295" s="27"/>
      <c r="BK295" s="27"/>
      <c r="BM295" s="27"/>
      <c r="BN295" s="145" t="s">
        <v>110</v>
      </c>
      <c r="BO295" s="27">
        <f>BO292*COS(-α)+(BO293+B*BO294)*SIN(-α)+BN287*BO294</f>
        <v>9.187138473216441E-05</v>
      </c>
      <c r="BP295" s="27"/>
      <c r="BQ295" s="27"/>
      <c r="BS295" s="27"/>
      <c r="BT295" s="145" t="s">
        <v>110</v>
      </c>
      <c r="BU295" s="27">
        <f>BU292*COS(-α)+(BU293+B*BU294)*SIN(-α)+BT287*BU294</f>
        <v>1.0037540049100992E-05</v>
      </c>
      <c r="BV295" s="27"/>
      <c r="BW295" s="27"/>
      <c r="BY295" s="27"/>
      <c r="BZ295" s="145" t="s">
        <v>110</v>
      </c>
      <c r="CA295" s="27">
        <f>CA292*COS(-α)+(CA293+B*CA294)*SIN(-α)+BZ287*CA294</f>
        <v>1.287829083590833E-06</v>
      </c>
      <c r="CB295" s="27"/>
      <c r="CC295" s="27"/>
    </row>
    <row r="296" spans="1:81" ht="18" customHeight="1">
      <c r="A296" s="203"/>
      <c r="B296" s="41"/>
      <c r="C296" s="211" t="s">
        <v>470</v>
      </c>
      <c r="D296" s="128"/>
      <c r="E296" s="41"/>
      <c r="BA296" s="27"/>
      <c r="BB296" s="27"/>
      <c r="BC296" s="27"/>
      <c r="BD296" s="27"/>
      <c r="BE296" s="27"/>
      <c r="BG296" s="27"/>
      <c r="BH296" s="27"/>
      <c r="BI296" s="27"/>
      <c r="BJ296" s="27"/>
      <c r="BK296" s="27"/>
      <c r="BM296" s="27"/>
      <c r="BN296" s="27"/>
      <c r="BO296" s="27"/>
      <c r="BP296" s="27"/>
      <c r="BQ296" s="27"/>
      <c r="BS296" s="27"/>
      <c r="BT296" s="27"/>
      <c r="BU296" s="27"/>
      <c r="BV296" s="27"/>
      <c r="BW296" s="27"/>
      <c r="BY296" s="27"/>
      <c r="BZ296" s="27"/>
      <c r="CA296" s="27"/>
      <c r="CB296" s="27"/>
      <c r="CC296" s="27"/>
    </row>
    <row r="297" spans="2:81" ht="18" customHeight="1">
      <c r="B297" s="143"/>
      <c r="D297" s="79" t="s">
        <v>471</v>
      </c>
      <c r="E297" s="212" t="s">
        <v>472</v>
      </c>
      <c r="F297" s="11">
        <f>'入力'!D22</f>
        <v>0.25</v>
      </c>
      <c r="BA297" s="66" t="s">
        <v>288</v>
      </c>
      <c r="BB297" s="27">
        <f>BC257</f>
        <v>6.260990336999411</v>
      </c>
      <c r="BC297" s="66" t="s">
        <v>289</v>
      </c>
      <c r="BD297" s="27">
        <f>L-BB297</f>
        <v>2.683281572999748</v>
      </c>
      <c r="BE297" s="27"/>
      <c r="BG297" s="66" t="s">
        <v>288</v>
      </c>
      <c r="BH297" s="27">
        <f>BI257</f>
        <v>5.724334022399462</v>
      </c>
      <c r="BI297" s="66" t="s">
        <v>289</v>
      </c>
      <c r="BJ297" s="27">
        <f>L-BH297</f>
        <v>3.2199378875996976</v>
      </c>
      <c r="BK297" s="27"/>
      <c r="BM297" s="66" t="s">
        <v>288</v>
      </c>
      <c r="BN297" s="27">
        <f>BO257</f>
        <v>5.974773635879437</v>
      </c>
      <c r="BO297" s="66" t="s">
        <v>289</v>
      </c>
      <c r="BP297" s="27">
        <f>L-BN297</f>
        <v>2.9694982741197222</v>
      </c>
      <c r="BQ297" s="27"/>
      <c r="BS297" s="66" t="s">
        <v>288</v>
      </c>
      <c r="BT297" s="27">
        <f>BU257</f>
        <v>5.845976120375447</v>
      </c>
      <c r="BU297" s="66" t="s">
        <v>289</v>
      </c>
      <c r="BV297" s="27">
        <f>L-BT297</f>
        <v>3.0982957896237124</v>
      </c>
      <c r="BW297" s="27"/>
      <c r="BY297" s="66" t="s">
        <v>288</v>
      </c>
      <c r="BZ297" s="27">
        <f>CA257</f>
        <v>5.834527452330647</v>
      </c>
      <c r="CA297" s="66" t="s">
        <v>289</v>
      </c>
      <c r="CB297" s="27">
        <f>L-BZ297</f>
        <v>3.109744457668512</v>
      </c>
      <c r="CC297" s="27"/>
    </row>
    <row r="298" spans="1:81" ht="18" customHeight="1">
      <c r="A298" s="204"/>
      <c r="C298" s="82"/>
      <c r="E298" s="275">
        <f>Ky*F297</f>
        <v>20796.717131087957</v>
      </c>
      <c r="F298" s="25" t="s">
        <v>395</v>
      </c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BA298" s="67" t="s">
        <v>112</v>
      </c>
      <c r="BB298" s="68"/>
      <c r="BC298" s="69" t="s">
        <v>113</v>
      </c>
      <c r="BD298" s="70"/>
      <c r="BE298" s="67" t="s">
        <v>114</v>
      </c>
      <c r="BG298" s="67" t="s">
        <v>112</v>
      </c>
      <c r="BH298" s="68"/>
      <c r="BI298" s="69" t="s">
        <v>113</v>
      </c>
      <c r="BJ298" s="70"/>
      <c r="BK298" s="67" t="s">
        <v>114</v>
      </c>
      <c r="BM298" s="67" t="s">
        <v>112</v>
      </c>
      <c r="BN298" s="68"/>
      <c r="BO298" s="69" t="s">
        <v>113</v>
      </c>
      <c r="BP298" s="70"/>
      <c r="BQ298" s="67" t="s">
        <v>114</v>
      </c>
      <c r="BS298" s="67" t="s">
        <v>112</v>
      </c>
      <c r="BT298" s="68"/>
      <c r="BU298" s="69" t="s">
        <v>113</v>
      </c>
      <c r="BV298" s="70"/>
      <c r="BW298" s="67" t="s">
        <v>114</v>
      </c>
      <c r="BY298" s="67" t="s">
        <v>112</v>
      </c>
      <c r="BZ298" s="68"/>
      <c r="CA298" s="69" t="s">
        <v>113</v>
      </c>
      <c r="CB298" s="70"/>
      <c r="CC298" s="67" t="s">
        <v>114</v>
      </c>
    </row>
    <row r="299" spans="1:81" ht="18" customHeight="1">
      <c r="A299" s="204"/>
      <c r="B299" s="75" t="s">
        <v>127</v>
      </c>
      <c r="C299" s="82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BA299" s="71">
        <f>-∑H</f>
        <v>-67.43628343669779</v>
      </c>
      <c r="BB299" s="72">
        <f>Kx*B+Kt*BD297*COS(-α)^2</f>
        <v>33650.123345387554</v>
      </c>
      <c r="BC299" s="72">
        <f>BB300</f>
        <v>7528.92911509746</v>
      </c>
      <c r="BD299" s="72">
        <f>BB301</f>
        <v>134722.65758555397</v>
      </c>
      <c r="BE299" s="73" t="s">
        <v>174</v>
      </c>
      <c r="BG299" s="71">
        <f>-∑H</f>
        <v>-67.43628343669779</v>
      </c>
      <c r="BH299" s="72">
        <f>Kx*B+Kt*BJ297*COS(-α)^2</f>
        <v>36661.69499142654</v>
      </c>
      <c r="BI299" s="72">
        <f>BH300</f>
        <v>9034.71493811695</v>
      </c>
      <c r="BJ299" s="72">
        <f>BH301</f>
        <v>156246.36013979456</v>
      </c>
      <c r="BK299" s="73" t="s">
        <v>174</v>
      </c>
      <c r="BM299" s="71">
        <f>-∑H</f>
        <v>-67.43628343669779</v>
      </c>
      <c r="BN299" s="72">
        <f>Kx*B+Kt*BP297*COS(-α)^2</f>
        <v>35256.29488994168</v>
      </c>
      <c r="BO299" s="72">
        <f>BN300</f>
        <v>8332.014887374524</v>
      </c>
      <c r="BP299" s="72">
        <f>BN301</f>
        <v>146426.82963071988</v>
      </c>
      <c r="BQ299" s="73" t="s">
        <v>174</v>
      </c>
      <c r="BS299" s="71">
        <f>-∑H</f>
        <v>-67.43628343669779</v>
      </c>
      <c r="BT299" s="72">
        <f>Kx*B+Kt*BV297*COS(-α)^2</f>
        <v>35979.07208499106</v>
      </c>
      <c r="BU299" s="72">
        <f>BT300</f>
        <v>8693.403484899209</v>
      </c>
      <c r="BV299" s="72">
        <f>BT301</f>
        <v>151526.0227417932</v>
      </c>
      <c r="BW299" s="73" t="s">
        <v>174</v>
      </c>
      <c r="BY299" s="71">
        <f>-∑H</f>
        <v>-67.43628343669779</v>
      </c>
      <c r="BZ299" s="72">
        <f>Kx*B+Kt*CB297*COS(-α)^2</f>
        <v>36043.31894677322</v>
      </c>
      <c r="CA299" s="72">
        <f>BZ300</f>
        <v>8725.526915790293</v>
      </c>
      <c r="CB299" s="72">
        <f>BZ301</f>
        <v>151974.24739770268</v>
      </c>
      <c r="CC299" s="73" t="s">
        <v>174</v>
      </c>
    </row>
    <row r="300" spans="1:81" ht="18" customHeight="1">
      <c r="A300" s="204"/>
      <c r="C300" s="75" t="s">
        <v>475</v>
      </c>
      <c r="E300" s="41" t="str">
        <f>"(補正係数αo="&amp;AT333&amp;")"</f>
        <v>(補正係数αo=1)</v>
      </c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BA300" s="71">
        <f>∑V</f>
        <v>160.68827713700023</v>
      </c>
      <c r="BB300" s="72">
        <f>Kt*BD297*SIN(-α)*COS(-α)</f>
        <v>7528.92911509746</v>
      </c>
      <c r="BC300" s="72">
        <f>Ky*B+Kt*BD297*SIN(-α)^2</f>
        <v>78133.52501831927</v>
      </c>
      <c r="BD300" s="72">
        <f>BC301</f>
        <v>100604.29881874143</v>
      </c>
      <c r="BE300" s="73" t="s">
        <v>175</v>
      </c>
      <c r="BG300" s="71">
        <f>∑V</f>
        <v>160.68827713700023</v>
      </c>
      <c r="BH300" s="72">
        <f>Kt*BJ297*SIN(-α)*COS(-α)</f>
        <v>9034.71493811695</v>
      </c>
      <c r="BI300" s="72">
        <f>Ky*B+Kt*BJ297*SIN(-α)^2</f>
        <v>78886.41792982903</v>
      </c>
      <c r="BJ300" s="72">
        <f>BI301</f>
        <v>111366.15009586173</v>
      </c>
      <c r="BK300" s="73" t="s">
        <v>175</v>
      </c>
      <c r="BM300" s="71">
        <f>∑V</f>
        <v>160.68827713700023</v>
      </c>
      <c r="BN300" s="72">
        <f>Kt*BP297*SIN(-α)*COS(-α)</f>
        <v>8332.014887374524</v>
      </c>
      <c r="BO300" s="72">
        <f>Ky*B+Kt*BP297*SIN(-α)^2</f>
        <v>78535.06790445781</v>
      </c>
      <c r="BP300" s="72">
        <f>BO301</f>
        <v>106456.38484132438</v>
      </c>
      <c r="BQ300" s="73" t="s">
        <v>175</v>
      </c>
      <c r="BS300" s="71">
        <f>∑V</f>
        <v>160.68827713700023</v>
      </c>
      <c r="BT300" s="72">
        <f>Kt*BV297*SIN(-α)*COS(-α)</f>
        <v>8693.403484899209</v>
      </c>
      <c r="BU300" s="72">
        <f>Ky*B+Kt*BV297*SIN(-α)^2</f>
        <v>78715.76220322015</v>
      </c>
      <c r="BV300" s="72">
        <f>BU301</f>
        <v>109005.98139686103</v>
      </c>
      <c r="BW300" s="73" t="s">
        <v>175</v>
      </c>
      <c r="BY300" s="71">
        <f>∑V</f>
        <v>160.68827713700023</v>
      </c>
      <c r="BZ300" s="72">
        <f>Kt*CB297*SIN(-α)*COS(-α)</f>
        <v>8725.526915790293</v>
      </c>
      <c r="CA300" s="72">
        <f>Ky*B+Kt*CB297*SIN(-α)^2</f>
        <v>78731.82391866569</v>
      </c>
      <c r="CB300" s="72">
        <f>CA301</f>
        <v>109230.09372481579</v>
      </c>
      <c r="CC300" s="73" t="s">
        <v>175</v>
      </c>
    </row>
    <row r="301" spans="1:81" ht="18" customHeight="1">
      <c r="A301" s="204"/>
      <c r="F301" s="275">
        <f>IF(d&lt;=B/2,0,AT333*3783*Nw*(L*Lw)^(-0.375))</f>
        <v>7014.665541306356</v>
      </c>
      <c r="G301" s="25" t="s">
        <v>395</v>
      </c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BA301" s="71">
        <f>∑M</f>
        <v>214.21055477861782</v>
      </c>
      <c r="BB301" s="72">
        <f>Kt*BD297*COS(-α)*(B*SIN(-α)+BB297+BD297/2)</f>
        <v>134722.65758555397</v>
      </c>
      <c r="BC301" s="72">
        <f>1/2*Ky*B^2+Kt*BD297*SIN(-α)*(B*SIN(-α)+BB297+BD297/2)</f>
        <v>100604.29881874143</v>
      </c>
      <c r="BD301" s="72">
        <f>1/3*Ky*B^3+Kt*BD297*(B*SIN(-α)*(B*SIN(-α)+2*BB297+BD297)+BB297^2+BB297*BD297+BD297^2/3)</f>
        <v>1236469.8212260725</v>
      </c>
      <c r="BE301" s="74" t="s">
        <v>115</v>
      </c>
      <c r="BG301" s="71">
        <f>∑M</f>
        <v>214.21055477861782</v>
      </c>
      <c r="BH301" s="72">
        <f>Kt*BJ297*COS(-α)*(B*SIN(-α)+BH297+BJ297/2)</f>
        <v>156246.36013979456</v>
      </c>
      <c r="BI301" s="72">
        <f>1/2*Ky*B^2+Kt*BJ297*SIN(-α)*(B*SIN(-α)+BH297+BJ297/2)</f>
        <v>111366.15009586173</v>
      </c>
      <c r="BJ301" s="72">
        <f>1/3*Ky*B^3+Kt*BJ297*(B*SIN(-α)*(B*SIN(-α)+2*BH297+BJ297)+BH297^2+BH297*BJ297+BJ297^2/3)</f>
        <v>1390390.070530611</v>
      </c>
      <c r="BK301" s="74" t="s">
        <v>115</v>
      </c>
      <c r="BM301" s="71">
        <f>∑M</f>
        <v>214.21055477861782</v>
      </c>
      <c r="BN301" s="72">
        <f>Kt*BP297*COS(-α)*(B*SIN(-α)+BN297+BP297/2)</f>
        <v>146426.82963071988</v>
      </c>
      <c r="BO301" s="72">
        <f>1/2*Ky*B^2+Kt*BP297*SIN(-α)*(B*SIN(-α)+BN297+BP297/2)</f>
        <v>106456.38484132438</v>
      </c>
      <c r="BP301" s="72">
        <f>1/3*Ky*B^3+Kt*BP297*(B*SIN(-α)*(B*SIN(-α)+2*BN297+BP297)+BN297^2+BN297*BP297+BP297^2/3)</f>
        <v>1321771.8289163767</v>
      </c>
      <c r="BQ301" s="74" t="s">
        <v>115</v>
      </c>
      <c r="BS301" s="71">
        <f>∑M</f>
        <v>214.21055477861782</v>
      </c>
      <c r="BT301" s="72">
        <f>Kt*BV297*COS(-α)*(B*SIN(-α)+BT297+BV297/2)</f>
        <v>151526.0227417932</v>
      </c>
      <c r="BU301" s="72">
        <f>1/2*Ky*B^2+Kt*BV297*SIN(-α)*(B*SIN(-α)+BT297+BV297/2)</f>
        <v>109005.98139686103</v>
      </c>
      <c r="BV301" s="72">
        <f>1/3*Ky*B^3+Kt*BV297*(B*SIN(-α)*(B*SIN(-α)+2*BT297+BV297)+BT297^2+BT297*BV297+BV297^2/3)</f>
        <v>1357747.8852739916</v>
      </c>
      <c r="BW301" s="74" t="s">
        <v>115</v>
      </c>
      <c r="BY301" s="71">
        <f>∑M</f>
        <v>214.21055477861782</v>
      </c>
      <c r="BZ301" s="72">
        <f>Kt*CB297*COS(-α)*(B*SIN(-α)+BZ297+CB297/2)</f>
        <v>151974.24739770268</v>
      </c>
      <c r="CA301" s="72">
        <f>1/2*Ky*B^2+Kt*CB297*SIN(-α)*(B*SIN(-α)+BZ297+CB297/2)</f>
        <v>109230.09372481579</v>
      </c>
      <c r="CB301" s="72">
        <f>1/3*Ky*B^3+Kt*CB297*(B*SIN(-α)*(B*SIN(-α)+2*BZ297+CB297)+BZ297^2+BZ297*CB297+CB297^2/3)</f>
        <v>1360874.9702855938</v>
      </c>
      <c r="CC301" s="74" t="s">
        <v>115</v>
      </c>
    </row>
    <row r="302" spans="1:81" ht="18" customHeight="1">
      <c r="A302" s="204" t="s">
        <v>515</v>
      </c>
      <c r="B302" s="78"/>
      <c r="F302" s="78"/>
      <c r="G302" s="19"/>
      <c r="BA302" s="75" t="s">
        <v>116</v>
      </c>
      <c r="BB302" s="76" t="s">
        <v>176</v>
      </c>
      <c r="BC302" s="77">
        <f>INDEX(MMULT(MINVERSE(BB299:BD301),BA299:BA301),1)</f>
        <v>-0.004453939588592804</v>
      </c>
      <c r="BD302" s="78" t="s">
        <v>18</v>
      </c>
      <c r="BE302" s="78"/>
      <c r="BG302" s="75" t="s">
        <v>116</v>
      </c>
      <c r="BH302" s="76" t="s">
        <v>176</v>
      </c>
      <c r="BI302" s="77">
        <f>INDEX(MMULT(MINVERSE(BH299:BJ301),BG299:BG301),1)</f>
        <v>-0.004456837794229021</v>
      </c>
      <c r="BJ302" s="78" t="s">
        <v>18</v>
      </c>
      <c r="BK302" s="78"/>
      <c r="BM302" s="75" t="s">
        <v>116</v>
      </c>
      <c r="BN302" s="76" t="s">
        <v>176</v>
      </c>
      <c r="BO302" s="77">
        <f>INDEX(MMULT(MINVERSE(BN299:BP301),BM299:BM301),1)</f>
        <v>-0.004456702298960164</v>
      </c>
      <c r="BP302" s="78" t="s">
        <v>18</v>
      </c>
      <c r="BQ302" s="78"/>
      <c r="BS302" s="75" t="s">
        <v>116</v>
      </c>
      <c r="BT302" s="76" t="s">
        <v>176</v>
      </c>
      <c r="BU302" s="77">
        <f>INDEX(MMULT(MINVERSE(BT299:BV301),BS299:BS301),1)</f>
        <v>-0.0044570588575732865</v>
      </c>
      <c r="BV302" s="78" t="s">
        <v>18</v>
      </c>
      <c r="BW302" s="78"/>
      <c r="BY302" s="75" t="s">
        <v>116</v>
      </c>
      <c r="BZ302" s="76" t="s">
        <v>176</v>
      </c>
      <c r="CA302" s="77">
        <f>INDEX(MMULT(MINVERSE(BZ299:CB301),BY299:BY301),1)</f>
        <v>-0.004457061735686765</v>
      </c>
      <c r="CB302" s="78" t="s">
        <v>18</v>
      </c>
      <c r="CC302" s="78"/>
    </row>
    <row r="303" spans="1:81" ht="18" customHeight="1">
      <c r="A303" s="204"/>
      <c r="B303" s="86" t="s">
        <v>128</v>
      </c>
      <c r="C303" s="82" t="s">
        <v>186</v>
      </c>
      <c r="D303" s="274">
        <f>MAX(0,IF(d&lt;=B/2,L,CA265))</f>
        <v>5.833096368825047</v>
      </c>
      <c r="E303" s="78" t="s">
        <v>18</v>
      </c>
      <c r="F303" s="78"/>
      <c r="G303" s="19"/>
      <c r="BA303" s="78"/>
      <c r="BB303" s="76" t="s">
        <v>177</v>
      </c>
      <c r="BC303" s="77">
        <f>INDEX(MMULT(MINVERSE(BB299:BD301),BA299:BA301),2)</f>
        <v>0.0018295083261383916</v>
      </c>
      <c r="BD303" s="78" t="s">
        <v>18</v>
      </c>
      <c r="BE303" s="78"/>
      <c r="BG303" s="78"/>
      <c r="BH303" s="76" t="s">
        <v>177</v>
      </c>
      <c r="BI303" s="77">
        <f>INDEX(MMULT(MINVERSE(BH299:BJ301),BG299:BG301),2)</f>
        <v>0.001829739596523298</v>
      </c>
      <c r="BJ303" s="78" t="s">
        <v>18</v>
      </c>
      <c r="BK303" s="78"/>
      <c r="BM303" s="78"/>
      <c r="BN303" s="76" t="s">
        <v>177</v>
      </c>
      <c r="BO303" s="77">
        <f>INDEX(MMULT(MINVERSE(BN299:BP301),BM299:BM301),2)</f>
        <v>0.0018297284870151499</v>
      </c>
      <c r="BP303" s="78" t="s">
        <v>18</v>
      </c>
      <c r="BQ303" s="78"/>
      <c r="BS303" s="78"/>
      <c r="BT303" s="76" t="s">
        <v>177</v>
      </c>
      <c r="BU303" s="77">
        <f>INDEX(MMULT(MINVERSE(BT299:BV301),BS299:BS301),2)</f>
        <v>0.0018297424008910995</v>
      </c>
      <c r="BV303" s="78" t="s">
        <v>18</v>
      </c>
      <c r="BW303" s="78"/>
      <c r="BY303" s="78"/>
      <c r="BZ303" s="76" t="s">
        <v>177</v>
      </c>
      <c r="CA303" s="77">
        <f>INDEX(MMULT(MINVERSE(BZ299:CB301),BY299:BY301),2)</f>
        <v>0.0018297424727196777</v>
      </c>
      <c r="CB303" s="78" t="s">
        <v>18</v>
      </c>
      <c r="CC303" s="78"/>
    </row>
    <row r="304" spans="1:81" ht="18" customHeight="1">
      <c r="A304" s="204"/>
      <c r="B304" s="79" t="s">
        <v>129</v>
      </c>
      <c r="C304" s="82" t="s">
        <v>187</v>
      </c>
      <c r="D304" s="274">
        <f>L-Lun</f>
        <v>3.111175541174112</v>
      </c>
      <c r="E304" s="78" t="s">
        <v>18</v>
      </c>
      <c r="F304" s="78"/>
      <c r="G304" s="19"/>
      <c r="BA304" s="78"/>
      <c r="BB304" s="76" t="s">
        <v>293</v>
      </c>
      <c r="BC304" s="77">
        <f>INDEX(MMULT(MINVERSE(BB299:BD301),BA299:BA301),3)</f>
        <v>0.0005096774055676067</v>
      </c>
      <c r="BD304" s="78" t="s">
        <v>82</v>
      </c>
      <c r="BE304" s="78"/>
      <c r="BG304" s="78"/>
      <c r="BH304" s="76" t="s">
        <v>293</v>
      </c>
      <c r="BI304" s="77">
        <f>INDEX(MMULT(MINVERSE(BH299:BJ301),BG299:BG301),3)</f>
        <v>0.0005083495619670831</v>
      </c>
      <c r="BJ304" s="78" t="s">
        <v>82</v>
      </c>
      <c r="BK304" s="78"/>
      <c r="BM304" s="78"/>
      <c r="BN304" s="76" t="s">
        <v>293</v>
      </c>
      <c r="BO304" s="77">
        <f>INDEX(MMULT(MINVERSE(BN299:BP301),BM299:BM301),3)</f>
        <v>0.0005084123056287286</v>
      </c>
      <c r="BP304" s="78" t="s">
        <v>82</v>
      </c>
      <c r="BQ304" s="78"/>
      <c r="BS304" s="78"/>
      <c r="BT304" s="76" t="s">
        <v>293</v>
      </c>
      <c r="BU304" s="77">
        <f>INDEX(MMULT(MINVERSE(BT299:BV301),BS299:BS301),3)</f>
        <v>0.0005082814696050369</v>
      </c>
      <c r="BV304" s="78" t="s">
        <v>82</v>
      </c>
      <c r="BW304" s="78"/>
      <c r="BY304" s="78"/>
      <c r="BZ304" s="76" t="s">
        <v>293</v>
      </c>
      <c r="CA304" s="77">
        <f>INDEX(MMULT(MINVERSE(BZ299:CB301),BY299:BY301),3)</f>
        <v>0.0005082805040731288</v>
      </c>
      <c r="CB304" s="78" t="s">
        <v>82</v>
      </c>
      <c r="CC304" s="78"/>
    </row>
    <row r="305" spans="1:81" ht="18" customHeight="1">
      <c r="A305" s="204"/>
      <c r="B305" s="75" t="s">
        <v>118</v>
      </c>
      <c r="C305" s="78"/>
      <c r="D305" s="78"/>
      <c r="E305" s="78"/>
      <c r="F305" s="78"/>
      <c r="G305" s="19"/>
      <c r="AR305" s="19"/>
      <c r="AS305" s="19"/>
      <c r="AT305" s="19"/>
      <c r="AU305" s="19"/>
      <c r="AV305" s="19"/>
      <c r="AW305" s="19"/>
      <c r="BA305" s="27"/>
      <c r="BB305" s="145" t="s">
        <v>110</v>
      </c>
      <c r="BC305" s="27">
        <f>BC302*COS(-α)+(BC303+B*BC304)*SIN(-α)+BB297*BC304</f>
        <v>0.00022931522325633997</v>
      </c>
      <c r="BD305" s="27"/>
      <c r="BE305" s="27"/>
      <c r="BG305" s="27"/>
      <c r="BH305" s="145" t="s">
        <v>110</v>
      </c>
      <c r="BI305" s="27">
        <f>BI302*COS(-α)+(BI303+B*BI304)*SIN(-α)+BH297*BI304</f>
        <v>-5.4827085576614285E-05</v>
      </c>
      <c r="BJ305" s="27"/>
      <c r="BK305" s="27"/>
      <c r="BM305" s="27"/>
      <c r="BN305" s="145" t="s">
        <v>110</v>
      </c>
      <c r="BO305" s="27">
        <f>BO302*COS(-α)+(BO303+B*BO304)*SIN(-α)+BN297*BO304</f>
        <v>7.299996921794529E-05</v>
      </c>
      <c r="BP305" s="27"/>
      <c r="BQ305" s="27"/>
      <c r="BS305" s="27"/>
      <c r="BT305" s="145" t="s">
        <v>110</v>
      </c>
      <c r="BU305" s="27">
        <f>BU302*COS(-α)+(BU303+B*BU304)*SIN(-α)+BT297*BU304</f>
        <v>6.3878604730249235E-06</v>
      </c>
      <c r="BV305" s="27"/>
      <c r="BW305" s="27"/>
      <c r="BY305" s="27"/>
      <c r="BZ305" s="145" t="s">
        <v>110</v>
      </c>
      <c r="CA305" s="27">
        <f>CA302*COS(-α)+(CA303+B*CA304)*SIN(-α)+BZ297*CA304</f>
        <v>5.601530632297694E-07</v>
      </c>
      <c r="CB305" s="27"/>
      <c r="CC305" s="27"/>
    </row>
    <row r="306" spans="1:81" ht="18" customHeight="1">
      <c r="A306" s="204"/>
      <c r="B306" s="280" t="s">
        <v>112</v>
      </c>
      <c r="C306" s="303" t="s">
        <v>130</v>
      </c>
      <c r="D306" s="295"/>
      <c r="E306" s="295"/>
      <c r="F306" s="282" t="s">
        <v>114</v>
      </c>
      <c r="G306" s="19"/>
      <c r="AR306" s="19"/>
      <c r="AS306" s="19"/>
      <c r="AT306" s="19"/>
      <c r="AU306" s="19"/>
      <c r="AV306" s="19"/>
      <c r="AW306" s="19"/>
      <c r="BA306" s="27"/>
      <c r="BB306" s="27"/>
      <c r="BC306" s="27"/>
      <c r="BD306" s="27"/>
      <c r="BE306" s="27"/>
      <c r="BG306" s="27"/>
      <c r="BH306" s="27"/>
      <c r="BI306" s="27"/>
      <c r="BJ306" s="27"/>
      <c r="BK306" s="27"/>
      <c r="BM306" s="27"/>
      <c r="BN306" s="27"/>
      <c r="BO306" s="27"/>
      <c r="BP306" s="27"/>
      <c r="BQ306" s="27"/>
      <c r="BS306" s="27"/>
      <c r="BT306" s="27"/>
      <c r="BU306" s="27"/>
      <c r="BV306" s="27"/>
      <c r="BW306" s="27"/>
      <c r="BY306" s="27"/>
      <c r="BZ306" s="27"/>
      <c r="CA306" s="27"/>
      <c r="CB306" s="27"/>
      <c r="CC306" s="27"/>
    </row>
    <row r="307" spans="1:81" ht="18" customHeight="1">
      <c r="A307" s="204"/>
      <c r="B307" s="281">
        <f>-∑H</f>
        <v>-67.43628343669779</v>
      </c>
      <c r="C307" s="88">
        <f>Kx*Bd+Kt*Lov*COS(-α)^2</f>
        <v>36051.349804496</v>
      </c>
      <c r="D307" s="88">
        <f>C308</f>
        <v>8729.542344651678</v>
      </c>
      <c r="E307" s="88">
        <f>C309</f>
        <v>152030.21765751575</v>
      </c>
      <c r="F307" s="283" t="s">
        <v>174</v>
      </c>
      <c r="G307" s="19"/>
      <c r="AR307" s="19"/>
      <c r="AS307" s="19"/>
      <c r="AT307" s="19"/>
      <c r="AU307" s="19"/>
      <c r="AV307" s="19"/>
      <c r="AW307" s="19"/>
      <c r="BA307" s="66" t="s">
        <v>288</v>
      </c>
      <c r="BB307" s="27">
        <f>BC258</f>
        <v>5.366563145999495</v>
      </c>
      <c r="BC307" s="66" t="s">
        <v>289</v>
      </c>
      <c r="BD307" s="27">
        <f>L-BB307</f>
        <v>3.577708763999664</v>
      </c>
      <c r="BE307" s="27"/>
      <c r="BG307" s="66" t="s">
        <v>288</v>
      </c>
      <c r="BH307" s="27">
        <f>BI258</f>
        <v>5.5454485841994785</v>
      </c>
      <c r="BI307" s="66" t="s">
        <v>289</v>
      </c>
      <c r="BJ307" s="27">
        <f>L-BH307</f>
        <v>3.3988233257996807</v>
      </c>
      <c r="BK307" s="27"/>
      <c r="BM307" s="66" t="s">
        <v>288</v>
      </c>
      <c r="BN307" s="27">
        <f>BO258</f>
        <v>5.93899654823944</v>
      </c>
      <c r="BO307" s="66" t="s">
        <v>289</v>
      </c>
      <c r="BP307" s="27">
        <f>L-BN307</f>
        <v>3.005275361759719</v>
      </c>
      <c r="BQ307" s="27"/>
      <c r="BS307" s="66" t="s">
        <v>288</v>
      </c>
      <c r="BT307" s="27">
        <f>BU258</f>
        <v>5.838820702847447</v>
      </c>
      <c r="BU307" s="66" t="s">
        <v>289</v>
      </c>
      <c r="BV307" s="27">
        <f>L-BT307</f>
        <v>3.105451207151712</v>
      </c>
      <c r="BW307" s="27"/>
      <c r="BY307" s="66" t="s">
        <v>288</v>
      </c>
      <c r="BZ307" s="27">
        <f>CA258</f>
        <v>5.833096368825047</v>
      </c>
      <c r="CA307" s="66" t="s">
        <v>289</v>
      </c>
      <c r="CB307" s="27">
        <f>L-BZ307</f>
        <v>3.111175541174112</v>
      </c>
      <c r="CC307" s="27"/>
    </row>
    <row r="308" spans="1:81" ht="18" customHeight="1">
      <c r="A308" s="204"/>
      <c r="B308" s="281">
        <f>∑V</f>
        <v>160.68827713700023</v>
      </c>
      <c r="C308" s="88">
        <f>Kt*Lov*SIN(-α)*COS(-α)</f>
        <v>8729.542344651678</v>
      </c>
      <c r="D308" s="88">
        <f>Ky*Bd+Kt*Lov*SIN(-α)^2</f>
        <v>78733.83163309639</v>
      </c>
      <c r="E308" s="88">
        <f>D309</f>
        <v>109258.07885472232</v>
      </c>
      <c r="F308" s="283" t="s">
        <v>175</v>
      </c>
      <c r="G308" s="19"/>
      <c r="U308" s="11" t="s">
        <v>499</v>
      </c>
      <c r="V308" s="11" t="s">
        <v>500</v>
      </c>
      <c r="W308" s="11" t="s">
        <v>501</v>
      </c>
      <c r="X308" s="11" t="s">
        <v>502</v>
      </c>
      <c r="BA308" s="67" t="s">
        <v>112</v>
      </c>
      <c r="BB308" s="68"/>
      <c r="BC308" s="69" t="s">
        <v>113</v>
      </c>
      <c r="BD308" s="70"/>
      <c r="BE308" s="67" t="s">
        <v>114</v>
      </c>
      <c r="BG308" s="67" t="s">
        <v>112</v>
      </c>
      <c r="BH308" s="68"/>
      <c r="BI308" s="69" t="s">
        <v>113</v>
      </c>
      <c r="BJ308" s="70"/>
      <c r="BK308" s="67" t="s">
        <v>114</v>
      </c>
      <c r="BM308" s="67" t="s">
        <v>112</v>
      </c>
      <c r="BN308" s="68"/>
      <c r="BO308" s="69" t="s">
        <v>113</v>
      </c>
      <c r="BP308" s="70"/>
      <c r="BQ308" s="67" t="s">
        <v>114</v>
      </c>
      <c r="BS308" s="67" t="s">
        <v>112</v>
      </c>
      <c r="BT308" s="68"/>
      <c r="BU308" s="69" t="s">
        <v>113</v>
      </c>
      <c r="BV308" s="70"/>
      <c r="BW308" s="67" t="s">
        <v>114</v>
      </c>
      <c r="BY308" s="67" t="s">
        <v>112</v>
      </c>
      <c r="BZ308" s="68"/>
      <c r="CA308" s="69" t="s">
        <v>113</v>
      </c>
      <c r="CB308" s="70"/>
      <c r="CC308" s="67" t="s">
        <v>114</v>
      </c>
    </row>
    <row r="309" spans="1:81" ht="18" customHeight="1">
      <c r="A309" s="204"/>
      <c r="B309" s="281">
        <f>∑M</f>
        <v>214.21055477861782</v>
      </c>
      <c r="C309" s="88">
        <f>Kt*Lov*COS(-α)*(B*SIN(-α)+Lun+Lov/2)</f>
        <v>152030.21765751575</v>
      </c>
      <c r="D309" s="88">
        <f>1/2*Ky*Bd^2+Kt*Lov*SIN(-α)*(Bd*SIN(-α)+Lun+Lov/2)</f>
        <v>109258.07885472232</v>
      </c>
      <c r="E309" s="88">
        <f>1/3*Ky*Bd^3+Kt*Lov*(Bd*SIN(-α)*(Bd*SIN(-α)+2*Lun+Lov)+Lun^2+Lun*Lov+Lov^2/3)</f>
        <v>1361265.0494160485</v>
      </c>
      <c r="F309" s="284" t="s">
        <v>115</v>
      </c>
      <c r="G309" s="19"/>
      <c r="T309" s="43" t="s">
        <v>496</v>
      </c>
      <c r="U309" s="11">
        <f>Qt*COS(R290)</f>
        <v>15.43222319449921</v>
      </c>
      <c r="W309" s="52">
        <f>E316</f>
        <v>-82.86687380404823</v>
      </c>
      <c r="X309" s="267">
        <f>SUM(U309:W309)</f>
        <v>-67.43465060954901</v>
      </c>
      <c r="Y309" s="267">
        <f>B307-X309</f>
        <v>-0.0016328271487822121</v>
      </c>
      <c r="AR309" s="19"/>
      <c r="AS309" s="19"/>
      <c r="AT309" s="19"/>
      <c r="AU309" s="19"/>
      <c r="AV309" s="19"/>
      <c r="AW309" s="19"/>
      <c r="BA309" s="71">
        <f>-∑H</f>
        <v>-67.43628343669779</v>
      </c>
      <c r="BB309" s="72">
        <f>Kx*B+Kt*BD307*COS(-α)^2</f>
        <v>38669.40942211919</v>
      </c>
      <c r="BC309" s="72">
        <f>BB310</f>
        <v>10038.57215346328</v>
      </c>
      <c r="BD309" s="72">
        <f>BB311</f>
        <v>169591.63796060864</v>
      </c>
      <c r="BE309" s="73" t="s">
        <v>174</v>
      </c>
      <c r="BG309" s="71">
        <f>-∑H</f>
        <v>-67.43628343669779</v>
      </c>
      <c r="BH309" s="72">
        <f>Kx*B+Kt*BJ307*COS(-α)^2</f>
        <v>37665.55220677287</v>
      </c>
      <c r="BI309" s="72">
        <f>BH310</f>
        <v>9536.643545790115</v>
      </c>
      <c r="BJ309" s="72">
        <f>BH311</f>
        <v>163019.38477173625</v>
      </c>
      <c r="BK309" s="73" t="s">
        <v>174</v>
      </c>
      <c r="BM309" s="71">
        <f>-∑H</f>
        <v>-67.43628343669779</v>
      </c>
      <c r="BN309" s="72">
        <f>Kx*B+Kt*BP307*COS(-α)^2</f>
        <v>35457.06633301095</v>
      </c>
      <c r="BO309" s="72">
        <f>BN310</f>
        <v>8432.400608909158</v>
      </c>
      <c r="BP309" s="72">
        <f>BN311</f>
        <v>147853.7122766132</v>
      </c>
      <c r="BQ309" s="73" t="s">
        <v>174</v>
      </c>
      <c r="BS309" s="71">
        <f>-∑H</f>
        <v>-67.43628343669779</v>
      </c>
      <c r="BT309" s="72">
        <f>Kx*B+Kt*BV307*COS(-α)^2</f>
        <v>36019.226373604906</v>
      </c>
      <c r="BU309" s="72">
        <f>BT310</f>
        <v>8713.480629206138</v>
      </c>
      <c r="BV309" s="72">
        <f>BT311</f>
        <v>151806.25952202932</v>
      </c>
      <c r="BW309" s="73" t="s">
        <v>174</v>
      </c>
      <c r="BY309" s="71">
        <f>-∑H</f>
        <v>-67.43628343669779</v>
      </c>
      <c r="BZ309" s="72">
        <f>Kx*B+Kt*CB307*COS(-α)^2</f>
        <v>36051.349804496</v>
      </c>
      <c r="CA309" s="72">
        <f>BZ310</f>
        <v>8729.542344651678</v>
      </c>
      <c r="CB309" s="72">
        <f>BZ311</f>
        <v>152030.21765751575</v>
      </c>
      <c r="CC309" s="73" t="s">
        <v>174</v>
      </c>
    </row>
    <row r="310" spans="1:81" ht="18" customHeight="1">
      <c r="A310" s="204"/>
      <c r="B310" s="75" t="s">
        <v>116</v>
      </c>
      <c r="C310" s="19"/>
      <c r="D310" s="19"/>
      <c r="E310" s="19"/>
      <c r="F310" s="19"/>
      <c r="G310" s="19"/>
      <c r="T310" s="43" t="s">
        <v>497</v>
      </c>
      <c r="U310" s="11">
        <f>Qt*SIN(R290)</f>
        <v>7.716111597249605</v>
      </c>
      <c r="V310" s="52">
        <f>E315</f>
        <v>152.972981953325</v>
      </c>
      <c r="X310" s="267">
        <f>SUM(U310:W310)</f>
        <v>160.6890935505746</v>
      </c>
      <c r="Y310" s="267">
        <f>B308-X310</f>
        <v>-0.0008164135743697898</v>
      </c>
      <c r="AR310" s="19"/>
      <c r="AS310" s="19"/>
      <c r="AT310" s="19"/>
      <c r="AU310" s="19"/>
      <c r="AV310" s="19"/>
      <c r="AW310" s="19"/>
      <c r="BA310" s="71">
        <f>∑V</f>
        <v>160.68827713700023</v>
      </c>
      <c r="BB310" s="72">
        <f>Kt*BD307*SIN(-α)*COS(-α)</f>
        <v>10038.57215346328</v>
      </c>
      <c r="BC310" s="72">
        <f>Ky*B+Kt*BD307*SIN(-α)^2</f>
        <v>79388.34653750219</v>
      </c>
      <c r="BD310" s="72">
        <f>BC311</f>
        <v>118038.78900626875</v>
      </c>
      <c r="BE310" s="73" t="s">
        <v>175</v>
      </c>
      <c r="BG310" s="71">
        <f>∑V</f>
        <v>160.68827713700023</v>
      </c>
      <c r="BH310" s="72">
        <f>Kt*BJ307*SIN(-α)*COS(-α)</f>
        <v>9536.643545790115</v>
      </c>
      <c r="BI310" s="72">
        <f>Ky*B+Kt*BJ307*SIN(-α)^2</f>
        <v>79137.3822336656</v>
      </c>
      <c r="BJ310" s="72">
        <f>BI311</f>
        <v>114752.66241183257</v>
      </c>
      <c r="BK310" s="73" t="s">
        <v>175</v>
      </c>
      <c r="BM310" s="71">
        <f>∑V</f>
        <v>160.68827713700023</v>
      </c>
      <c r="BN310" s="72">
        <f>Kt*BP307*SIN(-α)*COS(-α)</f>
        <v>8432.400608909158</v>
      </c>
      <c r="BO310" s="72">
        <f>Ky*B+Kt*BP307*SIN(-α)^2</f>
        <v>78585.26076522513</v>
      </c>
      <c r="BP310" s="72">
        <f>BO311</f>
        <v>107169.82616427104</v>
      </c>
      <c r="BQ310" s="73" t="s">
        <v>175</v>
      </c>
      <c r="BS310" s="71">
        <f>∑V</f>
        <v>160.68827713700023</v>
      </c>
      <c r="BT310" s="72">
        <f>Kt*BV307*SIN(-α)*COS(-α)</f>
        <v>8713.480629206138</v>
      </c>
      <c r="BU310" s="72">
        <f>Ky*B+Kt*BV307*SIN(-α)^2</f>
        <v>78725.80077537362</v>
      </c>
      <c r="BV310" s="72">
        <f>BU311</f>
        <v>109146.09978697909</v>
      </c>
      <c r="BW310" s="73" t="s">
        <v>175</v>
      </c>
      <c r="BY310" s="71">
        <f>∑V</f>
        <v>160.68827713700023</v>
      </c>
      <c r="BZ310" s="72">
        <f>Kt*CB307*SIN(-α)*COS(-α)</f>
        <v>8729.542344651678</v>
      </c>
      <c r="CA310" s="72">
        <f>Ky*B+Kt*CB307*SIN(-α)^2</f>
        <v>78733.83163309639</v>
      </c>
      <c r="CB310" s="72">
        <f>CA311</f>
        <v>109258.07885472232</v>
      </c>
      <c r="CC310" s="73" t="s">
        <v>175</v>
      </c>
    </row>
    <row r="311" spans="1:81" ht="18" customHeight="1">
      <c r="A311" s="204"/>
      <c r="C311" s="76" t="s">
        <v>131</v>
      </c>
      <c r="D311" s="82" t="s">
        <v>539</v>
      </c>
      <c r="E311" s="276">
        <f>INDEX(MMULT(MINVERSE($C$307:$E$309),$B$307:$B$309),1)</f>
        <v>-0.004457061756091984</v>
      </c>
      <c r="F311" s="78" t="s">
        <v>18</v>
      </c>
      <c r="G311" s="19"/>
      <c r="T311" s="43" t="s">
        <v>498</v>
      </c>
      <c r="U311" s="11">
        <f>Qt*(Lov/3*2+Lun+E287*SIN(R290))</f>
        <v>143.3272873263512</v>
      </c>
      <c r="V311" s="11">
        <f>V310*G344</f>
        <v>70.82649064438948</v>
      </c>
      <c r="X311" s="267">
        <f>SUM(U311:W311)</f>
        <v>214.1537779707407</v>
      </c>
      <c r="Y311" s="267">
        <f>B309-X311</f>
        <v>0.05677680787712802</v>
      </c>
      <c r="AR311" s="19"/>
      <c r="AS311" s="19"/>
      <c r="AT311" s="19"/>
      <c r="AU311" s="19"/>
      <c r="AV311" s="19"/>
      <c r="AW311" s="19"/>
      <c r="AX311" s="19"/>
      <c r="AY311" s="19"/>
      <c r="AZ311" s="82"/>
      <c r="BA311" s="71">
        <f>∑M</f>
        <v>214.21055477861782</v>
      </c>
      <c r="BB311" s="72">
        <f>Kt*BD307*COS(-α)*(B*SIN(-α)+BB307+BD307/2)</f>
        <v>169591.63796060864</v>
      </c>
      <c r="BC311" s="72">
        <f>1/2*Ky*B^2+Kt*BD307*SIN(-α)*(B*SIN(-α)+BB307+BD307/2)</f>
        <v>118038.78900626875</v>
      </c>
      <c r="BD311" s="72">
        <f>1/3*Ky*B^3+Kt*BD307*(B*SIN(-α)*(B*SIN(-α)+2*BB307+BD307)+BB307^2+BB307*BD307+BD307^2/3)</f>
        <v>1479122.9017313048</v>
      </c>
      <c r="BE311" s="74" t="s">
        <v>115</v>
      </c>
      <c r="BG311" s="71">
        <f>∑M</f>
        <v>214.21055477861782</v>
      </c>
      <c r="BH311" s="72">
        <f>Kt*BJ307*COS(-α)*(B*SIN(-α)+BH307+BJ307/2)</f>
        <v>163019.38477173625</v>
      </c>
      <c r="BI311" s="72">
        <f>1/2*Ky*B^2+Kt*BJ307*SIN(-α)*(B*SIN(-α)+BH307+BJ307/2)</f>
        <v>114752.66241183257</v>
      </c>
      <c r="BJ311" s="72">
        <f>1/3*Ky*B^3+Kt*BJ307*(B*SIN(-α)*(B*SIN(-α)+2*BH307+BJ307)+BH307^2+BH307*BJ307+BJ307^2/3)</f>
        <v>1436091.0139130394</v>
      </c>
      <c r="BK311" s="74" t="s">
        <v>115</v>
      </c>
      <c r="BM311" s="71">
        <f>∑M</f>
        <v>214.21055477861782</v>
      </c>
      <c r="BN311" s="72">
        <f>Kt*BP307*COS(-α)*(B*SIN(-α)+BN307+BP307/2)</f>
        <v>147853.7122766132</v>
      </c>
      <c r="BO311" s="72">
        <f>1/2*Ky*B^2+Kt*BP307*SIN(-α)*(B*SIN(-α)+BN307+BP307/2)</f>
        <v>107169.82616427104</v>
      </c>
      <c r="BP311" s="72">
        <f>1/3*Ky*B^3+Kt*BP307*(B*SIN(-α)*(B*SIN(-α)+2*BN307+BP307)+BN307^2+BN307*BP307+BP307^2/3)</f>
        <v>1331912.7106502661</v>
      </c>
      <c r="BQ311" s="74" t="s">
        <v>115</v>
      </c>
      <c r="BS311" s="71">
        <f>∑M</f>
        <v>214.21055477861782</v>
      </c>
      <c r="BT311" s="72">
        <f>Kt*BV307*COS(-α)*(B*SIN(-α)+BT307+BV307/2)</f>
        <v>151806.25952202932</v>
      </c>
      <c r="BU311" s="72">
        <f>1/2*Ky*B^2+Kt*BV307*SIN(-α)*(B*SIN(-α)+BT307+BV307/2)</f>
        <v>109146.09978697909</v>
      </c>
      <c r="BV311" s="72">
        <f>1/3*Ky*B^3+Kt*BV307*(B*SIN(-α)*(B*SIN(-α)+2*BT307+BV307)+BT307^2+BT307*BV307+BV307^2/3)</f>
        <v>1359703.6579774157</v>
      </c>
      <c r="BW311" s="74" t="s">
        <v>115</v>
      </c>
      <c r="BY311" s="71">
        <f>∑M</f>
        <v>214.21055477861782</v>
      </c>
      <c r="BZ311" s="72">
        <f>Kt*CB307*COS(-α)*(B*SIN(-α)+BZ307+CB307/2)</f>
        <v>152030.21765751575</v>
      </c>
      <c r="CA311" s="72">
        <f>1/2*Ky*B^2+Kt*CB307*SIN(-α)*(B*SIN(-α)+BZ307+CB307/2)</f>
        <v>109258.07885472232</v>
      </c>
      <c r="CB311" s="72">
        <f>1/3*Ky*B^3+Kt*CB307*(B*SIN(-α)*(B*SIN(-α)+2*BZ307+CB307)+BZ307^2+BZ307*CB307+CB307^2/3)</f>
        <v>1361265.0494160485</v>
      </c>
      <c r="CC311" s="74" t="s">
        <v>115</v>
      </c>
    </row>
    <row r="312" spans="1:81" ht="18" customHeight="1">
      <c r="A312" s="204"/>
      <c r="B312" s="78"/>
      <c r="C312" s="76" t="s">
        <v>132</v>
      </c>
      <c r="D312" s="82" t="s">
        <v>540</v>
      </c>
      <c r="E312" s="276">
        <f>INDEX(MMULT(MINVERSE($C$307:$E$309),$B$307:$B$309),2)</f>
        <v>0.0018297424732049163</v>
      </c>
      <c r="F312" s="78" t="s">
        <v>18</v>
      </c>
      <c r="G312" s="19"/>
      <c r="AR312" s="19"/>
      <c r="AS312" s="19"/>
      <c r="AT312" s="19"/>
      <c r="AU312" s="19"/>
      <c r="AV312" s="19"/>
      <c r="AW312" s="19"/>
      <c r="AX312" s="19"/>
      <c r="AY312" s="19"/>
      <c r="AZ312" s="90"/>
      <c r="BA312" s="75" t="s">
        <v>116</v>
      </c>
      <c r="BB312" s="76" t="s">
        <v>176</v>
      </c>
      <c r="BC312" s="77">
        <f>INDEX(MMULT(MINVERSE(BB309:BD311),BA309:BA311),1)</f>
        <v>-0.004452693514411594</v>
      </c>
      <c r="BD312" s="78" t="s">
        <v>18</v>
      </c>
      <c r="BE312" s="78"/>
      <c r="BG312" s="75" t="s">
        <v>116</v>
      </c>
      <c r="BH312" s="76" t="s">
        <v>176</v>
      </c>
      <c r="BI312" s="77">
        <f>INDEX(MMULT(MINVERSE(BH309:BJ311),BG309:BG311),1)</f>
        <v>-0.004455450853616085</v>
      </c>
      <c r="BJ312" s="78" t="s">
        <v>18</v>
      </c>
      <c r="BK312" s="78"/>
      <c r="BM312" s="75" t="s">
        <v>116</v>
      </c>
      <c r="BN312" s="76" t="s">
        <v>176</v>
      </c>
      <c r="BO312" s="77">
        <f>INDEX(MMULT(MINVERSE(BN309:BP311),BM309:BM311),1)</f>
        <v>-0.004456859937570761</v>
      </c>
      <c r="BP312" s="78" t="s">
        <v>18</v>
      </c>
      <c r="BQ312" s="78"/>
      <c r="BS312" s="75" t="s">
        <v>116</v>
      </c>
      <c r="BT312" s="76" t="s">
        <v>176</v>
      </c>
      <c r="BU312" s="77">
        <f>INDEX(MMULT(MINVERSE(BT309:BV311),BS309:BS311),1)</f>
        <v>-0.004457061221410959</v>
      </c>
      <c r="BV312" s="78" t="s">
        <v>18</v>
      </c>
      <c r="BW312" s="78"/>
      <c r="BY312" s="75" t="s">
        <v>116</v>
      </c>
      <c r="BZ312" s="76" t="s">
        <v>176</v>
      </c>
      <c r="CA312" s="77">
        <f>INDEX(MMULT(MINVERSE(BZ309:CB311),BY309:BY311),1)</f>
        <v>-0.004457061756091984</v>
      </c>
      <c r="CB312" s="78" t="s">
        <v>18</v>
      </c>
      <c r="CC312" s="78"/>
    </row>
    <row r="313" spans="1:81" ht="18" customHeight="1">
      <c r="A313" s="204"/>
      <c r="B313" s="78"/>
      <c r="C313" s="76" t="s">
        <v>133</v>
      </c>
      <c r="D313" s="76" t="s">
        <v>396</v>
      </c>
      <c r="E313" s="276">
        <f>INDEX(MMULT(MINVERSE($C$307:$E$309),$B$307:$B$309),3)</f>
        <v>0.0005082804972814261</v>
      </c>
      <c r="F313" s="78" t="s">
        <v>82</v>
      </c>
      <c r="G313" s="19"/>
      <c r="AR313" s="19"/>
      <c r="AS313" s="19"/>
      <c r="AT313" s="19"/>
      <c r="AU313" s="19"/>
      <c r="AV313" s="19"/>
      <c r="AW313" s="19"/>
      <c r="AX313" s="19"/>
      <c r="AY313" s="19"/>
      <c r="AZ313" s="41"/>
      <c r="BA313" s="78"/>
      <c r="BB313" s="76" t="s">
        <v>177</v>
      </c>
      <c r="BC313" s="77">
        <f>INDEX(MMULT(MINVERSE(BB309:BD311),BA309:BA311),2)</f>
        <v>0.0018298197484784826</v>
      </c>
      <c r="BD313" s="78" t="s">
        <v>18</v>
      </c>
      <c r="BE313" s="78"/>
      <c r="BG313" s="78"/>
      <c r="BH313" s="76" t="s">
        <v>177</v>
      </c>
      <c r="BI313" s="77">
        <f>INDEX(MMULT(MINVERSE(BH309:BJ311),BG309:BG311),2)</f>
        <v>0.0018297477630606733</v>
      </c>
      <c r="BJ313" s="78" t="s">
        <v>18</v>
      </c>
      <c r="BK313" s="78"/>
      <c r="BM313" s="78"/>
      <c r="BN313" s="76" t="s">
        <v>177</v>
      </c>
      <c r="BO313" s="77">
        <f>INDEX(MMULT(MINVERSE(BN309:BP311),BM309:BM311),2)</f>
        <v>0.0018297354288635585</v>
      </c>
      <c r="BP313" s="78" t="s">
        <v>18</v>
      </c>
      <c r="BQ313" s="78"/>
      <c r="BS313" s="78"/>
      <c r="BT313" s="76" t="s">
        <v>177</v>
      </c>
      <c r="BU313" s="77">
        <f>INDEX(MMULT(MINVERSE(BT309:BV311),BS309:BS311),2)</f>
        <v>0.0018297424602602681</v>
      </c>
      <c r="BV313" s="78" t="s">
        <v>18</v>
      </c>
      <c r="BW313" s="78"/>
      <c r="BY313" s="78"/>
      <c r="BZ313" s="76" t="s">
        <v>177</v>
      </c>
      <c r="CA313" s="77">
        <f>INDEX(MMULT(MINVERSE(BZ309:CB311),BY309:BY311),2)</f>
        <v>0.0018297424732049163</v>
      </c>
      <c r="CB313" s="78" t="s">
        <v>18</v>
      </c>
      <c r="CC313" s="78"/>
    </row>
    <row r="314" spans="1:81" ht="18" customHeight="1">
      <c r="A314" s="204"/>
      <c r="B314" s="75" t="s">
        <v>134</v>
      </c>
      <c r="C314" s="125"/>
      <c r="D314" s="125"/>
      <c r="E314" s="276"/>
      <c r="F314" s="7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AR314" s="19"/>
      <c r="AS314" s="19"/>
      <c r="AT314" s="19"/>
      <c r="AU314" s="19"/>
      <c r="AV314" s="19"/>
      <c r="AW314" s="19"/>
      <c r="AX314" s="19"/>
      <c r="AY314" s="19"/>
      <c r="AZ314" s="41"/>
      <c r="BA314" s="78"/>
      <c r="BB314" s="76" t="s">
        <v>293</v>
      </c>
      <c r="BC314" s="77">
        <f>INDEX(MMULT(MINVERSE(BB309:BD311),BA309:BA311),3)</f>
        <v>0.0005093291660431325</v>
      </c>
      <c r="BD314" s="78" t="s">
        <v>82</v>
      </c>
      <c r="BE314" s="78"/>
      <c r="BG314" s="78"/>
      <c r="BH314" s="76" t="s">
        <v>293</v>
      </c>
      <c r="BI314" s="77">
        <f>INDEX(MMULT(MINVERSE(BH309:BJ311),BG309:BG311),3)</f>
        <v>0.0005087191392360807</v>
      </c>
      <c r="BJ314" s="78" t="s">
        <v>82</v>
      </c>
      <c r="BK314" s="78"/>
      <c r="BM314" s="78"/>
      <c r="BN314" s="76" t="s">
        <v>293</v>
      </c>
      <c r="BO314" s="77">
        <f>INDEX(MMULT(MINVERSE(BN309:BP311),BM309:BM311),3)</f>
        <v>0.000508352693381002</v>
      </c>
      <c r="BP314" s="78" t="s">
        <v>82</v>
      </c>
      <c r="BQ314" s="78"/>
      <c r="BS314" s="78"/>
      <c r="BT314" s="76" t="s">
        <v>293</v>
      </c>
      <c r="BU314" s="77">
        <f>INDEX(MMULT(MINVERSE(BT309:BV311),BS309:BS311),3)</f>
        <v>0.0005082806757596752</v>
      </c>
      <c r="BV314" s="78" t="s">
        <v>82</v>
      </c>
      <c r="BW314" s="78"/>
      <c r="BY314" s="78"/>
      <c r="BZ314" s="76" t="s">
        <v>293</v>
      </c>
      <c r="CA314" s="77">
        <f>INDEX(MMULT(MINVERSE(BZ309:CB311),BY309:BY311),3)</f>
        <v>0.0005082804972814261</v>
      </c>
      <c r="CB314" s="78" t="s">
        <v>82</v>
      </c>
      <c r="CC314" s="78"/>
    </row>
    <row r="315" spans="1:81" ht="18" customHeight="1">
      <c r="A315" s="204"/>
      <c r="C315" s="76" t="s">
        <v>135</v>
      </c>
      <c r="D315" s="82" t="s">
        <v>397</v>
      </c>
      <c r="E315" s="275">
        <f>1/2*(E320+E321)*Bd</f>
        <v>152.972981953325</v>
      </c>
      <c r="F315" s="78" t="s">
        <v>65</v>
      </c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AR315" s="19"/>
      <c r="AS315" s="19"/>
      <c r="AT315" s="19"/>
      <c r="AU315" s="19"/>
      <c r="AV315" s="19"/>
      <c r="AW315" s="19"/>
      <c r="AX315" s="19"/>
      <c r="AY315" s="19"/>
      <c r="AZ315" s="41"/>
      <c r="BA315" s="27"/>
      <c r="BB315" s="145" t="s">
        <v>110</v>
      </c>
      <c r="BC315" s="27">
        <f>BC312*COS(-α)+(BC313+B*BC314)*SIN(-α)+BB307*BC314</f>
        <v>-0.00022730839066568715</v>
      </c>
      <c r="BD315" s="27"/>
      <c r="BE315" s="27"/>
      <c r="BG315" s="27"/>
      <c r="BH315" s="145" t="s">
        <v>110</v>
      </c>
      <c r="BI315" s="27">
        <f>BI312*COS(-α)+(BI313+B*BI314)*SIN(-α)+BH307*BI314</f>
        <v>-0.00014232201810021562</v>
      </c>
      <c r="BJ315" s="27"/>
      <c r="BK315" s="27"/>
      <c r="BM315" s="27"/>
      <c r="BN315" s="145" t="s">
        <v>110</v>
      </c>
      <c r="BO315" s="27">
        <f>BO312*COS(-α)+(BO313+B*BO314)*SIN(-α)+BN307*BO314</f>
        <v>5.4294695387617584E-05</v>
      </c>
      <c r="BP315" s="27"/>
      <c r="BQ315" s="27"/>
      <c r="BS315" s="27"/>
      <c r="BT315" s="145" t="s">
        <v>110</v>
      </c>
      <c r="BU315" s="27">
        <f>BU312*COS(-α)+(BU313+B*BU314)*SIN(-α)+BT307*BU314</f>
        <v>2.7438540990492276E-06</v>
      </c>
      <c r="BV315" s="27"/>
      <c r="BW315" s="27"/>
      <c r="BY315" s="27"/>
      <c r="BZ315" s="145" t="s">
        <v>110</v>
      </c>
      <c r="CA315" s="27">
        <f>CA312*COS(-α)+(CA313+B*CA314)*SIN(-α)+BZ307*CA314</f>
        <v>-1.6729914838415141E-07</v>
      </c>
      <c r="CB315" s="27"/>
      <c r="CC315" s="27"/>
    </row>
    <row r="316" spans="1:81" ht="18" customHeight="1">
      <c r="A316" s="204"/>
      <c r="B316" s="78"/>
      <c r="C316" s="79" t="s">
        <v>136</v>
      </c>
      <c r="D316" s="82" t="s">
        <v>188</v>
      </c>
      <c r="E316" s="275">
        <f>E319*Bd</f>
        <v>-82.86687380404823</v>
      </c>
      <c r="F316" s="78" t="s">
        <v>65</v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AR316" s="19"/>
      <c r="AS316" s="19"/>
      <c r="AT316" s="19"/>
      <c r="AU316" s="19"/>
      <c r="AV316" s="19"/>
      <c r="AW316" s="19"/>
      <c r="AX316" s="19"/>
      <c r="AY316" s="19"/>
      <c r="AZ316" s="125"/>
      <c r="BA316" s="27"/>
      <c r="BB316" s="27"/>
      <c r="BC316" s="27"/>
      <c r="BD316" s="27"/>
      <c r="BE316" s="27"/>
      <c r="BG316" s="27"/>
      <c r="BH316" s="27"/>
      <c r="BI316" s="27"/>
      <c r="BJ316" s="27"/>
      <c r="BK316" s="27"/>
      <c r="BM316" s="27"/>
      <c r="BN316" s="27"/>
      <c r="BO316" s="27"/>
      <c r="BP316" s="27"/>
      <c r="BQ316" s="27"/>
      <c r="BS316" s="27"/>
      <c r="BT316" s="27"/>
      <c r="BU316" s="27"/>
      <c r="BV316" s="27"/>
      <c r="BW316" s="27"/>
      <c r="BY316" s="27"/>
      <c r="BZ316" s="27"/>
      <c r="CA316" s="27"/>
      <c r="CB316" s="27"/>
      <c r="CC316" s="27"/>
    </row>
    <row r="317" spans="1:81" ht="18" customHeight="1">
      <c r="A317" s="204"/>
      <c r="B317" s="78"/>
      <c r="C317" s="76" t="s">
        <v>374</v>
      </c>
      <c r="D317" s="83" t="s">
        <v>398</v>
      </c>
      <c r="E317" s="275">
        <f>(qtl+qtu)/2*Lov</f>
        <v>17.253750053424596</v>
      </c>
      <c r="F317" s="78" t="s">
        <v>65</v>
      </c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AR317" s="19"/>
      <c r="AS317" s="19"/>
      <c r="AT317" s="19"/>
      <c r="AU317" s="19"/>
      <c r="AV317" s="19"/>
      <c r="AW317" s="19"/>
      <c r="AX317" s="19"/>
      <c r="AY317" s="19"/>
      <c r="AZ317" s="41"/>
      <c r="BA317" s="66" t="s">
        <v>288</v>
      </c>
      <c r="BB317" s="27">
        <f>BC259</f>
        <v>4.47213595499958</v>
      </c>
      <c r="BC317" s="66" t="s">
        <v>289</v>
      </c>
      <c r="BD317" s="27">
        <f>L-BB317</f>
        <v>4.47213595499958</v>
      </c>
      <c r="BE317" s="27"/>
      <c r="BG317" s="66" t="s">
        <v>288</v>
      </c>
      <c r="BH317" s="27">
        <f>BI259</f>
        <v>5.366563145999495</v>
      </c>
      <c r="BI317" s="66" t="s">
        <v>289</v>
      </c>
      <c r="BJ317" s="27">
        <f>L-BH317</f>
        <v>3.577708763999664</v>
      </c>
      <c r="BK317" s="27"/>
      <c r="BM317" s="66" t="s">
        <v>288</v>
      </c>
      <c r="BN317" s="27">
        <f>BO259</f>
        <v>5.903219460599443</v>
      </c>
      <c r="BO317" s="66" t="s">
        <v>289</v>
      </c>
      <c r="BP317" s="27">
        <f>L-BN317</f>
        <v>3.041052449399716</v>
      </c>
      <c r="BQ317" s="27"/>
      <c r="BS317" s="66" t="s">
        <v>288</v>
      </c>
      <c r="BT317" s="27">
        <f>BU259</f>
        <v>5.831665285319447</v>
      </c>
      <c r="BU317" s="66" t="s">
        <v>289</v>
      </c>
      <c r="BV317" s="27">
        <f>L-BT317</f>
        <v>3.112606624679712</v>
      </c>
      <c r="BW317" s="27"/>
      <c r="BY317" s="66" t="s">
        <v>288</v>
      </c>
      <c r="BZ317" s="27">
        <f>CA259</f>
        <v>5.831665285319447</v>
      </c>
      <c r="CA317" s="66" t="s">
        <v>289</v>
      </c>
      <c r="CB317" s="27">
        <f>L-BZ317</f>
        <v>3.112606624679712</v>
      </c>
      <c r="CC317" s="27"/>
    </row>
    <row r="318" spans="1:81" ht="18" customHeight="1">
      <c r="A318" s="204"/>
      <c r="B318" s="80" t="s">
        <v>137</v>
      </c>
      <c r="C318" s="78"/>
      <c r="D318" s="78"/>
      <c r="E318" s="127"/>
      <c r="F318" s="7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AY318" s="19"/>
      <c r="BA318" s="67" t="s">
        <v>112</v>
      </c>
      <c r="BB318" s="68"/>
      <c r="BC318" s="69" t="s">
        <v>113</v>
      </c>
      <c r="BD318" s="70"/>
      <c r="BE318" s="67" t="s">
        <v>114</v>
      </c>
      <c r="BG318" s="67" t="s">
        <v>112</v>
      </c>
      <c r="BH318" s="68"/>
      <c r="BI318" s="69" t="s">
        <v>113</v>
      </c>
      <c r="BJ318" s="70"/>
      <c r="BK318" s="67" t="s">
        <v>114</v>
      </c>
      <c r="BM318" s="67" t="s">
        <v>112</v>
      </c>
      <c r="BN318" s="68"/>
      <c r="BO318" s="69" t="s">
        <v>113</v>
      </c>
      <c r="BP318" s="70"/>
      <c r="BQ318" s="67" t="s">
        <v>114</v>
      </c>
      <c r="BS318" s="67" t="s">
        <v>112</v>
      </c>
      <c r="BT318" s="68"/>
      <c r="BU318" s="69" t="s">
        <v>113</v>
      </c>
      <c r="BV318" s="70"/>
      <c r="BW318" s="67" t="s">
        <v>114</v>
      </c>
      <c r="BY318" s="67" t="s">
        <v>112</v>
      </c>
      <c r="BZ318" s="68"/>
      <c r="CA318" s="69" t="s">
        <v>113</v>
      </c>
      <c r="CB318" s="70"/>
      <c r="CC318" s="67" t="s">
        <v>114</v>
      </c>
    </row>
    <row r="319" spans="1:81" ht="18" customHeight="1">
      <c r="A319" s="204"/>
      <c r="B319" s="79" t="s">
        <v>126</v>
      </c>
      <c r="C319" s="76" t="s">
        <v>375</v>
      </c>
      <c r="D319" s="83" t="s">
        <v>399</v>
      </c>
      <c r="E319" s="277">
        <f>IF((qtl+qtu)=0,B307/B,u0*Kx)</f>
        <v>-92.69225257723514</v>
      </c>
      <c r="F319" s="25" t="s">
        <v>307</v>
      </c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AY319" s="19"/>
      <c r="BA319" s="71">
        <f>-∑H</f>
        <v>-67.43628343669779</v>
      </c>
      <c r="BB319" s="72">
        <f>Kx*B+Kt*BD317*COS(-α)^2</f>
        <v>43688.69549885083</v>
      </c>
      <c r="BC319" s="72">
        <f>BB320</f>
        <v>12548.215191829097</v>
      </c>
      <c r="BD319" s="72">
        <f>BB321</f>
        <v>199441.33225893168</v>
      </c>
      <c r="BE319" s="73" t="s">
        <v>174</v>
      </c>
      <c r="BG319" s="71">
        <f>-∑H</f>
        <v>-67.43628343669779</v>
      </c>
      <c r="BH319" s="72">
        <f>Kx*B+Kt*BJ317*COS(-α)^2</f>
        <v>38669.40942211919</v>
      </c>
      <c r="BI319" s="72">
        <f>BH320</f>
        <v>10038.57215346328</v>
      </c>
      <c r="BJ319" s="72">
        <f>BH321</f>
        <v>169591.63796060864</v>
      </c>
      <c r="BK319" s="73" t="s">
        <v>174</v>
      </c>
      <c r="BM319" s="71">
        <f>-∑H</f>
        <v>-67.43628343669779</v>
      </c>
      <c r="BN319" s="72">
        <f>Kx*B+Kt*BP317*COS(-α)^2</f>
        <v>35657.837776080225</v>
      </c>
      <c r="BO319" s="72">
        <f>BN320</f>
        <v>8532.786330443792</v>
      </c>
      <c r="BP319" s="72">
        <f>BN321</f>
        <v>149272.56406478368</v>
      </c>
      <c r="BQ319" s="73" t="s">
        <v>174</v>
      </c>
      <c r="BS319" s="71">
        <f>-∑H</f>
        <v>-67.43628343669779</v>
      </c>
      <c r="BT319" s="72">
        <f>Kx*B+Kt*BV317*COS(-α)^2</f>
        <v>36059.38066221877</v>
      </c>
      <c r="BU319" s="72">
        <f>BT320</f>
        <v>8733.557773513063</v>
      </c>
      <c r="BV319" s="72">
        <f>BT321</f>
        <v>152086.17506795644</v>
      </c>
      <c r="BW319" s="73" t="s">
        <v>174</v>
      </c>
      <c r="BY319" s="71">
        <f>-∑H</f>
        <v>-67.43628343669779</v>
      </c>
      <c r="BZ319" s="72">
        <f>Kx*B+Kt*CB317*COS(-α)^2</f>
        <v>36059.38066221877</v>
      </c>
      <c r="CA319" s="72">
        <f>BZ320</f>
        <v>8733.557773513063</v>
      </c>
      <c r="CB319" s="72">
        <f>BZ321</f>
        <v>152086.17506795644</v>
      </c>
      <c r="CC319" s="73" t="s">
        <v>174</v>
      </c>
    </row>
    <row r="320" spans="1:81" ht="18" customHeight="1">
      <c r="A320" s="204"/>
      <c r="B320" s="85"/>
      <c r="C320" s="76" t="s">
        <v>138</v>
      </c>
      <c r="D320" s="83" t="s">
        <v>400</v>
      </c>
      <c r="E320" s="277">
        <f>IF(qtl+qtu=0,AT430,Ky*v0)</f>
        <v>152.21054655191972</v>
      </c>
      <c r="F320" s="25" t="s">
        <v>307</v>
      </c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AY320" s="19"/>
      <c r="BA320" s="71">
        <f>∑V</f>
        <v>160.68827713700023</v>
      </c>
      <c r="BB320" s="72">
        <f>Kt*BD317*SIN(-α)*COS(-α)</f>
        <v>12548.215191829097</v>
      </c>
      <c r="BC320" s="72">
        <f>Ky*B+Kt*BD317*SIN(-α)^2</f>
        <v>80643.1680566851</v>
      </c>
      <c r="BD320" s="72">
        <f>BC321</f>
        <v>132963.6361554303</v>
      </c>
      <c r="BE320" s="73" t="s">
        <v>175</v>
      </c>
      <c r="BG320" s="71">
        <f>∑V</f>
        <v>160.68827713700023</v>
      </c>
      <c r="BH320" s="72">
        <f>Kt*BJ317*SIN(-α)*COS(-α)</f>
        <v>10038.57215346328</v>
      </c>
      <c r="BI320" s="72">
        <f>Ky*B+Kt*BJ317*SIN(-α)^2</f>
        <v>79388.34653750219</v>
      </c>
      <c r="BJ320" s="72">
        <f>BI321</f>
        <v>118038.78900626875</v>
      </c>
      <c r="BK320" s="73" t="s">
        <v>175</v>
      </c>
      <c r="BM320" s="71">
        <f>∑V</f>
        <v>160.68827713700023</v>
      </c>
      <c r="BN320" s="72">
        <f>Kt*BP317*SIN(-α)*COS(-α)</f>
        <v>8532.786330443792</v>
      </c>
      <c r="BO320" s="72">
        <f>Ky*B+Kt*BP317*SIN(-α)^2</f>
        <v>78635.45362599244</v>
      </c>
      <c r="BP320" s="72">
        <f>BO321</f>
        <v>107879.25205835627</v>
      </c>
      <c r="BQ320" s="73" t="s">
        <v>175</v>
      </c>
      <c r="BS320" s="71">
        <f>∑V</f>
        <v>160.68827713700023</v>
      </c>
      <c r="BT320" s="72">
        <f>Kt*BV317*SIN(-α)*COS(-α)</f>
        <v>8733.557773513063</v>
      </c>
      <c r="BU320" s="72">
        <f>Ky*B+Kt*BV317*SIN(-α)^2</f>
        <v>78735.83934752707</v>
      </c>
      <c r="BV320" s="72">
        <f>BU321</f>
        <v>109286.05755994265</v>
      </c>
      <c r="BW320" s="73" t="s">
        <v>175</v>
      </c>
      <c r="BY320" s="71">
        <f>∑V</f>
        <v>160.68827713700023</v>
      </c>
      <c r="BZ320" s="72">
        <f>Kt*CB317*SIN(-α)*COS(-α)</f>
        <v>8733.557773513063</v>
      </c>
      <c r="CA320" s="72">
        <f>Ky*B+Kt*CB317*SIN(-α)^2</f>
        <v>78735.83934752707</v>
      </c>
      <c r="CB320" s="72">
        <f>CA321</f>
        <v>109286.05755994265</v>
      </c>
      <c r="CC320" s="73" t="s">
        <v>175</v>
      </c>
    </row>
    <row r="321" spans="1:81" ht="18" customHeight="1">
      <c r="A321" s="204"/>
      <c r="B321" s="85"/>
      <c r="C321" s="76" t="s">
        <v>139</v>
      </c>
      <c r="D321" s="83" t="s">
        <v>401</v>
      </c>
      <c r="E321" s="277">
        <f>IF(qtl+qtu=0,AT431,Ky*(v0+Bd*θo))</f>
        <v>190.01088958527262</v>
      </c>
      <c r="F321" s="25" t="s">
        <v>307</v>
      </c>
      <c r="G321" s="19"/>
      <c r="AY321" s="19"/>
      <c r="BA321" s="71">
        <f>∑M</f>
        <v>214.21055477861782</v>
      </c>
      <c r="BB321" s="72">
        <f>Kt*BD317*COS(-α)*(B*SIN(-α)+BB317+BD317/2)</f>
        <v>199441.33225893168</v>
      </c>
      <c r="BC321" s="72">
        <f>1/2*Ky*B^2+Kt*BD317*SIN(-α)*(B*SIN(-α)+BB317+BD317/2)</f>
        <v>132963.6361554303</v>
      </c>
      <c r="BD321" s="72">
        <f>1/3*Ky*B^3+Kt*BD317*(B*SIN(-α)*(B*SIN(-α)+2*BB317+BD317)+BB317^2+BB317*BD317+BD317^2/3)</f>
        <v>1657057.3075631598</v>
      </c>
      <c r="BE321" s="74" t="s">
        <v>115</v>
      </c>
      <c r="BG321" s="71">
        <f>∑M</f>
        <v>214.21055477861782</v>
      </c>
      <c r="BH321" s="72">
        <f>Kt*BJ317*COS(-α)*(B*SIN(-α)+BH317+BJ317/2)</f>
        <v>169591.63796060864</v>
      </c>
      <c r="BI321" s="72">
        <f>1/2*Ky*B^2+Kt*BJ317*SIN(-α)*(B*SIN(-α)+BH317+BJ317/2)</f>
        <v>118038.78900626875</v>
      </c>
      <c r="BJ321" s="72">
        <f>1/3*Ky*B^3+Kt*BJ317*(B*SIN(-α)*(B*SIN(-α)+2*BH317+BJ317)+BH317^2+BH317*BJ317+BJ317^2/3)</f>
        <v>1479122.9017313048</v>
      </c>
      <c r="BK321" s="74" t="s">
        <v>115</v>
      </c>
      <c r="BM321" s="71">
        <f>∑M</f>
        <v>214.21055477861782</v>
      </c>
      <c r="BN321" s="72">
        <f>Kt*BP317*COS(-α)*(B*SIN(-α)+BN317+BP317/2)</f>
        <v>149272.56406478368</v>
      </c>
      <c r="BO321" s="72">
        <f>1/2*Ky*B^2+Kt*BP317*SIN(-α)*(B*SIN(-α)+BN317+BP317/2)</f>
        <v>107879.25205835627</v>
      </c>
      <c r="BP321" s="72">
        <f>1/3*Ky*B^3+Kt*BP317*(B*SIN(-α)*(B*SIN(-α)+2*BN317+BP317)+BN317^2+BN317*BP317+BP317^2/3)</f>
        <v>1341939.7630067926</v>
      </c>
      <c r="BQ321" s="74" t="s">
        <v>115</v>
      </c>
      <c r="BS321" s="71">
        <f>∑M</f>
        <v>214.21055477861782</v>
      </c>
      <c r="BT321" s="72">
        <f>Kt*BV317*COS(-α)*(B*SIN(-α)+BT317+BV317/2)</f>
        <v>152086.17506795644</v>
      </c>
      <c r="BU321" s="72">
        <f>1/2*Ky*B^2+Kt*BV317*SIN(-α)*(B*SIN(-α)+BT317+BV317/2)</f>
        <v>109286.05755994265</v>
      </c>
      <c r="BV321" s="72">
        <f>1/3*Ky*B^3+Kt*BV317*(B*SIN(-α)*(B*SIN(-α)+2*BT317+BV317)+BT317^2+BT317*BV317+BV317^2/3)</f>
        <v>1361654.9494622303</v>
      </c>
      <c r="BW321" s="74" t="s">
        <v>115</v>
      </c>
      <c r="BY321" s="71">
        <f>∑M</f>
        <v>214.21055477861782</v>
      </c>
      <c r="BZ321" s="72">
        <f>Kt*CB317*COS(-α)*(B*SIN(-α)+BZ317+CB317/2)</f>
        <v>152086.17506795644</v>
      </c>
      <c r="CA321" s="72">
        <f>1/2*Ky*B^2+Kt*CB317*SIN(-α)*(B*SIN(-α)+BZ317+CB317/2)</f>
        <v>109286.05755994265</v>
      </c>
      <c r="CB321" s="72">
        <f>1/3*Ky*B^3+Kt*CB317*(B*SIN(-α)*(B*SIN(-α)+2*BZ317+CB317)+BZ317^2+BZ317*CB317+CB317^2/3)</f>
        <v>1361654.9494622303</v>
      </c>
      <c r="CC321" s="74" t="s">
        <v>115</v>
      </c>
    </row>
    <row r="322" spans="1:81" ht="18" customHeight="1">
      <c r="A322" s="204"/>
      <c r="B322" s="79" t="s">
        <v>127</v>
      </c>
      <c r="C322" s="76" t="s">
        <v>376</v>
      </c>
      <c r="D322" s="83" t="s">
        <v>402</v>
      </c>
      <c r="E322" s="277">
        <f>MAX(0,Kt*(u0*COS(-α)+v0*SIN(-α)+(B*SIN(-α)+Lun)*θo))</f>
        <v>0</v>
      </c>
      <c r="F322" s="25" t="s">
        <v>307</v>
      </c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AY322" s="19"/>
      <c r="BA322" s="75" t="s">
        <v>116</v>
      </c>
      <c r="BB322" s="76" t="s">
        <v>176</v>
      </c>
      <c r="BC322" s="77">
        <f>INDEX(MMULT(MINVERSE(BB319:BD321),BA319:BA321),1)</f>
        <v>-0.004413990879274923</v>
      </c>
      <c r="BD322" s="78" t="s">
        <v>18</v>
      </c>
      <c r="BE322" s="78"/>
      <c r="BG322" s="75" t="s">
        <v>116</v>
      </c>
      <c r="BH322" s="76" t="s">
        <v>176</v>
      </c>
      <c r="BI322" s="77">
        <f>INDEX(MMULT(MINVERSE(BH319:BJ321),BG319:BG321),1)</f>
        <v>-0.004452693514411594</v>
      </c>
      <c r="BJ322" s="78" t="s">
        <v>18</v>
      </c>
      <c r="BK322" s="78"/>
      <c r="BM322" s="75" t="s">
        <v>116</v>
      </c>
      <c r="BN322" s="76" t="s">
        <v>176</v>
      </c>
      <c r="BO322" s="77">
        <f>INDEX(MMULT(MINVERSE(BN319:BP321),BM319:BM321),1)</f>
        <v>-0.004456972978673689</v>
      </c>
      <c r="BP322" s="78" t="s">
        <v>18</v>
      </c>
      <c r="BQ322" s="78"/>
      <c r="BS322" s="75" t="s">
        <v>116</v>
      </c>
      <c r="BT322" s="76" t="s">
        <v>176</v>
      </c>
      <c r="BU322" s="77">
        <f>INDEX(MMULT(MINVERSE(BT319:BV321),BS319:BS321),1)</f>
        <v>-0.004457061700890175</v>
      </c>
      <c r="BV322" s="78" t="s">
        <v>18</v>
      </c>
      <c r="BW322" s="78"/>
      <c r="BY322" s="75" t="s">
        <v>116</v>
      </c>
      <c r="BZ322" s="76" t="s">
        <v>176</v>
      </c>
      <c r="CA322" s="77">
        <f>INDEX(MMULT(MINVERSE(BZ319:CB321),BY319:BY321),1)</f>
        <v>-0.004457061700890175</v>
      </c>
      <c r="CB322" s="78" t="s">
        <v>18</v>
      </c>
      <c r="CC322" s="78"/>
    </row>
    <row r="323" spans="1:81" ht="18" customHeight="1">
      <c r="A323" s="204"/>
      <c r="B323" s="78"/>
      <c r="C323" s="76" t="s">
        <v>377</v>
      </c>
      <c r="D323" s="83" t="s">
        <v>403</v>
      </c>
      <c r="E323" s="277">
        <f>MAX(0,Kt*(u0*COS(-α)+v0*SIN(-α)+(B*SIN(-α)+L)*θo))</f>
        <v>11.091466762375795</v>
      </c>
      <c r="F323" s="25" t="s">
        <v>307</v>
      </c>
      <c r="G323" s="19"/>
      <c r="AY323" s="19"/>
      <c r="BA323" s="78"/>
      <c r="BB323" s="76" t="s">
        <v>177</v>
      </c>
      <c r="BC323" s="77">
        <f>INDEX(MMULT(MINVERSE(BB319:BD321),BA319:BA321),2)</f>
        <v>0.0018328074847870747</v>
      </c>
      <c r="BD323" s="78" t="s">
        <v>18</v>
      </c>
      <c r="BE323" s="78"/>
      <c r="BG323" s="78"/>
      <c r="BH323" s="76" t="s">
        <v>177</v>
      </c>
      <c r="BI323" s="77">
        <f>INDEX(MMULT(MINVERSE(BH319:BJ321),BG319:BG321),2)</f>
        <v>0.0018298197484784826</v>
      </c>
      <c r="BJ323" s="78" t="s">
        <v>18</v>
      </c>
      <c r="BK323" s="78"/>
      <c r="BM323" s="78"/>
      <c r="BN323" s="76" t="s">
        <v>177</v>
      </c>
      <c r="BO323" s="77">
        <f>INDEX(MMULT(MINVERSE(BN319:BP321),BM319:BM321),2)</f>
        <v>0.0018297397212129443</v>
      </c>
      <c r="BP323" s="78" t="s">
        <v>18</v>
      </c>
      <c r="BQ323" s="78"/>
      <c r="BS323" s="78"/>
      <c r="BT323" s="76" t="s">
        <v>177</v>
      </c>
      <c r="BU323" s="77">
        <f>INDEX(MMULT(MINVERSE(BT319:BV321),BS319:BS321),2)</f>
        <v>0.001829742471909533</v>
      </c>
      <c r="BV323" s="78" t="s">
        <v>18</v>
      </c>
      <c r="BW323" s="78"/>
      <c r="BY323" s="78"/>
      <c r="BZ323" s="76" t="s">
        <v>177</v>
      </c>
      <c r="CA323" s="77">
        <f>INDEX(MMULT(MINVERSE(BZ319:CB321),BY319:BY321),2)</f>
        <v>0.001829742471909533</v>
      </c>
      <c r="CB323" s="78" t="s">
        <v>18</v>
      </c>
      <c r="CC323" s="78"/>
    </row>
    <row r="324" spans="1:81" ht="18" customHeight="1">
      <c r="A324" s="204"/>
      <c r="B324" s="90"/>
      <c r="C324" s="90"/>
      <c r="D324" s="87"/>
      <c r="E324" s="78"/>
      <c r="F324" s="78"/>
      <c r="G324" s="19"/>
      <c r="AY324" s="19"/>
      <c r="BA324" s="78"/>
      <c r="BB324" s="76" t="s">
        <v>293</v>
      </c>
      <c r="BC324" s="77">
        <f>INDEX(MMULT(MINVERSE(BB319:BD321),BA319:BA321),3)</f>
        <v>0.0005134680767444569</v>
      </c>
      <c r="BD324" s="78" t="s">
        <v>82</v>
      </c>
      <c r="BE324" s="78"/>
      <c r="BG324" s="78"/>
      <c r="BH324" s="76" t="s">
        <v>293</v>
      </c>
      <c r="BI324" s="77">
        <f>INDEX(MMULT(MINVERSE(BH319:BJ321),BG319:BG321),3)</f>
        <v>0.0005093291660431325</v>
      </c>
      <c r="BJ324" s="78" t="s">
        <v>82</v>
      </c>
      <c r="BK324" s="78"/>
      <c r="BM324" s="78"/>
      <c r="BN324" s="76" t="s">
        <v>293</v>
      </c>
      <c r="BO324" s="77">
        <f>INDEX(MMULT(MINVERSE(BN319:BP321),BM319:BM321),3)</f>
        <v>0.0005083114797629894</v>
      </c>
      <c r="BP324" s="78" t="s">
        <v>82</v>
      </c>
      <c r="BQ324" s="78"/>
      <c r="BS324" s="78"/>
      <c r="BT324" s="76" t="s">
        <v>293</v>
      </c>
      <c r="BU324" s="77">
        <f>INDEX(MMULT(MINVERSE(BT319:BV321),BS319:BS321),3)</f>
        <v>0.0005082805156161226</v>
      </c>
      <c r="BV324" s="78" t="s">
        <v>82</v>
      </c>
      <c r="BW324" s="78"/>
      <c r="BY324" s="78"/>
      <c r="BZ324" s="76" t="s">
        <v>293</v>
      </c>
      <c r="CA324" s="77">
        <f>INDEX(MMULT(MINVERSE(BZ319:CB321),BY319:BY321),3)</f>
        <v>0.0005082805156161226</v>
      </c>
      <c r="CB324" s="78" t="s">
        <v>82</v>
      </c>
      <c r="CC324" s="78"/>
    </row>
    <row r="325" spans="2:81" ht="18" customHeight="1">
      <c r="B325" s="41"/>
      <c r="C325" s="63"/>
      <c r="D325" s="60"/>
      <c r="E325" s="41"/>
      <c r="F325" s="41"/>
      <c r="AY325" s="19"/>
      <c r="BA325" s="27"/>
      <c r="BB325" s="145" t="s">
        <v>110</v>
      </c>
      <c r="BC325" s="27">
        <f>BC322*COS(-α)+(BC323+B*BC324)*SIN(-α)+BB317*BC324</f>
        <v>-0.0006267488554957353</v>
      </c>
      <c r="BD325" s="27"/>
      <c r="BE325" s="27"/>
      <c r="BG325" s="27"/>
      <c r="BH325" s="145" t="s">
        <v>110</v>
      </c>
      <c r="BI325" s="27">
        <f>BI322*COS(-α)+(BI323+B*BI324)*SIN(-α)+BH317*BI324</f>
        <v>-0.00022730839066568715</v>
      </c>
      <c r="BJ325" s="27"/>
      <c r="BK325" s="27"/>
      <c r="BM325" s="27"/>
      <c r="BN325" s="145" t="s">
        <v>110</v>
      </c>
      <c r="BO325" s="27">
        <f>BO322*COS(-α)+(BO323+B*BO324)*SIN(-α)+BN317*BO324</f>
        <v>3.574835847992277E-05</v>
      </c>
      <c r="BP325" s="27"/>
      <c r="BQ325" s="27"/>
      <c r="BS325" s="27"/>
      <c r="BT325" s="145" t="s">
        <v>110</v>
      </c>
      <c r="BU325" s="27">
        <f>BU322*COS(-α)+(BU323+B*BU324)*SIN(-α)+BT317*BU324</f>
        <v>-8.945279373864974E-07</v>
      </c>
      <c r="BV325" s="27"/>
      <c r="BW325" s="27"/>
      <c r="BY325" s="27"/>
      <c r="BZ325" s="145" t="s">
        <v>110</v>
      </c>
      <c r="CA325" s="27">
        <f>CA322*COS(-α)+(CA323+B*CA324)*SIN(-α)+BZ317*CA324</f>
        <v>-8.945279373864974E-07</v>
      </c>
      <c r="CB325" s="27"/>
      <c r="CC325" s="27"/>
    </row>
    <row r="326" spans="2:81" ht="18" customHeight="1">
      <c r="B326" s="41"/>
      <c r="C326" s="41"/>
      <c r="D326" s="41"/>
      <c r="E326" s="41"/>
      <c r="F326" s="41"/>
      <c r="BA326" s="27"/>
      <c r="BB326" s="27"/>
      <c r="BC326" s="27"/>
      <c r="BD326" s="27"/>
      <c r="BE326" s="27"/>
      <c r="BG326" s="27"/>
      <c r="BH326" s="27"/>
      <c r="BI326" s="27"/>
      <c r="BJ326" s="27"/>
      <c r="BK326" s="27"/>
      <c r="BM326" s="27"/>
      <c r="BN326" s="27"/>
      <c r="BO326" s="27"/>
      <c r="BP326" s="27"/>
      <c r="BQ326" s="27"/>
      <c r="BS326" s="27"/>
      <c r="BT326" s="27"/>
      <c r="BU326" s="27"/>
      <c r="BV326" s="27"/>
      <c r="BW326" s="27"/>
      <c r="BY326" s="27"/>
      <c r="BZ326" s="27"/>
      <c r="CA326" s="27"/>
      <c r="CB326" s="27"/>
      <c r="CC326" s="27"/>
    </row>
    <row r="327" spans="51:81" ht="18" customHeight="1">
      <c r="AY327" s="19"/>
      <c r="BA327" s="66" t="s">
        <v>288</v>
      </c>
      <c r="BB327" s="27">
        <f>BC260</f>
        <v>3.577708763999664</v>
      </c>
      <c r="BC327" s="66" t="s">
        <v>289</v>
      </c>
      <c r="BD327" s="27">
        <f>L-BB327</f>
        <v>5.366563145999495</v>
      </c>
      <c r="BE327" s="27"/>
      <c r="BG327" s="66" t="s">
        <v>288</v>
      </c>
      <c r="BH327" s="27">
        <f>BI260</f>
        <v>5.187677707799512</v>
      </c>
      <c r="BI327" s="66" t="s">
        <v>289</v>
      </c>
      <c r="BJ327" s="27">
        <f>L-BH327</f>
        <v>3.756594202199647</v>
      </c>
      <c r="BK327" s="27"/>
      <c r="BM327" s="66" t="s">
        <v>288</v>
      </c>
      <c r="BN327" s="27">
        <f>BO260</f>
        <v>5.867442372959446</v>
      </c>
      <c r="BO327" s="66" t="s">
        <v>289</v>
      </c>
      <c r="BP327" s="27">
        <f>L-BN327</f>
        <v>3.076829537039713</v>
      </c>
      <c r="BQ327" s="27"/>
      <c r="BS327" s="66" t="s">
        <v>288</v>
      </c>
      <c r="BT327" s="27">
        <f>BU260</f>
        <v>5.8245098677914475</v>
      </c>
      <c r="BU327" s="66" t="s">
        <v>289</v>
      </c>
      <c r="BV327" s="27">
        <f>L-BT327</f>
        <v>3.1197620422077117</v>
      </c>
      <c r="BW327" s="27"/>
      <c r="BY327" s="66" t="s">
        <v>288</v>
      </c>
      <c r="BZ327" s="27">
        <f>CA260</f>
        <v>5.830234201813847</v>
      </c>
      <c r="CA327" s="66" t="s">
        <v>289</v>
      </c>
      <c r="CB327" s="27">
        <f>L-BZ327</f>
        <v>3.114037708185312</v>
      </c>
      <c r="CC327" s="27"/>
    </row>
    <row r="328" spans="51:81" ht="18" customHeight="1">
      <c r="AY328" s="19"/>
      <c r="BA328" s="67" t="s">
        <v>112</v>
      </c>
      <c r="BB328" s="68"/>
      <c r="BC328" s="69" t="s">
        <v>113</v>
      </c>
      <c r="BD328" s="70"/>
      <c r="BE328" s="67" t="s">
        <v>114</v>
      </c>
      <c r="BG328" s="67" t="s">
        <v>112</v>
      </c>
      <c r="BH328" s="68"/>
      <c r="BI328" s="69" t="s">
        <v>113</v>
      </c>
      <c r="BJ328" s="70"/>
      <c r="BK328" s="67" t="s">
        <v>114</v>
      </c>
      <c r="BM328" s="67" t="s">
        <v>112</v>
      </c>
      <c r="BN328" s="68"/>
      <c r="BO328" s="69" t="s">
        <v>113</v>
      </c>
      <c r="BP328" s="70"/>
      <c r="BQ328" s="67" t="s">
        <v>114</v>
      </c>
      <c r="BS328" s="67" t="s">
        <v>112</v>
      </c>
      <c r="BT328" s="68"/>
      <c r="BU328" s="69" t="s">
        <v>113</v>
      </c>
      <c r="BV328" s="70"/>
      <c r="BW328" s="67" t="s">
        <v>114</v>
      </c>
      <c r="BY328" s="67" t="s">
        <v>112</v>
      </c>
      <c r="BZ328" s="68"/>
      <c r="CA328" s="69" t="s">
        <v>113</v>
      </c>
      <c r="CB328" s="70"/>
      <c r="CC328" s="67" t="s">
        <v>114</v>
      </c>
    </row>
    <row r="329" spans="51:81" ht="18" customHeight="1">
      <c r="AY329" s="19"/>
      <c r="BA329" s="71">
        <f>-∑H</f>
        <v>-67.43628343669779</v>
      </c>
      <c r="BB329" s="72">
        <f>Kx*B+Kt*BD327*COS(-α)^2</f>
        <v>48707.98157558247</v>
      </c>
      <c r="BC329" s="72">
        <f>BB330</f>
        <v>15057.858230194917</v>
      </c>
      <c r="BD329" s="72">
        <f>BB331</f>
        <v>224271.74048052312</v>
      </c>
      <c r="BE329" s="73" t="s">
        <v>174</v>
      </c>
      <c r="BG329" s="71">
        <f>-∑H</f>
        <v>-67.43628343669779</v>
      </c>
      <c r="BH329" s="72">
        <f>Kx*B+Kt*BJ327*COS(-α)^2</f>
        <v>39673.266637465524</v>
      </c>
      <c r="BI329" s="72">
        <f>BH330</f>
        <v>10540.500761136444</v>
      </c>
      <c r="BJ329" s="72">
        <f>BH331</f>
        <v>175963.1197064118</v>
      </c>
      <c r="BK329" s="73" t="s">
        <v>174</v>
      </c>
      <c r="BM329" s="71">
        <f>-∑H</f>
        <v>-67.43628343669779</v>
      </c>
      <c r="BN329" s="72">
        <f>Kx*B+Kt*BP327*COS(-α)^2</f>
        <v>35858.60921914948</v>
      </c>
      <c r="BO329" s="72">
        <f>BN330</f>
        <v>8633.172051978425</v>
      </c>
      <c r="BP329" s="72">
        <f>BN331</f>
        <v>150683.38499523143</v>
      </c>
      <c r="BQ329" s="73" t="s">
        <v>174</v>
      </c>
      <c r="BS329" s="71">
        <f>-∑H</f>
        <v>-67.43628343669779</v>
      </c>
      <c r="BT329" s="72">
        <f>Kx*B+Kt*BV327*COS(-α)^2</f>
        <v>36099.53495083262</v>
      </c>
      <c r="BU329" s="72">
        <f>BT330</f>
        <v>8753.634917819993</v>
      </c>
      <c r="BV329" s="72">
        <f>BT331</f>
        <v>152365.76937957475</v>
      </c>
      <c r="BW329" s="73" t="s">
        <v>174</v>
      </c>
      <c r="BY329" s="71">
        <f>-∑H</f>
        <v>-67.43628343669779</v>
      </c>
      <c r="BZ329" s="72">
        <f>Kx*B+Kt*CB327*COS(-α)^2</f>
        <v>36067.41151994154</v>
      </c>
      <c r="CA329" s="72">
        <f>BZ330</f>
        <v>8737.57320237445</v>
      </c>
      <c r="CB329" s="72">
        <f>BZ331</f>
        <v>152142.11962902482</v>
      </c>
      <c r="CC329" s="73" t="s">
        <v>174</v>
      </c>
    </row>
    <row r="330" spans="51:81" ht="18" customHeight="1">
      <c r="AY330" s="19"/>
      <c r="BA330" s="71">
        <f>∑V</f>
        <v>160.68827713700023</v>
      </c>
      <c r="BB330" s="72">
        <f>Kt*BD327*SIN(-α)*COS(-α)</f>
        <v>15057.858230194917</v>
      </c>
      <c r="BC330" s="72">
        <f>Ky*B+Kt*BD327*SIN(-α)^2</f>
        <v>81897.989575868</v>
      </c>
      <c r="BD330" s="72">
        <f>BC331</f>
        <v>145378.840266226</v>
      </c>
      <c r="BE330" s="73" t="s">
        <v>175</v>
      </c>
      <c r="BG330" s="71">
        <f>∑V</f>
        <v>160.68827713700023</v>
      </c>
      <c r="BH330" s="72">
        <f>Kt*BJ327*SIN(-α)*COS(-α)</f>
        <v>10540.500761136444</v>
      </c>
      <c r="BI330" s="72">
        <f>Ky*B+Kt*BJ327*SIN(-α)^2</f>
        <v>79639.31084133877</v>
      </c>
      <c r="BJ330" s="72">
        <f>BI331</f>
        <v>121224.52987917032</v>
      </c>
      <c r="BK330" s="73" t="s">
        <v>175</v>
      </c>
      <c r="BM330" s="71">
        <f>∑V</f>
        <v>160.68827713700023</v>
      </c>
      <c r="BN330" s="72">
        <f>Kt*BP327*SIN(-α)*COS(-α)</f>
        <v>8633.172051978425</v>
      </c>
      <c r="BO330" s="72">
        <f>Ky*B+Kt*BP327*SIN(-α)^2</f>
        <v>78685.64648675975</v>
      </c>
      <c r="BP330" s="72">
        <f>BO331</f>
        <v>108584.66252358016</v>
      </c>
      <c r="BQ330" s="73" t="s">
        <v>175</v>
      </c>
      <c r="BS330" s="71">
        <f>∑V</f>
        <v>160.68827713700023</v>
      </c>
      <c r="BT330" s="72">
        <f>Kt*BV327*SIN(-α)*COS(-α)</f>
        <v>8753.634917819993</v>
      </c>
      <c r="BU330" s="72">
        <f>Ky*B+Kt*BV327*SIN(-α)^2</f>
        <v>78745.87791968054</v>
      </c>
      <c r="BV330" s="72">
        <f>BU331</f>
        <v>109425.8547157518</v>
      </c>
      <c r="BW330" s="73" t="s">
        <v>175</v>
      </c>
      <c r="BY330" s="71">
        <f>∑V</f>
        <v>160.68827713700023</v>
      </c>
      <c r="BZ330" s="72">
        <f>Kt*CB327*SIN(-α)*COS(-α)</f>
        <v>8737.57320237445</v>
      </c>
      <c r="CA330" s="72">
        <f>Ky*B+Kt*CB327*SIN(-α)^2</f>
        <v>78737.84706195777</v>
      </c>
      <c r="CB330" s="72">
        <f>CA331</f>
        <v>109314.02984047684</v>
      </c>
      <c r="CC330" s="73" t="s">
        <v>175</v>
      </c>
    </row>
    <row r="331" spans="51:81" ht="18" customHeight="1">
      <c r="AY331" s="19"/>
      <c r="BA331" s="71">
        <f>∑M</f>
        <v>214.21055477861782</v>
      </c>
      <c r="BB331" s="72">
        <f>Kt*BD327*COS(-α)*(B*SIN(-α)+BB327+BD327/2)</f>
        <v>224271.74048052312</v>
      </c>
      <c r="BC331" s="72">
        <f>1/2*Ky*B^2+Kt*BD327*SIN(-α)*(B*SIN(-α)+BB327+BD327/2)</f>
        <v>145378.840266226</v>
      </c>
      <c r="BD331" s="72">
        <f>1/3*Ky*B^3+Kt*BD327*(B*SIN(-α)*(B*SIN(-α)+2*BB327+BD327)+BB327^2+BB327*BD327+BD327^2/3)</f>
        <v>1780311.6108751004</v>
      </c>
      <c r="BE331" s="74" t="s">
        <v>115</v>
      </c>
      <c r="BG331" s="71">
        <f>∑M</f>
        <v>214.21055477861782</v>
      </c>
      <c r="BH331" s="72">
        <f>Kt*BJ327*COS(-α)*(B*SIN(-α)+BH327+BJ327/2)</f>
        <v>175963.1197064118</v>
      </c>
      <c r="BI331" s="72">
        <f>1/2*Ky*B^2+Kt*BJ327*SIN(-α)*(B*SIN(-α)+BH327+BJ327/2)</f>
        <v>121224.52987917032</v>
      </c>
      <c r="BJ331" s="72">
        <f>1/3*Ky*B^3+Kt*BJ327*(B*SIN(-α)*(B*SIN(-α)+2*BH327+BJ327)+BH327^2+BH327*BJ327+BJ327^2/3)</f>
        <v>1519566.0425626354</v>
      </c>
      <c r="BK331" s="74" t="s">
        <v>115</v>
      </c>
      <c r="BM331" s="71">
        <f>∑M</f>
        <v>214.21055477861782</v>
      </c>
      <c r="BN331" s="72">
        <f>Kt*BP327*COS(-α)*(B*SIN(-α)+BN327+BP327/2)</f>
        <v>150683.38499523143</v>
      </c>
      <c r="BO331" s="72">
        <f>1/2*Ky*B^2+Kt*BP327*SIN(-α)*(B*SIN(-α)+BN327+BP327/2)</f>
        <v>108584.66252358016</v>
      </c>
      <c r="BP331" s="72">
        <f>1/3*Ky*B^3+Kt*BP327*(B*SIN(-α)*(B*SIN(-α)+2*BN327+BP327)+BN327^2+BN327*BP327+BP327^2/3)</f>
        <v>1351853.6284545746</v>
      </c>
      <c r="BQ331" s="74" t="s">
        <v>115</v>
      </c>
      <c r="BS331" s="71">
        <f>∑M</f>
        <v>214.21055477861782</v>
      </c>
      <c r="BT331" s="72">
        <f>Kt*BV327*COS(-α)*(B*SIN(-α)+BT327+BV327/2)</f>
        <v>152365.76937957475</v>
      </c>
      <c r="BU331" s="72">
        <f>1/2*Ky*B^2+Kt*BV327*SIN(-α)*(B*SIN(-α)+BT327+BV327/2)</f>
        <v>109425.8547157518</v>
      </c>
      <c r="BV331" s="72">
        <f>1/3*Ky*B^3+Kt*BV327*(B*SIN(-α)*(B*SIN(-α)+2*BT327+BV327)+BT327^2+BT327*BV327+BV327^2/3)</f>
        <v>1363601.7648681847</v>
      </c>
      <c r="BW331" s="74" t="s">
        <v>115</v>
      </c>
      <c r="BY331" s="71">
        <f>∑M</f>
        <v>214.21055477861782</v>
      </c>
      <c r="BZ331" s="72">
        <f>Kt*CB327*COS(-α)*(B*SIN(-α)+BZ327+CB327/2)</f>
        <v>152142.11962902482</v>
      </c>
      <c r="CA331" s="72">
        <f>1/2*Ky*B^2+Kt*CB327*SIN(-α)*(B*SIN(-α)+BZ327+CB327/2)</f>
        <v>109314.02984047684</v>
      </c>
      <c r="CB331" s="72">
        <f>1/3*Ky*B^3+Kt*CB327*(B*SIN(-α)*(B*SIN(-α)+2*BZ327+CB327)+BZ327^2+BZ327*CB327+CB327^2/3)</f>
        <v>1362044.6704652582</v>
      </c>
      <c r="CC331" s="74" t="s">
        <v>115</v>
      </c>
    </row>
    <row r="332" spans="51:81" ht="18" customHeight="1">
      <c r="AY332" s="19"/>
      <c r="BA332" s="75" t="s">
        <v>116</v>
      </c>
      <c r="BB332" s="76" t="s">
        <v>176</v>
      </c>
      <c r="BC332" s="77">
        <f>INDEX(MMULT(MINVERSE(BB329:BD331),BA329:BA331),1)</f>
        <v>-0.004322375415430774</v>
      </c>
      <c r="BD332" s="78" t="s">
        <v>18</v>
      </c>
      <c r="BE332" s="78"/>
      <c r="BG332" s="75" t="s">
        <v>116</v>
      </c>
      <c r="BH332" s="76" t="s">
        <v>176</v>
      </c>
      <c r="BI332" s="77">
        <f>INDEX(MMULT(MINVERSE(BH329:BJ331),BG329:BG331),1)</f>
        <v>-0.004448443408300178</v>
      </c>
      <c r="BJ332" s="78" t="s">
        <v>18</v>
      </c>
      <c r="BK332" s="78"/>
      <c r="BM332" s="75" t="s">
        <v>116</v>
      </c>
      <c r="BN332" s="76" t="s">
        <v>176</v>
      </c>
      <c r="BO332" s="77">
        <f>INDEX(MMULT(MINVERSE(BN329:BP331),BM329:BM331),1)</f>
        <v>-0.004457040532461419</v>
      </c>
      <c r="BP332" s="78" t="s">
        <v>18</v>
      </c>
      <c r="BQ332" s="78"/>
      <c r="BS332" s="75" t="s">
        <v>116</v>
      </c>
      <c r="BT332" s="76" t="s">
        <v>176</v>
      </c>
      <c r="BU332" s="77">
        <f>INDEX(MMULT(MINVERSE(BT329:BV331),BS329:BS331),1)</f>
        <v>-0.004457060288736832</v>
      </c>
      <c r="BV332" s="78" t="s">
        <v>18</v>
      </c>
      <c r="BW332" s="78"/>
      <c r="BY332" s="75" t="s">
        <v>116</v>
      </c>
      <c r="BZ332" s="76" t="s">
        <v>176</v>
      </c>
      <c r="CA332" s="77">
        <f>INDEX(MMULT(MINVERSE(BZ329:CB331),BY329:BY331),1)</f>
        <v>-0.004457061570023104</v>
      </c>
      <c r="CB332" s="78" t="s">
        <v>18</v>
      </c>
      <c r="CC332" s="78"/>
    </row>
    <row r="333" spans="45:81" ht="18" customHeight="1">
      <c r="AS333" s="43" t="s">
        <v>476</v>
      </c>
      <c r="AT333" s="11">
        <f>IF(Kh=0,1,2)</f>
        <v>1</v>
      </c>
      <c r="AY333" s="19"/>
      <c r="BA333" s="78"/>
      <c r="BB333" s="76" t="s">
        <v>177</v>
      </c>
      <c r="BC333" s="77">
        <f>INDEX(MMULT(MINVERSE(BB329:BD331),BA329:BA331),2)</f>
        <v>0.0018439082084538703</v>
      </c>
      <c r="BD333" s="78" t="s">
        <v>18</v>
      </c>
      <c r="BE333" s="78"/>
      <c r="BG333" s="78"/>
      <c r="BH333" s="76" t="s">
        <v>177</v>
      </c>
      <c r="BI333" s="77">
        <f>INDEX(MMULT(MINVERSE(BH329:BJ331),BG329:BG331),2)</f>
        <v>0.0018300063803363047</v>
      </c>
      <c r="BJ333" s="78" t="s">
        <v>18</v>
      </c>
      <c r="BK333" s="78"/>
      <c r="BM333" s="78"/>
      <c r="BN333" s="76" t="s">
        <v>177</v>
      </c>
      <c r="BO333" s="77">
        <f>INDEX(MMULT(MINVERSE(BN329:BP331),BM329:BM331),2)</f>
        <v>0.0018297418961515947</v>
      </c>
      <c r="BP333" s="78" t="s">
        <v>18</v>
      </c>
      <c r="BQ333" s="78"/>
      <c r="BS333" s="78"/>
      <c r="BT333" s="76" t="s">
        <v>177</v>
      </c>
      <c r="BU333" s="77">
        <f>INDEX(MMULT(MINVERSE(BT329:BV331),BS329:BS331),2)</f>
        <v>0.0018297424398404424</v>
      </c>
      <c r="BV333" s="78" t="s">
        <v>18</v>
      </c>
      <c r="BW333" s="78"/>
      <c r="BY333" s="78"/>
      <c r="BZ333" s="76" t="s">
        <v>177</v>
      </c>
      <c r="CA333" s="77">
        <f>INDEX(MMULT(MINVERSE(BZ329:CB331),BY329:BY331),2)</f>
        <v>0.001829742468865478</v>
      </c>
      <c r="CB333" s="78" t="s">
        <v>18</v>
      </c>
      <c r="CC333" s="78"/>
    </row>
    <row r="334" spans="51:81" ht="18" customHeight="1">
      <c r="AY334" s="19"/>
      <c r="BA334" s="78"/>
      <c r="BB334" s="76"/>
      <c r="BC334" s="77"/>
      <c r="BD334" s="78"/>
      <c r="BE334" s="78"/>
      <c r="BG334" s="78"/>
      <c r="BH334" s="76"/>
      <c r="BI334" s="77"/>
      <c r="BJ334" s="78"/>
      <c r="BK334" s="78"/>
      <c r="BM334" s="78"/>
      <c r="BN334" s="76"/>
      <c r="BO334" s="77"/>
      <c r="BP334" s="78"/>
      <c r="BQ334" s="78"/>
      <c r="BS334" s="78"/>
      <c r="BT334" s="76"/>
      <c r="BU334" s="77"/>
      <c r="BV334" s="78"/>
      <c r="BW334" s="78"/>
      <c r="BY334" s="78"/>
      <c r="BZ334" s="76"/>
      <c r="CA334" s="77"/>
      <c r="CB334" s="78"/>
      <c r="CC334" s="78"/>
    </row>
    <row r="335" spans="51:81" ht="18" customHeight="1">
      <c r="AY335" s="19"/>
      <c r="BA335" s="78"/>
      <c r="BB335" s="76"/>
      <c r="BC335" s="77"/>
      <c r="BD335" s="78"/>
      <c r="BE335" s="78"/>
      <c r="BG335" s="78"/>
      <c r="BH335" s="76"/>
      <c r="BI335" s="77"/>
      <c r="BJ335" s="78"/>
      <c r="BK335" s="78"/>
      <c r="BM335" s="78"/>
      <c r="BN335" s="76"/>
      <c r="BO335" s="77"/>
      <c r="BP335" s="78"/>
      <c r="BQ335" s="78"/>
      <c r="BS335" s="78"/>
      <c r="BT335" s="76"/>
      <c r="BU335" s="77"/>
      <c r="BV335" s="78"/>
      <c r="BW335" s="78"/>
      <c r="BY335" s="78"/>
      <c r="BZ335" s="76"/>
      <c r="CA335" s="77"/>
      <c r="CB335" s="78"/>
      <c r="CC335" s="78"/>
    </row>
    <row r="336" spans="51:81" ht="18" customHeight="1">
      <c r="AY336" s="19"/>
      <c r="BA336" s="78"/>
      <c r="BB336" s="76"/>
      <c r="BC336" s="77"/>
      <c r="BD336" s="78"/>
      <c r="BE336" s="78"/>
      <c r="BG336" s="78"/>
      <c r="BH336" s="76"/>
      <c r="BI336" s="77"/>
      <c r="BJ336" s="78"/>
      <c r="BK336" s="78"/>
      <c r="BM336" s="78"/>
      <c r="BN336" s="76"/>
      <c r="BO336" s="77"/>
      <c r="BP336" s="78"/>
      <c r="BQ336" s="78"/>
      <c r="BS336" s="78"/>
      <c r="BT336" s="76"/>
      <c r="BU336" s="77"/>
      <c r="BV336" s="78"/>
      <c r="BW336" s="78"/>
      <c r="BY336" s="78"/>
      <c r="BZ336" s="76"/>
      <c r="CA336" s="77"/>
      <c r="CB336" s="78"/>
      <c r="CC336" s="78"/>
    </row>
    <row r="337" spans="51:81" ht="18" customHeight="1">
      <c r="AY337" s="19"/>
      <c r="BA337" s="78"/>
      <c r="BB337" s="76"/>
      <c r="BC337" s="77"/>
      <c r="BD337" s="78"/>
      <c r="BE337" s="78"/>
      <c r="BG337" s="78"/>
      <c r="BH337" s="76"/>
      <c r="BI337" s="77"/>
      <c r="BJ337" s="78"/>
      <c r="BK337" s="78"/>
      <c r="BM337" s="78"/>
      <c r="BN337" s="76"/>
      <c r="BO337" s="77"/>
      <c r="BP337" s="78"/>
      <c r="BQ337" s="78"/>
      <c r="BS337" s="78"/>
      <c r="BT337" s="76"/>
      <c r="BU337" s="77"/>
      <c r="BV337" s="78"/>
      <c r="BW337" s="78"/>
      <c r="BY337" s="78"/>
      <c r="BZ337" s="76"/>
      <c r="CA337" s="77"/>
      <c r="CB337" s="78"/>
      <c r="CC337" s="78"/>
    </row>
    <row r="338" spans="51:81" ht="18" customHeight="1">
      <c r="AY338" s="19"/>
      <c r="BA338" s="78"/>
      <c r="BB338" s="76" t="s">
        <v>293</v>
      </c>
      <c r="BC338" s="77">
        <f>INDEX(MMULT(MINVERSE(BB329:BD331),BA329:BA331),3)</f>
        <v>0.0005142537799071478</v>
      </c>
      <c r="BD338" s="78" t="s">
        <v>82</v>
      </c>
      <c r="BE338" s="78"/>
      <c r="BG338" s="78"/>
      <c r="BH338" s="76" t="s">
        <v>293</v>
      </c>
      <c r="BI338" s="77">
        <f>INDEX(MMULT(MINVERSE(BH329:BJ331),BG329:BG331),3)</f>
        <v>0.0005101001535288253</v>
      </c>
      <c r="BJ338" s="78" t="s">
        <v>82</v>
      </c>
      <c r="BK338" s="78"/>
      <c r="BM338" s="78"/>
      <c r="BN338" s="76" t="s">
        <v>293</v>
      </c>
      <c r="BO338" s="77">
        <f>INDEX(MMULT(MINVERSE(BN329:BP331),BM329:BM331),3)</f>
        <v>0.0005082877232481873</v>
      </c>
      <c r="BP338" s="78" t="s">
        <v>82</v>
      </c>
      <c r="BQ338" s="78"/>
      <c r="BS338" s="78"/>
      <c r="BT338" s="76" t="s">
        <v>293</v>
      </c>
      <c r="BU338" s="77">
        <f>INDEX(MMULT(MINVERSE(BT329:BV331),BS329:BS331),3)</f>
        <v>0.000508280982256523</v>
      </c>
      <c r="BV338" s="78" t="s">
        <v>82</v>
      </c>
      <c r="BW338" s="78"/>
      <c r="BY338" s="78"/>
      <c r="BZ338" s="76" t="s">
        <v>293</v>
      </c>
      <c r="CA338" s="77">
        <f>INDEX(MMULT(MINVERSE(BZ329:CB331),BY329:BY331),3)</f>
        <v>0.0005082805590220266</v>
      </c>
      <c r="CB338" s="78" t="s">
        <v>82</v>
      </c>
      <c r="CC338" s="78"/>
    </row>
    <row r="339" spans="18:81" ht="18" customHeight="1"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Y339" s="19"/>
      <c r="BA339" s="27"/>
      <c r="BB339" s="145" t="s">
        <v>110</v>
      </c>
      <c r="BC339" s="27">
        <f>BC332*COS(-α)+(BC333+B*BC338)*SIN(-α)+BB327*BC338</f>
        <v>-0.0009959757602734658</v>
      </c>
      <c r="BD339" s="27"/>
      <c r="BE339" s="27"/>
      <c r="BG339" s="27"/>
      <c r="BH339" s="145" t="s">
        <v>110</v>
      </c>
      <c r="BI339" s="27">
        <f>BI332*COS(-α)+(BI333+B*BI338)*SIN(-α)+BH327*BI338</f>
        <v>-0.0003102272046534749</v>
      </c>
      <c r="BJ339" s="27"/>
      <c r="BK339" s="27"/>
      <c r="BM339" s="27"/>
      <c r="BN339" s="145" t="s">
        <v>110</v>
      </c>
      <c r="BO339" s="27">
        <f>BO332*COS(-α)+(BO333+B*BO338)*SIN(-α)+BN327*BO338</f>
        <v>1.7354116788631524E-05</v>
      </c>
      <c r="BP339" s="27"/>
      <c r="BQ339" s="27"/>
      <c r="BS339" s="27"/>
      <c r="BT339" s="145" t="s">
        <v>110</v>
      </c>
      <c r="BU339" s="27">
        <f>BU332*COS(-α)+(BU333+B*BU338)*SIN(-α)+BT327*BU338</f>
        <v>-4.527334002725047E-06</v>
      </c>
      <c r="BV339" s="27"/>
      <c r="BW339" s="27"/>
      <c r="BY339" s="27"/>
      <c r="BZ339" s="145" t="s">
        <v>110</v>
      </c>
      <c r="CA339" s="27">
        <f>CA332*COS(-α)+(CA333+B*CA338)*SIN(-α)+BZ327*CA338</f>
        <v>-1.6215336891231037E-06</v>
      </c>
      <c r="CB339" s="27"/>
      <c r="CC339" s="27"/>
    </row>
    <row r="340" spans="18:51" ht="18" customHeight="1"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Y340" s="19"/>
    </row>
    <row r="341" spans="18:81" ht="18" customHeight="1"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Y341" s="19"/>
      <c r="BA341" s="66" t="s">
        <v>288</v>
      </c>
      <c r="BB341" s="27">
        <f>BC261</f>
        <v>2.683281572999748</v>
      </c>
      <c r="BC341" s="66" t="s">
        <v>289</v>
      </c>
      <c r="BD341" s="27">
        <f>L-BB341</f>
        <v>6.260990336999411</v>
      </c>
      <c r="BE341" s="27"/>
      <c r="BG341" s="66" t="s">
        <v>288</v>
      </c>
      <c r="BH341" s="27">
        <f>BI261</f>
        <v>5.008792269599529</v>
      </c>
      <c r="BI341" s="66" t="s">
        <v>289</v>
      </c>
      <c r="BJ341" s="27">
        <f>L-BH341</f>
        <v>3.93547964039963</v>
      </c>
      <c r="BK341" s="27"/>
      <c r="BM341" s="66" t="s">
        <v>288</v>
      </c>
      <c r="BN341" s="27">
        <f>BO261</f>
        <v>5.831665285319449</v>
      </c>
      <c r="BO341" s="66" t="s">
        <v>289</v>
      </c>
      <c r="BP341" s="27">
        <f>L-BN341</f>
        <v>3.11260662467971</v>
      </c>
      <c r="BQ341" s="27"/>
      <c r="BS341" s="66" t="s">
        <v>288</v>
      </c>
      <c r="BT341" s="27">
        <f>BU261</f>
        <v>5.817354450263448</v>
      </c>
      <c r="BU341" s="66" t="s">
        <v>289</v>
      </c>
      <c r="BV341" s="27">
        <f>L-BT341</f>
        <v>3.1269174597357114</v>
      </c>
      <c r="BW341" s="27"/>
      <c r="BY341" s="66" t="s">
        <v>288</v>
      </c>
      <c r="BZ341" s="27">
        <f>CA261</f>
        <v>5.828803118308247</v>
      </c>
      <c r="CA341" s="66" t="s">
        <v>289</v>
      </c>
      <c r="CB341" s="27">
        <f>L-BZ341</f>
        <v>3.115468791690912</v>
      </c>
      <c r="CC341" s="27"/>
    </row>
    <row r="342" spans="18:81" ht="18" customHeight="1"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Y342" s="19"/>
      <c r="BA342" s="67" t="s">
        <v>112</v>
      </c>
      <c r="BB342" s="68"/>
      <c r="BC342" s="69" t="s">
        <v>113</v>
      </c>
      <c r="BD342" s="70"/>
      <c r="BE342" s="67" t="s">
        <v>114</v>
      </c>
      <c r="BG342" s="67" t="s">
        <v>112</v>
      </c>
      <c r="BH342" s="68"/>
      <c r="BI342" s="69" t="s">
        <v>113</v>
      </c>
      <c r="BJ342" s="70"/>
      <c r="BK342" s="67" t="s">
        <v>114</v>
      </c>
      <c r="BM342" s="67" t="s">
        <v>112</v>
      </c>
      <c r="BN342" s="68"/>
      <c r="BO342" s="69" t="s">
        <v>113</v>
      </c>
      <c r="BP342" s="70"/>
      <c r="BQ342" s="67" t="s">
        <v>114</v>
      </c>
      <c r="BS342" s="67" t="s">
        <v>112</v>
      </c>
      <c r="BT342" s="68"/>
      <c r="BU342" s="69" t="s">
        <v>113</v>
      </c>
      <c r="BV342" s="70"/>
      <c r="BW342" s="67" t="s">
        <v>114</v>
      </c>
      <c r="BY342" s="67" t="s">
        <v>112</v>
      </c>
      <c r="BZ342" s="68"/>
      <c r="CA342" s="69" t="s">
        <v>113</v>
      </c>
      <c r="CB342" s="70"/>
      <c r="CC342" s="67" t="s">
        <v>114</v>
      </c>
    </row>
    <row r="343" spans="1:81" ht="18" customHeight="1">
      <c r="A343" s="204" t="s">
        <v>514</v>
      </c>
      <c r="AY343" s="19"/>
      <c r="BA343" s="71">
        <f>-∑H</f>
        <v>-67.43628343669779</v>
      </c>
      <c r="BB343" s="72">
        <f>Kx*B+Kt*BD341*COS(-α)^2</f>
        <v>53727.26765231411</v>
      </c>
      <c r="BC343" s="72">
        <f>BB344</f>
        <v>17567.501268560733</v>
      </c>
      <c r="BD343" s="72">
        <f>BB345</f>
        <v>244082.86262538287</v>
      </c>
      <c r="BE343" s="73" t="s">
        <v>174</v>
      </c>
      <c r="BG343" s="71">
        <f>-∑H</f>
        <v>-67.43628343669779</v>
      </c>
      <c r="BH343" s="72">
        <f>Kx*B+Kt*BJ341*COS(-α)^2</f>
        <v>40677.12385281185</v>
      </c>
      <c r="BI343" s="72">
        <f>BH344</f>
        <v>11042.429368809606</v>
      </c>
      <c r="BJ343" s="72">
        <f>BH345</f>
        <v>182133.83000914566</v>
      </c>
      <c r="BK343" s="73" t="s">
        <v>174</v>
      </c>
      <c r="BM343" s="71">
        <f>-∑H</f>
        <v>-67.43628343669779</v>
      </c>
      <c r="BN343" s="72">
        <f>Kx*B+Kt*BP341*COS(-α)^2</f>
        <v>36059.380662218755</v>
      </c>
      <c r="BO343" s="72">
        <f>BN344</f>
        <v>8733.557773513061</v>
      </c>
      <c r="BP343" s="72">
        <f>BN345</f>
        <v>152086.1750679564</v>
      </c>
      <c r="BQ343" s="73" t="s">
        <v>174</v>
      </c>
      <c r="BS343" s="71">
        <f>-∑H</f>
        <v>-67.43628343669779</v>
      </c>
      <c r="BT343" s="72">
        <f>Kx*B+Kt*BV341*COS(-α)^2</f>
        <v>36139.68923944648</v>
      </c>
      <c r="BU343" s="72">
        <f>BT344</f>
        <v>8773.712062126919</v>
      </c>
      <c r="BV343" s="72">
        <f>BT345</f>
        <v>152645.0424568841</v>
      </c>
      <c r="BW343" s="73" t="s">
        <v>174</v>
      </c>
      <c r="BY343" s="71">
        <f>-∑H</f>
        <v>-67.43628343669779</v>
      </c>
      <c r="BZ343" s="72">
        <f>Kx*B+Kt*CB341*COS(-α)^2</f>
        <v>36075.44237766431</v>
      </c>
      <c r="CA343" s="72">
        <f>BZ344</f>
        <v>8741.588631235834</v>
      </c>
      <c r="CB343" s="72">
        <f>BZ345</f>
        <v>152198.05134072085</v>
      </c>
      <c r="CC343" s="73" t="s">
        <v>174</v>
      </c>
    </row>
    <row r="344" spans="2:81" ht="18" customHeight="1">
      <c r="B344" s="132" t="s">
        <v>478</v>
      </c>
      <c r="F344" s="13" t="s">
        <v>494</v>
      </c>
      <c r="G344" s="268">
        <f>ROUND(IF(qtu=0,d*3,B/3*(2*E321+E320)/(E320+E321)),3)</f>
        <v>0.463</v>
      </c>
      <c r="H344" s="11" t="s">
        <v>479</v>
      </c>
      <c r="BA344" s="71">
        <f>∑V</f>
        <v>160.68827713700023</v>
      </c>
      <c r="BB344" s="72">
        <f>Kt*BD341*SIN(-α)*COS(-α)</f>
        <v>17567.501268560733</v>
      </c>
      <c r="BC344" s="72">
        <f>Ky*B+Kt*BD341*SIN(-α)^2</f>
        <v>83152.81109505091</v>
      </c>
      <c r="BD344" s="72">
        <f>BC345</f>
        <v>155284.40133865588</v>
      </c>
      <c r="BE344" s="73" t="s">
        <v>175</v>
      </c>
      <c r="BG344" s="71">
        <f>∑V</f>
        <v>160.68827713700023</v>
      </c>
      <c r="BH344" s="72">
        <f>Kt*BJ341*SIN(-α)*COS(-α)</f>
        <v>11042.429368809606</v>
      </c>
      <c r="BI344" s="72">
        <f>Ky*B+Kt*BJ341*SIN(-α)^2</f>
        <v>79890.27514517534</v>
      </c>
      <c r="BJ344" s="72">
        <f>BI345</f>
        <v>124309.88503053726</v>
      </c>
      <c r="BK344" s="73" t="s">
        <v>175</v>
      </c>
      <c r="BM344" s="71">
        <f>∑V</f>
        <v>160.68827713700023</v>
      </c>
      <c r="BN344" s="72">
        <f>Kt*BP341*SIN(-α)*COS(-α)</f>
        <v>8733.557773513061</v>
      </c>
      <c r="BO344" s="72">
        <f>Ky*B+Kt*BP341*SIN(-α)^2</f>
        <v>78735.83934752707</v>
      </c>
      <c r="BP344" s="72">
        <f>BO345</f>
        <v>109286.05755994265</v>
      </c>
      <c r="BQ344" s="73" t="s">
        <v>175</v>
      </c>
      <c r="BS344" s="71">
        <f>∑V</f>
        <v>160.68827713700023</v>
      </c>
      <c r="BT344" s="72">
        <f>Kt*BV341*SIN(-α)*COS(-α)</f>
        <v>8773.712062126919</v>
      </c>
      <c r="BU344" s="72">
        <f>Ky*B+Kt*BV341*SIN(-α)^2</f>
        <v>78755.91649183401</v>
      </c>
      <c r="BV344" s="72">
        <f>BU345</f>
        <v>109565.49125440649</v>
      </c>
      <c r="BW344" s="73" t="s">
        <v>175</v>
      </c>
      <c r="BY344" s="71">
        <f>∑V</f>
        <v>160.68827713700023</v>
      </c>
      <c r="BZ344" s="72">
        <f>Kt*CB341*SIN(-α)*COS(-α)</f>
        <v>8741.588631235834</v>
      </c>
      <c r="CA344" s="72">
        <f>Ky*B+Kt*CB341*SIN(-α)^2</f>
        <v>78739.85477638847</v>
      </c>
      <c r="CB344" s="72">
        <f>CA345</f>
        <v>109341.99569632486</v>
      </c>
      <c r="CC344" s="73" t="s">
        <v>175</v>
      </c>
    </row>
    <row r="345" spans="2:81" ht="18" customHeight="1">
      <c r="B345" s="43" t="s">
        <v>480</v>
      </c>
      <c r="E345" s="17" t="str">
        <f>"e=B/2-d="&amp;T392&amp;U392</f>
        <v>e=B/2-d=-0.016m</v>
      </c>
      <c r="G345" s="3"/>
      <c r="BA345" s="71">
        <f>∑M</f>
        <v>214.21055477861782</v>
      </c>
      <c r="BB345" s="72">
        <f>Kt*BD341*COS(-α)*(B*SIN(-α)+BB341+BD341/2)</f>
        <v>244082.86262538287</v>
      </c>
      <c r="BC345" s="72">
        <f>1/2*Ky*B^2+Kt*BD341*SIN(-α)*(B*SIN(-α)+BB341+BD341/2)</f>
        <v>155284.40133865588</v>
      </c>
      <c r="BD345" s="72">
        <f>1/3*Ky*B^3+Kt*BD341*(B*SIN(-α)*(B*SIN(-α)+2*BB341+BD341)+BB341^2+BB341*BD341+BD341^2/3)</f>
        <v>1858924.3838205896</v>
      </c>
      <c r="BE345" s="74" t="s">
        <v>115</v>
      </c>
      <c r="BG345" s="71">
        <f>∑M</f>
        <v>214.21055477861782</v>
      </c>
      <c r="BH345" s="72">
        <f>Kt*BJ341*COS(-α)*(B*SIN(-α)+BH341+BJ341/2)</f>
        <v>182133.83000914566</v>
      </c>
      <c r="BI345" s="72">
        <f>1/2*Ky*B^2+Kt*BJ341*SIN(-α)*(B*SIN(-α)+BH341+BJ341/2)</f>
        <v>124309.88503053726</v>
      </c>
      <c r="BJ345" s="72">
        <f>1/3*Ky*B^3+Kt*BJ341*(B*SIN(-α)*(B*SIN(-α)+2*BH341+BJ341)+BH341^2+BH341*BJ341+BJ341^2/3)</f>
        <v>1557500.7449842582</v>
      </c>
      <c r="BK345" s="74" t="s">
        <v>115</v>
      </c>
      <c r="BM345" s="71">
        <f>∑M</f>
        <v>214.21055477861782</v>
      </c>
      <c r="BN345" s="72">
        <f>Kt*BP341*COS(-α)*(B*SIN(-α)+BN341+BP341/2)</f>
        <v>152086.1750679564</v>
      </c>
      <c r="BO345" s="72">
        <f>1/2*Ky*B^2+Kt*BP341*SIN(-α)*(B*SIN(-α)+BN341+BP341/2)</f>
        <v>109286.05755994265</v>
      </c>
      <c r="BP345" s="72">
        <f>1/3*Ky*B^3+Kt*BP341*(B*SIN(-α)*(B*SIN(-α)+2*BN341+BP341)+BN341^2+BN341*BP341+BP341^2/3)</f>
        <v>1361654.9494622299</v>
      </c>
      <c r="BQ345" s="74" t="s">
        <v>115</v>
      </c>
      <c r="BS345" s="71">
        <f>∑M</f>
        <v>214.21055477861782</v>
      </c>
      <c r="BT345" s="72">
        <f>Kt*BV341*COS(-α)*(B*SIN(-α)+BT341+BV341/2)</f>
        <v>152645.0424568841</v>
      </c>
      <c r="BU345" s="72">
        <f>1/2*Ky*B^2+Kt*BV341*SIN(-α)*(B*SIN(-α)+BT341+BV341/2)</f>
        <v>109565.49125440649</v>
      </c>
      <c r="BV345" s="72">
        <f>1/3*Ky*B^3+Kt*BV341*(B*SIN(-α)*(B*SIN(-α)+2*BT341+BV341)+BT341^2+BT341*BV341+BV341^2/3)</f>
        <v>1365544.1093350276</v>
      </c>
      <c r="BW345" s="74" t="s">
        <v>115</v>
      </c>
      <c r="BY345" s="71">
        <f>∑M</f>
        <v>214.21055477861782</v>
      </c>
      <c r="BZ345" s="72">
        <f>Kt*CB341*COS(-α)*(B*SIN(-α)+BZ341+CB341/2)</f>
        <v>152198.05134072085</v>
      </c>
      <c r="CA345" s="72">
        <f>1/2*Ky*B^2+Kt*CB341*SIN(-α)*(B*SIN(-α)+BZ341+CB341/2)</f>
        <v>109341.99569632486</v>
      </c>
      <c r="CB345" s="72">
        <f>1/3*Ky*B^3+Kt*CB341*(B*SIN(-α)*(B*SIN(-α)+2*BZ341+CB341)+BZ341^2+BZ341*CB341+CB341^2/3)</f>
        <v>1362434.2124662492</v>
      </c>
      <c r="CC345" s="74" t="s">
        <v>115</v>
      </c>
    </row>
    <row r="346" spans="7:81" ht="18" customHeight="1">
      <c r="G346" s="3"/>
      <c r="BA346" s="75" t="s">
        <v>116</v>
      </c>
      <c r="BB346" s="76" t="s">
        <v>176</v>
      </c>
      <c r="BC346" s="77">
        <f>INDEX(MMULT(MINVERSE(BB343:BD345),BA343:BA345),1)</f>
        <v>-0.004165159041445432</v>
      </c>
      <c r="BD346" s="78" t="s">
        <v>18</v>
      </c>
      <c r="BE346" s="78"/>
      <c r="BG346" s="75" t="s">
        <v>116</v>
      </c>
      <c r="BH346" s="76" t="s">
        <v>176</v>
      </c>
      <c r="BI346" s="77">
        <f>INDEX(MMULT(MINVERSE(BH343:BJ345),BG343:BG345),1)</f>
        <v>-0.0044425753201460735</v>
      </c>
      <c r="BJ346" s="78" t="s">
        <v>18</v>
      </c>
      <c r="BK346" s="78"/>
      <c r="BM346" s="75" t="s">
        <v>116</v>
      </c>
      <c r="BN346" s="76" t="s">
        <v>176</v>
      </c>
      <c r="BO346" s="77">
        <f>INDEX(MMULT(MINVERSE(BN343:BP345),BM343:BM345),1)</f>
        <v>-0.004457061700890178</v>
      </c>
      <c r="BP346" s="78" t="s">
        <v>18</v>
      </c>
      <c r="BQ346" s="78"/>
      <c r="BS346" s="75" t="s">
        <v>116</v>
      </c>
      <c r="BT346" s="76" t="s">
        <v>176</v>
      </c>
      <c r="BU346" s="77">
        <f>INDEX(MMULT(MINVERSE(BT343:BV345),BS343:BS345),1)</f>
        <v>-0.004457056977664245</v>
      </c>
      <c r="BV346" s="78" t="s">
        <v>18</v>
      </c>
      <c r="BW346" s="78"/>
      <c r="BY346" s="75" t="s">
        <v>116</v>
      </c>
      <c r="BZ346" s="76" t="s">
        <v>176</v>
      </c>
      <c r="CA346" s="77">
        <f>INDEX(MMULT(MINVERSE(BZ343:CB345),BY343:BY345),1)</f>
        <v>-0.00445706136343252</v>
      </c>
      <c r="CB346" s="78" t="s">
        <v>18</v>
      </c>
      <c r="CC346" s="78"/>
    </row>
    <row r="347" spans="1:81" ht="18" customHeight="1">
      <c r="A347" s="199" t="s">
        <v>513</v>
      </c>
      <c r="G347" s="3"/>
      <c r="AS347" s="12"/>
      <c r="AT347" s="12"/>
      <c r="AU347" s="12"/>
      <c r="AV347" s="12"/>
      <c r="AW347" s="12"/>
      <c r="AX347" s="12"/>
      <c r="BA347" s="78"/>
      <c r="BB347" s="76" t="s">
        <v>177</v>
      </c>
      <c r="BC347" s="77">
        <f>INDEX(MMULT(MINVERSE(BB343:BD345),BA343:BA345),2)</f>
        <v>0.0018671787529015089</v>
      </c>
      <c r="BD347" s="78" t="s">
        <v>18</v>
      </c>
      <c r="BE347" s="78"/>
      <c r="BG347" s="78"/>
      <c r="BH347" s="76" t="s">
        <v>177</v>
      </c>
      <c r="BI347" s="77">
        <f>INDEX(MMULT(MINVERSE(BH343:BJ345),BG343:BG345),2)</f>
        <v>0.0018303549609576385</v>
      </c>
      <c r="BJ347" s="78" t="s">
        <v>18</v>
      </c>
      <c r="BK347" s="78"/>
      <c r="BM347" s="78"/>
      <c r="BN347" s="76" t="s">
        <v>177</v>
      </c>
      <c r="BO347" s="77">
        <f>INDEX(MMULT(MINVERSE(BN343:BP345),BM343:BM345),2)</f>
        <v>0.0018297424719095328</v>
      </c>
      <c r="BP347" s="78" t="s">
        <v>18</v>
      </c>
      <c r="BQ347" s="78"/>
      <c r="BS347" s="78"/>
      <c r="BT347" s="76" t="s">
        <v>177</v>
      </c>
      <c r="BU347" s="77">
        <f>INDEX(MMULT(MINVERSE(BT343:BV345),BS343:BS345),2)</f>
        <v>0.0018297423680350964</v>
      </c>
      <c r="BV347" s="78" t="s">
        <v>18</v>
      </c>
      <c r="BW347" s="78"/>
      <c r="BY347" s="78"/>
      <c r="BZ347" s="76" t="s">
        <v>177</v>
      </c>
      <c r="CA347" s="77">
        <f>INDEX(MMULT(MINVERSE(BZ343:CB345),BY343:BY345),2)</f>
        <v>0.0018297424641046686</v>
      </c>
      <c r="CB347" s="78" t="s">
        <v>18</v>
      </c>
      <c r="CC347" s="78"/>
    </row>
    <row r="348" spans="7:81" ht="18" customHeight="1">
      <c r="G348" s="3"/>
      <c r="AS348" s="12"/>
      <c r="AT348" s="12"/>
      <c r="AU348" s="12"/>
      <c r="AV348" s="12"/>
      <c r="AW348" s="12"/>
      <c r="AX348" s="12"/>
      <c r="BA348" s="78"/>
      <c r="BB348" s="76" t="s">
        <v>293</v>
      </c>
      <c r="BC348" s="77">
        <f>INDEX(MMULT(MINVERSE(BB343:BD345),BA343:BA345),3)</f>
        <v>0.0005061587067539677</v>
      </c>
      <c r="BD348" s="78" t="s">
        <v>82</v>
      </c>
      <c r="BE348" s="78"/>
      <c r="BG348" s="78"/>
      <c r="BH348" s="76" t="s">
        <v>293</v>
      </c>
      <c r="BI348" s="77">
        <f>INDEX(MMULT(MINVERSE(BH343:BJ345),BG343:BG345),3)</f>
        <v>0.000510961295358645</v>
      </c>
      <c r="BJ348" s="78" t="s">
        <v>82</v>
      </c>
      <c r="BK348" s="78"/>
      <c r="BM348" s="78"/>
      <c r="BN348" s="76" t="s">
        <v>293</v>
      </c>
      <c r="BO348" s="77">
        <f>INDEX(MMULT(MINVERSE(BN343:BP345),BM343:BM345),3)</f>
        <v>0.000508280515616123</v>
      </c>
      <c r="BP348" s="78" t="s">
        <v>82</v>
      </c>
      <c r="BQ348" s="78"/>
      <c r="BS348" s="78"/>
      <c r="BT348" s="76" t="s">
        <v>293</v>
      </c>
      <c r="BU348" s="77">
        <f>INDEX(MMULT(MINVERSE(BT343:BV345),BS343:BS345),3)</f>
        <v>0.000508282068810033</v>
      </c>
      <c r="BV348" s="78" t="s">
        <v>82</v>
      </c>
      <c r="BW348" s="78"/>
      <c r="BY348" s="78"/>
      <c r="BZ348" s="76" t="s">
        <v>293</v>
      </c>
      <c r="CA348" s="77">
        <f>INDEX(MMULT(MINVERSE(BZ343:CB345),BY343:BY345),3)</f>
        <v>0.0005082806274440228</v>
      </c>
      <c r="CB348" s="78" t="s">
        <v>82</v>
      </c>
      <c r="CC348" s="78"/>
    </row>
    <row r="349" spans="1:81" ht="18" customHeight="1">
      <c r="A349" s="199" t="s">
        <v>512</v>
      </c>
      <c r="G349" s="3"/>
      <c r="AS349" s="12"/>
      <c r="AT349" s="12"/>
      <c r="AU349" s="12"/>
      <c r="AV349" s="12"/>
      <c r="AW349" s="12"/>
      <c r="AX349" s="12"/>
      <c r="BA349" s="27"/>
      <c r="BB349" s="145" t="s">
        <v>110</v>
      </c>
      <c r="BC349" s="27">
        <f>BC346*COS(-α)+(BC347+B*BC348)*SIN(-α)+BB341*BC348</f>
        <v>-0.0013298706638393248</v>
      </c>
      <c r="BD349" s="27"/>
      <c r="BE349" s="27"/>
      <c r="BG349" s="27"/>
      <c r="BH349" s="145" t="s">
        <v>110</v>
      </c>
      <c r="BI349" s="27">
        <f>BI346*COS(-α)+(BI347+B*BI348)*SIN(-α)+BH341*BI348</f>
        <v>-0.0003914146537913727</v>
      </c>
      <c r="BJ349" s="27"/>
      <c r="BK349" s="27"/>
      <c r="BM349" s="27"/>
      <c r="BN349" s="145" t="s">
        <v>110</v>
      </c>
      <c r="BO349" s="27">
        <f>BO346*COS(-α)+(BO347+B*BO348)*SIN(-α)+BN341*BO348</f>
        <v>-8.945279373864974E-07</v>
      </c>
      <c r="BP349" s="27"/>
      <c r="BQ349" s="27"/>
      <c r="BS349" s="27"/>
      <c r="BT349" s="145" t="s">
        <v>110</v>
      </c>
      <c r="BU349" s="27">
        <f>BU346*COS(-α)+(BU347+B*BU348)*SIN(-α)+BT341*BU348</f>
        <v>-8.154611970566904E-06</v>
      </c>
      <c r="BV349" s="27"/>
      <c r="BW349" s="27"/>
      <c r="BY349" s="27"/>
      <c r="BZ349" s="145" t="s">
        <v>110</v>
      </c>
      <c r="CA349" s="27">
        <f>CA346*COS(-α)+(CA347+B*CA348)*SIN(-α)+BZ341*CA348</f>
        <v>-2.3483167881487715E-06</v>
      </c>
      <c r="CB349" s="27"/>
      <c r="CC349" s="27"/>
    </row>
    <row r="350" spans="2:7" ht="18" customHeight="1">
      <c r="B350" s="133" t="s">
        <v>143</v>
      </c>
      <c r="C350" s="13" t="s">
        <v>477</v>
      </c>
      <c r="D350" s="268">
        <f>ABS(T392)</f>
        <v>0.016</v>
      </c>
      <c r="E350" s="11" t="s">
        <v>18</v>
      </c>
      <c r="G350" s="3"/>
    </row>
    <row r="351" spans="2:81" ht="18" customHeight="1">
      <c r="B351" s="133" t="s">
        <v>104</v>
      </c>
      <c r="C351" s="13" t="s">
        <v>105</v>
      </c>
      <c r="D351" s="268">
        <f>B</f>
        <v>0.8940000000000001</v>
      </c>
      <c r="E351" s="11" t="s">
        <v>18</v>
      </c>
      <c r="G351" s="3"/>
      <c r="BA351" s="66" t="s">
        <v>288</v>
      </c>
      <c r="BB351" s="27">
        <f>BC262</f>
        <v>1.7888543819998322</v>
      </c>
      <c r="BC351" s="66" t="s">
        <v>289</v>
      </c>
      <c r="BD351" s="27">
        <f>L-BB351</f>
        <v>7.155417527999327</v>
      </c>
      <c r="BE351" s="27"/>
      <c r="BG351" s="66" t="s">
        <v>288</v>
      </c>
      <c r="BH351" s="27">
        <f>BI262</f>
        <v>4.829906831399546</v>
      </c>
      <c r="BI351" s="66" t="s">
        <v>289</v>
      </c>
      <c r="BJ351" s="27">
        <f>L-BH351</f>
        <v>4.114365078599613</v>
      </c>
      <c r="BK351" s="27"/>
      <c r="BM351" s="66" t="s">
        <v>288</v>
      </c>
      <c r="BN351" s="27">
        <f>BO262</f>
        <v>5.795888197679452</v>
      </c>
      <c r="BO351" s="66" t="s">
        <v>289</v>
      </c>
      <c r="BP351" s="27">
        <f>L-BN351</f>
        <v>3.148383712319707</v>
      </c>
      <c r="BQ351" s="27"/>
      <c r="BS351" s="66" t="s">
        <v>288</v>
      </c>
      <c r="BT351" s="27">
        <f>BU262</f>
        <v>5.810199032735448</v>
      </c>
      <c r="BU351" s="66" t="s">
        <v>289</v>
      </c>
      <c r="BV351" s="27">
        <f>L-BT351</f>
        <v>3.134072877263711</v>
      </c>
      <c r="BW351" s="27"/>
      <c r="BY351" s="66" t="s">
        <v>288</v>
      </c>
      <c r="BZ351" s="27">
        <f>CA262</f>
        <v>5.827372034802647</v>
      </c>
      <c r="CA351" s="66" t="s">
        <v>289</v>
      </c>
      <c r="CB351" s="27">
        <f>L-BZ351</f>
        <v>3.116899875196512</v>
      </c>
      <c r="CC351" s="27"/>
    </row>
    <row r="352" spans="2:81" ht="18" customHeight="1">
      <c r="B352" s="133" t="s">
        <v>144</v>
      </c>
      <c r="C352" s="13" t="s">
        <v>404</v>
      </c>
      <c r="D352" s="3" t="str">
        <f>IF(Kh=0,"B/6=","B/3=")</f>
        <v>B/6=</v>
      </c>
      <c r="E352" s="268">
        <f>IF(P&gt;0,B/3,IF(Kh&gt;0,B/3,B/6))</f>
        <v>0.14900000000000002</v>
      </c>
      <c r="F352" s="11" t="s">
        <v>18</v>
      </c>
      <c r="G352" s="3" t="str">
        <f>IF(E352&lt;=H352,"&lt;","&gt;")</f>
        <v>&gt;</v>
      </c>
      <c r="H352" s="12">
        <f>ABS(D350)</f>
        <v>0.016</v>
      </c>
      <c r="I352" s="3" t="str">
        <f>IF(E352&gt;=H352,"SAFE","OUT")</f>
        <v>SAFE</v>
      </c>
      <c r="J352" s="3"/>
      <c r="K352" s="3"/>
      <c r="L352" s="3"/>
      <c r="M352" s="3"/>
      <c r="N352" s="3"/>
      <c r="O352" s="3"/>
      <c r="P352" s="3"/>
      <c r="Q352" s="3"/>
      <c r="BA352" s="67" t="s">
        <v>112</v>
      </c>
      <c r="BB352" s="68"/>
      <c r="BC352" s="69" t="s">
        <v>113</v>
      </c>
      <c r="BD352" s="70"/>
      <c r="BE352" s="67" t="s">
        <v>114</v>
      </c>
      <c r="BG352" s="67" t="s">
        <v>112</v>
      </c>
      <c r="BH352" s="68"/>
      <c r="BI352" s="69" t="s">
        <v>113</v>
      </c>
      <c r="BJ352" s="70"/>
      <c r="BK352" s="67" t="s">
        <v>114</v>
      </c>
      <c r="BM352" s="67" t="s">
        <v>112</v>
      </c>
      <c r="BN352" s="68"/>
      <c r="BO352" s="69" t="s">
        <v>113</v>
      </c>
      <c r="BP352" s="70"/>
      <c r="BQ352" s="67" t="s">
        <v>114</v>
      </c>
      <c r="BS352" s="67" t="s">
        <v>112</v>
      </c>
      <c r="BT352" s="68"/>
      <c r="BU352" s="69" t="s">
        <v>113</v>
      </c>
      <c r="BV352" s="70"/>
      <c r="BW352" s="67" t="s">
        <v>114</v>
      </c>
      <c r="BY352" s="67" t="s">
        <v>112</v>
      </c>
      <c r="BZ352" s="68"/>
      <c r="CA352" s="69" t="s">
        <v>113</v>
      </c>
      <c r="CB352" s="70"/>
      <c r="CC352" s="67" t="s">
        <v>114</v>
      </c>
    </row>
    <row r="353" spans="4:81" ht="18" customHeight="1">
      <c r="D353" s="3"/>
      <c r="G353" s="3"/>
      <c r="BA353" s="71">
        <f>-∑H</f>
        <v>-67.43628343669779</v>
      </c>
      <c r="BB353" s="72">
        <f>Kx*B+Kt*BD351*COS(-α)^2</f>
        <v>58746.55372904574</v>
      </c>
      <c r="BC353" s="72">
        <f>BB354</f>
        <v>20077.144306926555</v>
      </c>
      <c r="BD353" s="72">
        <f>BB355</f>
        <v>258874.698693511</v>
      </c>
      <c r="BE353" s="73" t="s">
        <v>174</v>
      </c>
      <c r="BG353" s="71">
        <f>-∑H</f>
        <v>-67.43628343669779</v>
      </c>
      <c r="BH353" s="72">
        <f>Kx*B+Kt*BJ351*COS(-α)^2</f>
        <v>41680.98106815817</v>
      </c>
      <c r="BI353" s="72">
        <f>BH354</f>
        <v>11544.35797648277</v>
      </c>
      <c r="BJ353" s="72">
        <f>BH355</f>
        <v>188103.76886881026</v>
      </c>
      <c r="BK353" s="73" t="s">
        <v>174</v>
      </c>
      <c r="BM353" s="71">
        <f>-∑H</f>
        <v>-67.43628343669779</v>
      </c>
      <c r="BN353" s="72">
        <f>Kx*B+Kt*BP351*COS(-α)^2</f>
        <v>36260.15210528803</v>
      </c>
      <c r="BO353" s="72">
        <f>BN354</f>
        <v>8833.943495047693</v>
      </c>
      <c r="BP353" s="72">
        <f>BN355</f>
        <v>153480.9342829586</v>
      </c>
      <c r="BQ353" s="73" t="s">
        <v>174</v>
      </c>
      <c r="BS353" s="71">
        <f>-∑H</f>
        <v>-67.43628343669779</v>
      </c>
      <c r="BT353" s="72">
        <f>Kx*B+Kt*BV351*COS(-α)^2</f>
        <v>36179.84352806033</v>
      </c>
      <c r="BU353" s="72">
        <f>BT354</f>
        <v>8793.789206433847</v>
      </c>
      <c r="BV353" s="72">
        <f>BT355</f>
        <v>152923.99429988457</v>
      </c>
      <c r="BW353" s="73" t="s">
        <v>174</v>
      </c>
      <c r="BY353" s="71">
        <f>-∑H</f>
        <v>-67.43628343669779</v>
      </c>
      <c r="BZ353" s="72">
        <f>Kx*B+Kt*CB351*COS(-α)^2</f>
        <v>36083.47323538708</v>
      </c>
      <c r="CA353" s="72">
        <f>BZ354</f>
        <v>8745.604060097221</v>
      </c>
      <c r="CB353" s="72">
        <f>BZ355</f>
        <v>152253.9702030445</v>
      </c>
      <c r="CC353" s="73" t="s">
        <v>174</v>
      </c>
    </row>
    <row r="354" spans="2:81" ht="18" customHeight="1">
      <c r="B354" s="132" t="s">
        <v>29</v>
      </c>
      <c r="D354" s="268">
        <f>B/6/d</f>
        <v>0.1117711184593923</v>
      </c>
      <c r="E354" s="3" t="str">
        <f>IF(D354&lt;=F354,"&lt;","&gt;")</f>
        <v>&lt;</v>
      </c>
      <c r="F354" s="52">
        <f>IF(P&gt;0,1,IF(Kh&gt;0,1,0.5))</f>
        <v>0.5</v>
      </c>
      <c r="G354" s="3"/>
      <c r="H354" s="3" t="str">
        <f>IF(D354&lt;=F354,"SAFE","OUT")</f>
        <v>SAFE</v>
      </c>
      <c r="BA354" s="71">
        <f>∑V</f>
        <v>160.68827713700023</v>
      </c>
      <c r="BB354" s="72">
        <f>Kt*BD351*SIN(-α)*COS(-α)</f>
        <v>20077.144306926555</v>
      </c>
      <c r="BC354" s="72">
        <f>Ky*B+Kt*BD351*SIN(-α)^2</f>
        <v>84407.63261423382</v>
      </c>
      <c r="BD354" s="72">
        <f>BC355</f>
        <v>162680.31937271994</v>
      </c>
      <c r="BE354" s="73" t="s">
        <v>175</v>
      </c>
      <c r="BG354" s="71">
        <f>∑V</f>
        <v>160.68827713700023</v>
      </c>
      <c r="BH354" s="72">
        <f>Kt*BJ351*SIN(-α)*COS(-α)</f>
        <v>11544.35797648277</v>
      </c>
      <c r="BI354" s="72">
        <f>Ky*B+Kt*BJ351*SIN(-α)^2</f>
        <v>80141.23944901193</v>
      </c>
      <c r="BJ354" s="72">
        <f>BI355</f>
        <v>127294.85446036956</v>
      </c>
      <c r="BK354" s="73" t="s">
        <v>175</v>
      </c>
      <c r="BM354" s="71">
        <f>∑V</f>
        <v>160.68827713700023</v>
      </c>
      <c r="BN354" s="72">
        <f>Kt*BP351*SIN(-α)*COS(-α)</f>
        <v>8833.943495047693</v>
      </c>
      <c r="BO354" s="72">
        <f>Ky*B+Kt*BP351*SIN(-α)^2</f>
        <v>78786.03220829439</v>
      </c>
      <c r="BP354" s="72">
        <f>BO355</f>
        <v>109983.43716744374</v>
      </c>
      <c r="BQ354" s="73" t="s">
        <v>175</v>
      </c>
      <c r="BS354" s="71">
        <f>∑V</f>
        <v>160.68827713700023</v>
      </c>
      <c r="BT354" s="72">
        <f>Kt*BV351*SIN(-α)*COS(-α)</f>
        <v>8793.789206433847</v>
      </c>
      <c r="BU354" s="72">
        <f>Ky*B+Kt*BV351*SIN(-α)^2</f>
        <v>78765.95506398747</v>
      </c>
      <c r="BV354" s="72">
        <f>BU355</f>
        <v>109704.96717590673</v>
      </c>
      <c r="BW354" s="73" t="s">
        <v>175</v>
      </c>
      <c r="BY354" s="71">
        <f>∑V</f>
        <v>160.68827713700023</v>
      </c>
      <c r="BZ354" s="72">
        <f>Kt*CB351*SIN(-α)*COS(-α)</f>
        <v>8745.604060097221</v>
      </c>
      <c r="CA354" s="72">
        <f>Ky*B+Kt*CB351*SIN(-α)^2</f>
        <v>78741.86249081916</v>
      </c>
      <c r="CB354" s="72">
        <f>CA355</f>
        <v>109369.9551274867</v>
      </c>
      <c r="CC354" s="73" t="s">
        <v>175</v>
      </c>
    </row>
    <row r="355" spans="7:81" ht="18" customHeight="1">
      <c r="G355" s="3"/>
      <c r="BA355" s="71">
        <f>∑M</f>
        <v>214.21055477861782</v>
      </c>
      <c r="BB355" s="72">
        <f>Kt*BD351*COS(-α)*(B*SIN(-α)+BB351+BD351/2)</f>
        <v>258874.698693511</v>
      </c>
      <c r="BC355" s="72">
        <f>1/2*Ky*B^2+Kt*BD351*SIN(-α)*(B*SIN(-α)+BB351+BD351/2)</f>
        <v>162680.31937271994</v>
      </c>
      <c r="BD355" s="72">
        <f>1/3*Ky*B^3+Kt*BD351*(B*SIN(-α)*(B*SIN(-α)+2*BB351+BD351)+BB351^2+BB351*BD351+BD351^2/3)</f>
        <v>1902934.1985530902</v>
      </c>
      <c r="BE355" s="74" t="s">
        <v>115</v>
      </c>
      <c r="BG355" s="71">
        <f>∑M</f>
        <v>214.21055477861782</v>
      </c>
      <c r="BH355" s="72">
        <f>Kt*BJ351*COS(-α)*(B*SIN(-α)+BH351+BJ351/2)</f>
        <v>188103.76886881026</v>
      </c>
      <c r="BI355" s="72">
        <f>1/2*Ky*B^2+Kt*BJ351*SIN(-α)*(B*SIN(-α)+BH351+BJ351/2)</f>
        <v>127294.85446036956</v>
      </c>
      <c r="BJ355" s="72">
        <f>1/3*Ky*B^3+Kt*BJ351*(B*SIN(-α)*(B*SIN(-α)+2*BH351+BJ351)+BH351^2+BH351*BJ351+BJ351^2/3)</f>
        <v>1593007.3175734016</v>
      </c>
      <c r="BK355" s="74" t="s">
        <v>115</v>
      </c>
      <c r="BM355" s="71">
        <f>∑M</f>
        <v>214.21055477861782</v>
      </c>
      <c r="BN355" s="72">
        <f>Kt*BP351*COS(-α)*(B*SIN(-α)+BN351+BP351/2)</f>
        <v>153480.9342829586</v>
      </c>
      <c r="BO355" s="72">
        <f>1/2*Ky*B^2+Kt*BP351*SIN(-α)*(B*SIN(-α)+BN351+BP351/2)</f>
        <v>109983.43716744374</v>
      </c>
      <c r="BP355" s="72">
        <f>1/3*Ky*B^3+Kt*BP351*(B*SIN(-α)*(B*SIN(-α)+2*BN351+BP351)+BN351^2+BN351*BP351+BP351^2/3)</f>
        <v>1371344.368498376</v>
      </c>
      <c r="BQ355" s="74" t="s">
        <v>115</v>
      </c>
      <c r="BS355" s="71">
        <f>∑M</f>
        <v>214.21055477861782</v>
      </c>
      <c r="BT355" s="72">
        <f>Kt*BV351*COS(-α)*(B*SIN(-α)+BT351+BV351/2)</f>
        <v>152923.99429988457</v>
      </c>
      <c r="BU355" s="72">
        <f>1/2*Ky*B^2+Kt*BV351*SIN(-α)*(B*SIN(-α)+BT351+BV351/2)</f>
        <v>109704.96717590673</v>
      </c>
      <c r="BV355" s="72">
        <f>1/3*Ky*B^3+Kt*BV351*(B*SIN(-α)*(B*SIN(-α)+2*BT351+BV351)+BT351^2+BT351*BV351+BV351^2/3)</f>
        <v>1367481.9880025077</v>
      </c>
      <c r="BW355" s="74" t="s">
        <v>115</v>
      </c>
      <c r="BY355" s="71">
        <f>∑M</f>
        <v>214.21055477861782</v>
      </c>
      <c r="BZ355" s="72">
        <f>Kt*CB351*COS(-α)*(B*SIN(-α)+BZ351+CB351/2)</f>
        <v>152253.9702030445</v>
      </c>
      <c r="CA355" s="72">
        <f>1/2*Ky*B^2+Kt*CB351*SIN(-α)*(B*SIN(-α)+BZ351+CB351/2)</f>
        <v>109369.9551274867</v>
      </c>
      <c r="CB355" s="72">
        <f>1/3*Ky*B^3+Kt*CB351*(B*SIN(-α)*(B*SIN(-α)+2*BZ351+CB351)+BZ351^2+BZ351*CB351+CB351^2/3)</f>
        <v>1362823.5755063223</v>
      </c>
      <c r="CC355" s="74" t="s">
        <v>115</v>
      </c>
    </row>
    <row r="356" spans="2:81" ht="18" customHeight="1">
      <c r="B356" s="132" t="s">
        <v>27</v>
      </c>
      <c r="G356" s="3"/>
      <c r="BA356" s="75" t="s">
        <v>116</v>
      </c>
      <c r="BB356" s="76" t="s">
        <v>176</v>
      </c>
      <c r="BC356" s="77">
        <f>INDEX(MMULT(MINVERSE(BB353:BD355),BA353:BA355),1)</f>
        <v>-0.003938294336629284</v>
      </c>
      <c r="BD356" s="78" t="s">
        <v>18</v>
      </c>
      <c r="BE356" s="78"/>
      <c r="BG356" s="75" t="s">
        <v>116</v>
      </c>
      <c r="BH356" s="76" t="s">
        <v>176</v>
      </c>
      <c r="BI356" s="77">
        <f>INDEX(MMULT(MINVERSE(BH353:BJ355),BG353:BG355),1)</f>
        <v>-0.004434962210190413</v>
      </c>
      <c r="BJ356" s="78" t="s">
        <v>18</v>
      </c>
      <c r="BK356" s="78"/>
      <c r="BM356" s="75" t="s">
        <v>116</v>
      </c>
      <c r="BN356" s="76" t="s">
        <v>176</v>
      </c>
      <c r="BO356" s="77">
        <f>INDEX(MMULT(MINVERSE(BN353:BP355),BM353:BM355),1)</f>
        <v>-0.004457035577877744</v>
      </c>
      <c r="BP356" s="78" t="s">
        <v>18</v>
      </c>
      <c r="BQ356" s="78"/>
      <c r="BS356" s="75" t="s">
        <v>116</v>
      </c>
      <c r="BT356" s="76" t="s">
        <v>176</v>
      </c>
      <c r="BU356" s="77">
        <f>INDEX(MMULT(MINVERSE(BT353:BV355),BS353:BS355),1)</f>
        <v>-0.0044570517603732904</v>
      </c>
      <c r="BV356" s="78" t="s">
        <v>18</v>
      </c>
      <c r="BW356" s="78"/>
      <c r="BY356" s="75" t="s">
        <v>116</v>
      </c>
      <c r="BZ356" s="76" t="s">
        <v>176</v>
      </c>
      <c r="CA356" s="77">
        <f>INDEX(MMULT(MINVERSE(BZ353:CB355),BY353:BY355),1)</f>
        <v>-0.004457061081060143</v>
      </c>
      <c r="CB356" s="78" t="s">
        <v>18</v>
      </c>
      <c r="CC356" s="78"/>
    </row>
    <row r="357" spans="3:81" ht="18" customHeight="1">
      <c r="C357" s="132" t="s">
        <v>145</v>
      </c>
      <c r="F357" s="13" t="s">
        <v>405</v>
      </c>
      <c r="G357" s="108">
        <f>G198</f>
        <v>394.04064394314526</v>
      </c>
      <c r="H357" s="11" t="s">
        <v>466</v>
      </c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BA357" s="78"/>
      <c r="BB357" s="76" t="s">
        <v>177</v>
      </c>
      <c r="BC357" s="77">
        <f>INDEX(MMULT(MINVERSE(BB353:BD355),BA353:BA355),2)</f>
        <v>0.001904773246436304</v>
      </c>
      <c r="BD357" s="78" t="s">
        <v>18</v>
      </c>
      <c r="BE357" s="78"/>
      <c r="BG357" s="78"/>
      <c r="BH357" s="76" t="s">
        <v>177</v>
      </c>
      <c r="BI357" s="77">
        <f>INDEX(MMULT(MINVERSE(BH353:BJ355),BG353:BG355),2)</f>
        <v>0.0018309100684377583</v>
      </c>
      <c r="BJ357" s="78" t="s">
        <v>18</v>
      </c>
      <c r="BK357" s="78"/>
      <c r="BM357" s="78"/>
      <c r="BN357" s="76" t="s">
        <v>177</v>
      </c>
      <c r="BO357" s="77">
        <f>INDEX(MMULT(MINVERSE(BN353:BP355),BM353:BM355),2)</f>
        <v>0.0018297419537359797</v>
      </c>
      <c r="BP357" s="78" t="s">
        <v>18</v>
      </c>
      <c r="BQ357" s="78"/>
      <c r="BS357" s="78"/>
      <c r="BT357" s="76" t="s">
        <v>177</v>
      </c>
      <c r="BU357" s="77">
        <f>INDEX(MMULT(MINVERSE(BT353:BV355),BS353:BS355),2)</f>
        <v>0.0018297422604563929</v>
      </c>
      <c r="BV357" s="78" t="s">
        <v>18</v>
      </c>
      <c r="BW357" s="78"/>
      <c r="BY357" s="78"/>
      <c r="BZ357" s="76" t="s">
        <v>177</v>
      </c>
      <c r="CA357" s="77">
        <f>INDEX(MMULT(MINVERSE(BZ353:CB355),BY353:BY355),2)</f>
        <v>0.0018297424576589941</v>
      </c>
      <c r="CB357" s="78" t="s">
        <v>18</v>
      </c>
      <c r="CC357" s="78"/>
    </row>
    <row r="358" spans="3:81" ht="18" customHeight="1">
      <c r="C358" s="132" t="s">
        <v>146</v>
      </c>
      <c r="F358" s="13" t="s">
        <v>406</v>
      </c>
      <c r="G358" s="108">
        <f>H198</f>
        <v>179.83008916452744</v>
      </c>
      <c r="H358" s="11" t="s">
        <v>466</v>
      </c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BA358" s="78"/>
      <c r="BB358" s="76" t="s">
        <v>293</v>
      </c>
      <c r="BC358" s="77">
        <f>INDEX(MMULT(MINVERSE(BB353:BD355),BA353:BA355),3)</f>
        <v>0.0004854956073517846</v>
      </c>
      <c r="BD358" s="78" t="s">
        <v>82</v>
      </c>
      <c r="BE358" s="78"/>
      <c r="BG358" s="78"/>
      <c r="BH358" s="76" t="s">
        <v>293</v>
      </c>
      <c r="BI358" s="77">
        <f>INDEX(MMULT(MINVERSE(BH353:BJ355),BG353:BG355),3)</f>
        <v>0.0005118483899097362</v>
      </c>
      <c r="BJ358" s="78" t="s">
        <v>82</v>
      </c>
      <c r="BK358" s="78"/>
      <c r="BM358" s="78"/>
      <c r="BN358" s="76" t="s">
        <v>293</v>
      </c>
      <c r="BO358" s="77">
        <f>INDEX(MMULT(MINVERSE(BN353:BP355),BM353:BM355),3)</f>
        <v>0.0005082889799340351</v>
      </c>
      <c r="BP358" s="78" t="s">
        <v>82</v>
      </c>
      <c r="BQ358" s="78"/>
      <c r="BS358" s="78"/>
      <c r="BT358" s="76" t="s">
        <v>293</v>
      </c>
      <c r="BU358" s="77">
        <f>INDEX(MMULT(MINVERSE(BT353:BV355),BS353:BS355),3)</f>
        <v>0.0005082837684522547</v>
      </c>
      <c r="BV358" s="78" t="s">
        <v>82</v>
      </c>
      <c r="BW358" s="78"/>
      <c r="BY358" s="78"/>
      <c r="BZ358" s="76" t="s">
        <v>293</v>
      </c>
      <c r="CA358" s="77">
        <f>INDEX(MMULT(MINVERSE(BZ353:CB355),BY353:BY355),3)</f>
        <v>0.0005082807208270689</v>
      </c>
      <c r="CB358" s="78" t="s">
        <v>82</v>
      </c>
      <c r="CC358" s="78"/>
    </row>
    <row r="359" spans="7:81" ht="18" customHeight="1">
      <c r="G359" s="3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BA359" s="27"/>
      <c r="BB359" s="145" t="s">
        <v>110</v>
      </c>
      <c r="BC359" s="27">
        <f>BC356*COS(-α)+(BC357+B*BC358)*SIN(-α)+BB351*BC358</f>
        <v>-0.0016080906129084653</v>
      </c>
      <c r="BD359" s="27"/>
      <c r="BE359" s="27"/>
      <c r="BG359" s="27"/>
      <c r="BH359" s="145" t="s">
        <v>110</v>
      </c>
      <c r="BI359" s="27">
        <f>BI356*COS(-α)+(BI357+B*BI358)*SIN(-α)+BH351*BI358</f>
        <v>-0.0004711213124730285</v>
      </c>
      <c r="BJ359" s="27"/>
      <c r="BK359" s="27"/>
      <c r="BM359" s="27"/>
      <c r="BN359" s="145" t="s">
        <v>110</v>
      </c>
      <c r="BO359" s="27">
        <f>BO356*COS(-α)+(BO357+B*BO358)*SIN(-α)+BN351*BO358</f>
        <v>-1.9003748741530657E-05</v>
      </c>
      <c r="BP359" s="27"/>
      <c r="BQ359" s="27"/>
      <c r="BS359" s="27"/>
      <c r="BT359" s="145" t="s">
        <v>110</v>
      </c>
      <c r="BU359" s="27">
        <f>BU356*COS(-α)+(BU357+B*BU358)*SIN(-α)+BT351*BU358</f>
        <v>-1.1776409226891323E-05</v>
      </c>
      <c r="BV359" s="27"/>
      <c r="BW359" s="27"/>
      <c r="BY359" s="27"/>
      <c r="BZ359" s="145" t="s">
        <v>110</v>
      </c>
      <c r="CA359" s="27">
        <f>CA356*COS(-α)+(CA357+B*CA358)*SIN(-α)+BZ351*CA358</f>
        <v>-3.074877618231605E-06</v>
      </c>
      <c r="CB359" s="27"/>
      <c r="CC359" s="27"/>
    </row>
    <row r="360" spans="4:43" ht="18" customHeight="1">
      <c r="D360" s="96">
        <f>IF(G358=0,"∞",G357/G358)</f>
        <v>2.191183053813845</v>
      </c>
      <c r="E360" s="3" t="str">
        <f>IF(D360&lt;=F360,"&lt;","&gt;")</f>
        <v>&gt;</v>
      </c>
      <c r="F360" s="270">
        <f>IF(P&gt;0,1.2,IF(Kh&gt;0,1.2,1.5))</f>
        <v>1.5</v>
      </c>
      <c r="G360" s="3"/>
      <c r="H360" s="3" t="str">
        <f>IF(D360&gt;=F360,"SAFE","OUT")</f>
        <v>SAFE</v>
      </c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</row>
    <row r="361" spans="18:81" ht="18" customHeight="1"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BA361" s="66" t="s">
        <v>288</v>
      </c>
      <c r="BB361" s="27">
        <f>BC263</f>
        <v>0.8944271909999162</v>
      </c>
      <c r="BC361" s="66" t="s">
        <v>289</v>
      </c>
      <c r="BD361" s="27">
        <f>L-BB361</f>
        <v>8.049844718999243</v>
      </c>
      <c r="BE361" s="27"/>
      <c r="BG361" s="66" t="s">
        <v>288</v>
      </c>
      <c r="BH361" s="27">
        <f>BI263</f>
        <v>4.651021393199563</v>
      </c>
      <c r="BI361" s="66" t="s">
        <v>289</v>
      </c>
      <c r="BJ361" s="27">
        <f>L-BH361</f>
        <v>4.2932505167995965</v>
      </c>
      <c r="BK361" s="27"/>
      <c r="BM361" s="66" t="s">
        <v>288</v>
      </c>
      <c r="BN361" s="27">
        <f>BO263</f>
        <v>5.760111110039455</v>
      </c>
      <c r="BO361" s="66" t="s">
        <v>289</v>
      </c>
      <c r="BP361" s="27">
        <f>L-BN361</f>
        <v>3.184160799959704</v>
      </c>
      <c r="BQ361" s="27"/>
      <c r="BS361" s="66" t="s">
        <v>288</v>
      </c>
      <c r="BT361" s="27">
        <f>BU263</f>
        <v>5.803043615207448</v>
      </c>
      <c r="BU361" s="66" t="s">
        <v>289</v>
      </c>
      <c r="BV361" s="27">
        <f>L-BT361</f>
        <v>3.141228294791711</v>
      </c>
      <c r="BW361" s="27"/>
      <c r="BY361" s="66" t="s">
        <v>288</v>
      </c>
      <c r="BZ361" s="27">
        <f>CA263</f>
        <v>5.8259409512970475</v>
      </c>
      <c r="CA361" s="66" t="s">
        <v>289</v>
      </c>
      <c r="CB361" s="27">
        <f>L-BZ361</f>
        <v>3.1183309587021117</v>
      </c>
      <c r="CC361" s="27"/>
    </row>
    <row r="362" spans="1:81" ht="18" customHeight="1">
      <c r="A362" s="199" t="s">
        <v>511</v>
      </c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BA362" s="67" t="s">
        <v>112</v>
      </c>
      <c r="BB362" s="68"/>
      <c r="BC362" s="69" t="s">
        <v>113</v>
      </c>
      <c r="BD362" s="70"/>
      <c r="BE362" s="67" t="s">
        <v>114</v>
      </c>
      <c r="BG362" s="67" t="s">
        <v>112</v>
      </c>
      <c r="BH362" s="68"/>
      <c r="BI362" s="69" t="s">
        <v>113</v>
      </c>
      <c r="BJ362" s="70"/>
      <c r="BK362" s="67" t="s">
        <v>114</v>
      </c>
      <c r="BM362" s="67" t="s">
        <v>112</v>
      </c>
      <c r="BN362" s="68"/>
      <c r="BO362" s="69" t="s">
        <v>113</v>
      </c>
      <c r="BP362" s="70"/>
      <c r="BQ362" s="67" t="s">
        <v>114</v>
      </c>
      <c r="BS362" s="67" t="s">
        <v>112</v>
      </c>
      <c r="BT362" s="68"/>
      <c r="BU362" s="69" t="s">
        <v>113</v>
      </c>
      <c r="BV362" s="70"/>
      <c r="BW362" s="67" t="s">
        <v>114</v>
      </c>
      <c r="BY362" s="67" t="s">
        <v>112</v>
      </c>
      <c r="BZ362" s="68"/>
      <c r="CA362" s="69" t="s">
        <v>113</v>
      </c>
      <c r="CB362" s="70"/>
      <c r="CC362" s="67" t="s">
        <v>114</v>
      </c>
    </row>
    <row r="363" spans="2:81" ht="18" customHeight="1">
      <c r="B363" s="133" t="s">
        <v>96</v>
      </c>
      <c r="C363" s="133" t="s">
        <v>299</v>
      </c>
      <c r="D363" s="108">
        <f>∑V</f>
        <v>160.68827713700023</v>
      </c>
      <c r="E363" s="11" t="s">
        <v>65</v>
      </c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BA363" s="71">
        <f>-∑H</f>
        <v>-67.43628343669779</v>
      </c>
      <c r="BB363" s="72">
        <f>Kx*B+Kt*BD361*COS(-α)^2</f>
        <v>63765.83980577739</v>
      </c>
      <c r="BC363" s="72">
        <f>BB364</f>
        <v>22586.787345292374</v>
      </c>
      <c r="BD363" s="72">
        <f>BB365</f>
        <v>268647.2486849075</v>
      </c>
      <c r="BE363" s="73" t="s">
        <v>174</v>
      </c>
      <c r="BG363" s="71">
        <f>-∑H</f>
        <v>-67.43628343669779</v>
      </c>
      <c r="BH363" s="72">
        <f>Kx*B+Kt*BJ361*COS(-α)^2</f>
        <v>42684.838283504505</v>
      </c>
      <c r="BI363" s="72">
        <f>BH364</f>
        <v>12046.286584155932</v>
      </c>
      <c r="BJ363" s="72">
        <f>BH365</f>
        <v>193872.9362854056</v>
      </c>
      <c r="BK363" s="73" t="s">
        <v>174</v>
      </c>
      <c r="BM363" s="71">
        <f>-∑H</f>
        <v>-67.43628343669779</v>
      </c>
      <c r="BN363" s="72">
        <f>Kx*B+Kt*BP361*COS(-α)^2</f>
        <v>36460.92354835729</v>
      </c>
      <c r="BO363" s="72">
        <f>BN364</f>
        <v>8934.329216582328</v>
      </c>
      <c r="BP363" s="72">
        <f>BN365</f>
        <v>154867.66264023806</v>
      </c>
      <c r="BQ363" s="73" t="s">
        <v>174</v>
      </c>
      <c r="BS363" s="71">
        <f>-∑H</f>
        <v>-67.43628343669779</v>
      </c>
      <c r="BT363" s="72">
        <f>Kx*B+Kt*BV361*COS(-α)^2</f>
        <v>36219.99781667419</v>
      </c>
      <c r="BU363" s="72">
        <f>BT364</f>
        <v>8813.866350740776</v>
      </c>
      <c r="BV363" s="72">
        <f>BT365</f>
        <v>153202.6249085761</v>
      </c>
      <c r="BW363" s="73" t="s">
        <v>174</v>
      </c>
      <c r="BY363" s="71">
        <f>-∑H</f>
        <v>-67.43628343669779</v>
      </c>
      <c r="BZ363" s="72">
        <f>Kx*B+Kt*CB361*COS(-α)^2</f>
        <v>36091.50409310985</v>
      </c>
      <c r="CA363" s="72">
        <f>BZ364</f>
        <v>8749.619488958606</v>
      </c>
      <c r="CB363" s="72">
        <f>BZ365</f>
        <v>152309.87621599578</v>
      </c>
      <c r="CC363" s="73" t="s">
        <v>174</v>
      </c>
    </row>
    <row r="364" spans="2:81" ht="18" customHeight="1">
      <c r="B364" s="133" t="s">
        <v>97</v>
      </c>
      <c r="C364" s="133" t="s">
        <v>300</v>
      </c>
      <c r="D364" s="108">
        <f>∑H</f>
        <v>67.43628343669779</v>
      </c>
      <c r="E364" s="11" t="s">
        <v>65</v>
      </c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BA364" s="71">
        <f>∑V</f>
        <v>160.68827713700023</v>
      </c>
      <c r="BB364" s="72">
        <f>Kt*BD361*SIN(-α)*COS(-α)</f>
        <v>22586.787345292374</v>
      </c>
      <c r="BC364" s="72">
        <f>Ky*B+Kt*BD361*SIN(-α)^2</f>
        <v>85662.45413341673</v>
      </c>
      <c r="BD364" s="72">
        <f>BC365</f>
        <v>167566.59436841818</v>
      </c>
      <c r="BE364" s="73" t="s">
        <v>175</v>
      </c>
      <c r="BG364" s="71">
        <f>∑V</f>
        <v>160.68827713700023</v>
      </c>
      <c r="BH364" s="72">
        <f>Kt*BJ361*SIN(-α)*COS(-α)</f>
        <v>12046.286584155932</v>
      </c>
      <c r="BI364" s="72">
        <f>Ky*B+Kt*BJ361*SIN(-α)^2</f>
        <v>80392.20375284851</v>
      </c>
      <c r="BJ364" s="72">
        <f>BI365</f>
        <v>130179.43816866723</v>
      </c>
      <c r="BK364" s="73" t="s">
        <v>175</v>
      </c>
      <c r="BM364" s="71">
        <f>∑V</f>
        <v>160.68827713700023</v>
      </c>
      <c r="BN364" s="72">
        <f>Kt*BP361*SIN(-α)*COS(-α)</f>
        <v>8934.329216582328</v>
      </c>
      <c r="BO364" s="72">
        <f>Ky*B+Kt*BP361*SIN(-α)^2</f>
        <v>78836.22506906171</v>
      </c>
      <c r="BP364" s="72">
        <f>BO365</f>
        <v>110676.80134608346</v>
      </c>
      <c r="BQ364" s="73" t="s">
        <v>175</v>
      </c>
      <c r="BS364" s="71">
        <f>∑V</f>
        <v>160.68827713700023</v>
      </c>
      <c r="BT364" s="72">
        <f>Kt*BV361*SIN(-α)*COS(-α)</f>
        <v>8813.866350740776</v>
      </c>
      <c r="BU364" s="72">
        <f>Ky*B+Kt*BV361*SIN(-α)^2</f>
        <v>78775.99363614093</v>
      </c>
      <c r="BV364" s="72">
        <f>BU365</f>
        <v>109844.2824802525</v>
      </c>
      <c r="BW364" s="73" t="s">
        <v>175</v>
      </c>
      <c r="BY364" s="71">
        <f>∑V</f>
        <v>160.68827713700023</v>
      </c>
      <c r="BZ364" s="72">
        <f>Kt*CB361*SIN(-α)*COS(-α)</f>
        <v>8749.619488958606</v>
      </c>
      <c r="CA364" s="72">
        <f>Ky*B+Kt*CB361*SIN(-α)^2</f>
        <v>78743.87020524986</v>
      </c>
      <c r="CB364" s="72">
        <f>CA365</f>
        <v>109397.90813396234</v>
      </c>
      <c r="CC364" s="73" t="s">
        <v>175</v>
      </c>
    </row>
    <row r="365" spans="2:81" ht="18" customHeight="1">
      <c r="B365" s="133" t="s">
        <v>51</v>
      </c>
      <c r="C365" s="133" t="s">
        <v>301</v>
      </c>
      <c r="D365" s="3">
        <f>μ</f>
        <v>0.6</v>
      </c>
      <c r="BA365" s="71">
        <f>∑M</f>
        <v>214.21055477861782</v>
      </c>
      <c r="BB365" s="72">
        <f>Kt*BD361*COS(-α)*(B*SIN(-α)+BB361+BD361/2)</f>
        <v>268647.2486849075</v>
      </c>
      <c r="BC365" s="72">
        <f>1/2*Ky*B^2+Kt*BD361*SIN(-α)*(B*SIN(-α)+BB361+BD361/2)</f>
        <v>167566.59436841818</v>
      </c>
      <c r="BD365" s="72">
        <f>1/3*Ky*B^3+Kt*BD361*(B*SIN(-α)*(B*SIN(-α)+2*BB361+BD361)+BB361^2+BB361*BD361+BD361^2/3)</f>
        <v>1922379.627226067</v>
      </c>
      <c r="BE365" s="74" t="s">
        <v>115</v>
      </c>
      <c r="BG365" s="71">
        <f>∑M</f>
        <v>214.21055477861782</v>
      </c>
      <c r="BH365" s="72">
        <f>Kt*BJ361*COS(-α)*(B*SIN(-α)+BH361+BJ361/2)</f>
        <v>193872.9362854056</v>
      </c>
      <c r="BI365" s="72">
        <f>1/2*Ky*B^2+Kt*BJ361*SIN(-α)*(B*SIN(-α)+BH361+BJ361/2)</f>
        <v>130179.43816866723</v>
      </c>
      <c r="BJ365" s="72">
        <f>1/3*Ky*B^3+Kt*BJ361*(B*SIN(-α)*(B*SIN(-α)+2*BH361+BJ361)+BH361^2+BH361*BJ361+BJ361^2/3)</f>
        <v>1626166.0689072928</v>
      </c>
      <c r="BK365" s="74" t="s">
        <v>115</v>
      </c>
      <c r="BM365" s="71">
        <f>∑M</f>
        <v>214.21055477861782</v>
      </c>
      <c r="BN365" s="72">
        <f>Kt*BP361*COS(-α)*(B*SIN(-α)+BN361+BP361/2)</f>
        <v>154867.66264023806</v>
      </c>
      <c r="BO365" s="72">
        <f>1/2*Ky*B^2+Kt*BP361*SIN(-α)*(B*SIN(-α)+BN361+BP361/2)</f>
        <v>110676.80134608346</v>
      </c>
      <c r="BP365" s="72">
        <f>1/3*Ky*B^3+Kt*BP361*(B*SIN(-α)*(B*SIN(-α)+2*BN361+BP361)+BN361^2+BN361*BP361+BP361^2/3)</f>
        <v>1380922.528031631</v>
      </c>
      <c r="BQ365" s="74" t="s">
        <v>115</v>
      </c>
      <c r="BS365" s="71">
        <f>∑M</f>
        <v>214.21055477861782</v>
      </c>
      <c r="BT365" s="72">
        <f>Kt*BV361*COS(-α)*(B*SIN(-α)+BT361+BV361/2)</f>
        <v>153202.6249085761</v>
      </c>
      <c r="BU365" s="72">
        <f>1/2*Ky*B^2+Kt*BV361*SIN(-α)*(B*SIN(-α)+BT361+BV361/2)</f>
        <v>109844.2824802525</v>
      </c>
      <c r="BV365" s="72">
        <f>1/3*Ky*B^3+Kt*BV361*(B*SIN(-α)*(B*SIN(-α)+2*BT361+BV361)+BT361^2+BT361*BV361+BV361^2/3)</f>
        <v>1369415.4060103747</v>
      </c>
      <c r="BW365" s="74" t="s">
        <v>115</v>
      </c>
      <c r="BY365" s="71">
        <f>∑M</f>
        <v>214.21055477861782</v>
      </c>
      <c r="BZ365" s="72">
        <f>Kt*CB361*COS(-α)*(B*SIN(-α)+BZ361+CB361/2)</f>
        <v>152309.87621599578</v>
      </c>
      <c r="CA365" s="72">
        <f>1/2*Ky*B^2+Kt*CB361*SIN(-α)*(B*SIN(-α)+BZ361+CB361/2)</f>
        <v>109397.90813396234</v>
      </c>
      <c r="CB365" s="72">
        <f>1/3*Ky*B^3+Kt*CB361*(B*SIN(-α)*(B*SIN(-α)+2*BZ361+CB361)+BZ361^2+BZ361*CB361+CB361^2/3)</f>
        <v>1363212.7596265948</v>
      </c>
      <c r="CC365" s="74" t="s">
        <v>115</v>
      </c>
    </row>
    <row r="366" spans="2:81" ht="18" customHeight="1">
      <c r="B366" s="133" t="s">
        <v>147</v>
      </c>
      <c r="C366" s="17"/>
      <c r="D366" s="3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BA366" s="75" t="s">
        <v>116</v>
      </c>
      <c r="BB366" s="76" t="s">
        <v>176</v>
      </c>
      <c r="BC366" s="77">
        <f>INDEX(MMULT(MINVERSE(BB363:BD365),BA363:BA365),1)</f>
        <v>-0.0036512727702064153</v>
      </c>
      <c r="BD366" s="78" t="s">
        <v>18</v>
      </c>
      <c r="BE366" s="78"/>
      <c r="BG366" s="75" t="s">
        <v>116</v>
      </c>
      <c r="BH366" s="76" t="s">
        <v>176</v>
      </c>
      <c r="BI366" s="77">
        <f>INDEX(MMULT(MINVERSE(BH363:BJ365),BG363:BG365),1)</f>
        <v>-0.00442547639274425</v>
      </c>
      <c r="BJ366" s="78" t="s">
        <v>18</v>
      </c>
      <c r="BK366" s="78"/>
      <c r="BM366" s="75" t="s">
        <v>116</v>
      </c>
      <c r="BN366" s="76" t="s">
        <v>176</v>
      </c>
      <c r="BO366" s="77">
        <f>INDEX(MMULT(MINVERSE(BN363:BP365),BM363:BM365),1)</f>
        <v>-0.004456961249506055</v>
      </c>
      <c r="BP366" s="78" t="s">
        <v>18</v>
      </c>
      <c r="BQ366" s="78"/>
      <c r="BS366" s="75" t="s">
        <v>116</v>
      </c>
      <c r="BT366" s="76" t="s">
        <v>176</v>
      </c>
      <c r="BU366" s="77">
        <f>INDEX(MMULT(MINVERSE(BT363:BV365),BS363:BS365),1)</f>
        <v>-0.004457044629552418</v>
      </c>
      <c r="BV366" s="78" t="s">
        <v>18</v>
      </c>
      <c r="BW366" s="78"/>
      <c r="BY366" s="75" t="s">
        <v>116</v>
      </c>
      <c r="BZ366" s="76" t="s">
        <v>176</v>
      </c>
      <c r="CA366" s="77">
        <f>INDEX(MMULT(MINVERSE(BZ363:CB365),BY363:BY365),1)</f>
        <v>-0.004457060722847683</v>
      </c>
      <c r="CB366" s="78" t="s">
        <v>18</v>
      </c>
      <c r="CC366" s="78"/>
    </row>
    <row r="367" spans="2:81" ht="18" customHeight="1">
      <c r="B367" s="17"/>
      <c r="C367" s="66" t="s">
        <v>302</v>
      </c>
      <c r="D367" s="24">
        <f>Df</f>
        <v>0</v>
      </c>
      <c r="E367" s="27" t="s">
        <v>18</v>
      </c>
      <c r="F367" s="144" t="s">
        <v>303</v>
      </c>
      <c r="G367" s="24">
        <f>γ1</f>
        <v>18</v>
      </c>
      <c r="H367" s="27" t="s">
        <v>304</v>
      </c>
      <c r="BA367" s="78"/>
      <c r="BB367" s="76" t="s">
        <v>177</v>
      </c>
      <c r="BC367" s="77">
        <f>INDEX(MMULT(MINVERSE(BB363:BD365),BA363:BA365),2)</f>
        <v>0.001955985878347902</v>
      </c>
      <c r="BD367" s="78" t="s">
        <v>18</v>
      </c>
      <c r="BE367" s="78"/>
      <c r="BG367" s="78"/>
      <c r="BH367" s="76" t="s">
        <v>177</v>
      </c>
      <c r="BI367" s="77">
        <f>INDEX(MMULT(MINVERSE(BH363:BJ365),BG363:BG365),2)</f>
        <v>0.0018317140802321815</v>
      </c>
      <c r="BJ367" s="78" t="s">
        <v>18</v>
      </c>
      <c r="BK367" s="78"/>
      <c r="BM367" s="78"/>
      <c r="BN367" s="76" t="s">
        <v>177</v>
      </c>
      <c r="BO367" s="77">
        <f>INDEX(MMULT(MINVERSE(BN363:BP365),BM363:BM365),2)</f>
        <v>0.001829740834714905</v>
      </c>
      <c r="BP367" s="78" t="s">
        <v>18</v>
      </c>
      <c r="BQ367" s="78"/>
      <c r="BS367" s="78"/>
      <c r="BT367" s="76" t="s">
        <v>177</v>
      </c>
      <c r="BU367" s="77">
        <f>INDEX(MMULT(MINVERSE(BT363:BV365),BS363:BS365),2)</f>
        <v>0.001829742121048276</v>
      </c>
      <c r="BV367" s="78" t="s">
        <v>18</v>
      </c>
      <c r="BW367" s="78"/>
      <c r="BY367" s="78"/>
      <c r="BZ367" s="76" t="s">
        <v>177</v>
      </c>
      <c r="CA367" s="77">
        <f>INDEX(MMULT(MINVERSE(BZ363:CB365),BY363:BY365),2)</f>
        <v>0.0018297424495603103</v>
      </c>
      <c r="CB367" s="78" t="s">
        <v>18</v>
      </c>
      <c r="CC367" s="78"/>
    </row>
    <row r="368" spans="2:81" ht="18" customHeight="1">
      <c r="B368" s="17"/>
      <c r="C368" s="144" t="s">
        <v>305</v>
      </c>
      <c r="D368" s="24">
        <f>φ1</f>
        <v>30</v>
      </c>
      <c r="E368" s="145" t="s">
        <v>40</v>
      </c>
      <c r="F368" s="66" t="s">
        <v>306</v>
      </c>
      <c r="G368" s="24">
        <f>cuf</f>
        <v>10</v>
      </c>
      <c r="H368" s="25" t="s">
        <v>307</v>
      </c>
      <c r="BA368" s="78"/>
      <c r="BB368" s="76" t="s">
        <v>293</v>
      </c>
      <c r="BC368" s="77">
        <f>INDEX(MMULT(MINVERSE(BB363:BD365),BA363:BA365),3)</f>
        <v>0.0004511892625895039</v>
      </c>
      <c r="BD368" s="78" t="s">
        <v>82</v>
      </c>
      <c r="BE368" s="78"/>
      <c r="BG368" s="78"/>
      <c r="BH368" s="76" t="s">
        <v>293</v>
      </c>
      <c r="BI368" s="77">
        <f>INDEX(MMULT(MINVERSE(BH363:BJ365),BG363:BG365),3)</f>
        <v>0.0005127023393199082</v>
      </c>
      <c r="BJ368" s="78" t="s">
        <v>82</v>
      </c>
      <c r="BK368" s="78"/>
      <c r="BM368" s="78"/>
      <c r="BN368" s="76" t="s">
        <v>293</v>
      </c>
      <c r="BO368" s="77">
        <f>INDEX(MMULT(MINVERSE(BN363:BP365),BM363:BM365),3)</f>
        <v>0.0005083122686757259</v>
      </c>
      <c r="BP368" s="78" t="s">
        <v>82</v>
      </c>
      <c r="BQ368" s="78"/>
      <c r="BS368" s="78"/>
      <c r="BT368" s="76" t="s">
        <v>293</v>
      </c>
      <c r="BU368" s="77">
        <f>INDEX(MMULT(MINVERSE(BT363:BV365),BS363:BS365),3)</f>
        <v>0.0005082860744046603</v>
      </c>
      <c r="BV368" s="78" t="s">
        <v>82</v>
      </c>
      <c r="BW368" s="78"/>
      <c r="BY368" s="78"/>
      <c r="BZ368" s="76" t="s">
        <v>293</v>
      </c>
      <c r="CA368" s="77">
        <f>INDEX(MMULT(MINVERSE(BZ363:CB365),BY363:BY365),3)</f>
        <v>0.0005082808391161992</v>
      </c>
      <c r="CB368" s="78" t="s">
        <v>82</v>
      </c>
      <c r="CC368" s="78"/>
    </row>
    <row r="369" spans="2:81" ht="18" customHeight="1">
      <c r="B369" s="17"/>
      <c r="BA369" s="27"/>
      <c r="BB369" s="145" t="s">
        <v>110</v>
      </c>
      <c r="BC369" s="27">
        <f>BC366*COS(-α)+(BC367+B*BC368)*SIN(-α)+BB361*BC368</f>
        <v>-0.001807108717977821</v>
      </c>
      <c r="BD369" s="27"/>
      <c r="BE369" s="27"/>
      <c r="BG369" s="27"/>
      <c r="BH369" s="145" t="s">
        <v>110</v>
      </c>
      <c r="BI369" s="27">
        <f>BI366*COS(-α)+(BI367+B*BI368)*SIN(-α)+BH361*BI368</f>
        <v>-0.0005495264443396782</v>
      </c>
      <c r="BJ369" s="27"/>
      <c r="BK369" s="27"/>
      <c r="BM369" s="27"/>
      <c r="BN369" s="145" t="s">
        <v>110</v>
      </c>
      <c r="BO369" s="27">
        <f>BO366*COS(-α)+(BO367+B*BO368)*SIN(-α)+BN361*BO368</f>
        <v>-3.697941046059642E-05</v>
      </c>
      <c r="BP369" s="27"/>
      <c r="BQ369" s="27"/>
      <c r="BS369" s="27"/>
      <c r="BT369" s="145" t="s">
        <v>110</v>
      </c>
      <c r="BU369" s="27">
        <f>BU366*COS(-α)+(BU367+B*BU368)*SIN(-α)+BT361*BU368</f>
        <v>-1.5392772675191114E-05</v>
      </c>
      <c r="BV369" s="27"/>
      <c r="BW369" s="27"/>
      <c r="BY369" s="27"/>
      <c r="BZ369" s="145" t="s">
        <v>110</v>
      </c>
      <c r="CA369" s="27">
        <f>CA366*COS(-α)+(CA367+B*CA368)*SIN(-α)+BZ361*CA368</f>
        <v>-3.801216562356914E-06</v>
      </c>
      <c r="CB369" s="27"/>
      <c r="CC369" s="27"/>
    </row>
    <row r="370" spans="2:5" ht="18" customHeight="1">
      <c r="B370" s="17"/>
      <c r="D370" s="17"/>
      <c r="E370" s="108">
        <f>(TAN(PI()/4+D368*PI()/180/2))^2</f>
        <v>2.9999999999999982</v>
      </c>
    </row>
    <row r="371" spans="2:81" ht="18" customHeight="1">
      <c r="B371" s="17"/>
      <c r="C371" s="17"/>
      <c r="BA371" s="66" t="s">
        <v>288</v>
      </c>
      <c r="BB371" s="27">
        <f>BC264</f>
        <v>0</v>
      </c>
      <c r="BC371" s="66" t="s">
        <v>289</v>
      </c>
      <c r="BD371" s="27">
        <f>L-BB371</f>
        <v>8.94427190999916</v>
      </c>
      <c r="BE371" s="27"/>
      <c r="BG371" s="66" t="s">
        <v>288</v>
      </c>
      <c r="BH371" s="27">
        <f>BI264</f>
        <v>4.47213595499958</v>
      </c>
      <c r="BI371" s="66" t="s">
        <v>289</v>
      </c>
      <c r="BJ371" s="27">
        <f>L-BH371</f>
        <v>4.47213595499958</v>
      </c>
      <c r="BK371" s="27"/>
      <c r="BM371" s="66" t="s">
        <v>288</v>
      </c>
      <c r="BN371" s="27">
        <f>BO264</f>
        <v>5.724334022399458</v>
      </c>
      <c r="BO371" s="66" t="s">
        <v>289</v>
      </c>
      <c r="BP371" s="27">
        <f>L-BN371</f>
        <v>3.219937887599701</v>
      </c>
      <c r="BQ371" s="27"/>
      <c r="BS371" s="66" t="s">
        <v>288</v>
      </c>
      <c r="BT371" s="27">
        <f>BU264</f>
        <v>5.7958881976794485</v>
      </c>
      <c r="BU371" s="66" t="s">
        <v>289</v>
      </c>
      <c r="BV371" s="27">
        <f>L-BT371</f>
        <v>3.1483837123197107</v>
      </c>
      <c r="BW371" s="27"/>
      <c r="BY371" s="66" t="s">
        <v>288</v>
      </c>
      <c r="BZ371" s="27">
        <f>CA264</f>
        <v>5.8245098677914475</v>
      </c>
      <c r="CA371" s="66" t="s">
        <v>289</v>
      </c>
      <c r="CB371" s="27">
        <f>L-BZ371</f>
        <v>3.1197620422077117</v>
      </c>
      <c r="CC371" s="27"/>
    </row>
    <row r="372" spans="2:81" ht="18" customHeight="1">
      <c r="B372" s="17"/>
      <c r="C372" s="17"/>
      <c r="E372" s="17"/>
      <c r="F372" s="268">
        <f>0.5*γ1*Df^2*E370+2*G368*D367*(E370)^0.5</f>
        <v>0</v>
      </c>
      <c r="G372" s="11" t="s">
        <v>65</v>
      </c>
      <c r="BA372" s="67" t="s">
        <v>112</v>
      </c>
      <c r="BB372" s="68"/>
      <c r="BC372" s="69" t="s">
        <v>113</v>
      </c>
      <c r="BD372" s="70"/>
      <c r="BE372" s="67" t="s">
        <v>114</v>
      </c>
      <c r="BG372" s="67" t="s">
        <v>112</v>
      </c>
      <c r="BH372" s="68"/>
      <c r="BI372" s="69" t="s">
        <v>113</v>
      </c>
      <c r="BJ372" s="70"/>
      <c r="BK372" s="67" t="s">
        <v>114</v>
      </c>
      <c r="BM372" s="67" t="s">
        <v>112</v>
      </c>
      <c r="BN372" s="68"/>
      <c r="BO372" s="69" t="s">
        <v>113</v>
      </c>
      <c r="BP372" s="70"/>
      <c r="BQ372" s="67" t="s">
        <v>114</v>
      </c>
      <c r="BS372" s="67" t="s">
        <v>112</v>
      </c>
      <c r="BT372" s="68"/>
      <c r="BU372" s="69" t="s">
        <v>113</v>
      </c>
      <c r="BV372" s="70"/>
      <c r="BW372" s="67" t="s">
        <v>114</v>
      </c>
      <c r="BY372" s="67" t="s">
        <v>112</v>
      </c>
      <c r="BZ372" s="68"/>
      <c r="CA372" s="69" t="s">
        <v>113</v>
      </c>
      <c r="CB372" s="70"/>
      <c r="CC372" s="67" t="s">
        <v>114</v>
      </c>
    </row>
    <row r="373" spans="2:81" ht="18" customHeight="1">
      <c r="B373" s="17"/>
      <c r="C373" s="17"/>
      <c r="BA373" s="71">
        <f>-∑H</f>
        <v>-67.43628343669779</v>
      </c>
      <c r="BB373" s="72">
        <f>Kx*B+Kt*BD371*COS(-α)^2</f>
        <v>68785.12588250902</v>
      </c>
      <c r="BC373" s="72">
        <f>BB374</f>
        <v>25096.430383658193</v>
      </c>
      <c r="BD373" s="72">
        <f>BB375</f>
        <v>273400.51259957236</v>
      </c>
      <c r="BE373" s="73" t="s">
        <v>174</v>
      </c>
      <c r="BG373" s="71">
        <f>-∑H</f>
        <v>-67.43628343669779</v>
      </c>
      <c r="BH373" s="72">
        <f>Kx*B+Kt*BJ371*COS(-α)^2</f>
        <v>43688.69549885083</v>
      </c>
      <c r="BI373" s="72">
        <f>BH374</f>
        <v>12548.215191829097</v>
      </c>
      <c r="BJ373" s="72">
        <f>BH375</f>
        <v>199441.33225893168</v>
      </c>
      <c r="BK373" s="73" t="s">
        <v>174</v>
      </c>
      <c r="BM373" s="71">
        <f>-∑H</f>
        <v>-67.43628343669779</v>
      </c>
      <c r="BN373" s="72">
        <f>Kx*B+Kt*BP371*COS(-α)^2</f>
        <v>36661.69499142656</v>
      </c>
      <c r="BO373" s="72">
        <f>BN374</f>
        <v>9034.714938116962</v>
      </c>
      <c r="BP373" s="72">
        <f>BN375</f>
        <v>156246.3601397947</v>
      </c>
      <c r="BQ373" s="73" t="s">
        <v>174</v>
      </c>
      <c r="BS373" s="71">
        <f>-∑H</f>
        <v>-67.43628343669779</v>
      </c>
      <c r="BT373" s="72">
        <f>Kx*B+Kt*BV371*COS(-α)^2</f>
        <v>36260.15210528804</v>
      </c>
      <c r="BU373" s="72">
        <f>BT374</f>
        <v>8833.943495047703</v>
      </c>
      <c r="BV373" s="72">
        <f>BT375</f>
        <v>153480.93428295874</v>
      </c>
      <c r="BW373" s="73" t="s">
        <v>174</v>
      </c>
      <c r="BY373" s="71">
        <f>-∑H</f>
        <v>-67.43628343669779</v>
      </c>
      <c r="BZ373" s="72">
        <f>Kx*B+Kt*CB371*COS(-α)^2</f>
        <v>36099.53495083262</v>
      </c>
      <c r="CA373" s="72">
        <f>BZ374</f>
        <v>8753.634917819993</v>
      </c>
      <c r="CB373" s="72">
        <f>BZ375</f>
        <v>152365.76937957475</v>
      </c>
      <c r="CC373" s="73" t="s">
        <v>174</v>
      </c>
    </row>
    <row r="374" spans="2:81" ht="18" customHeight="1">
      <c r="B374" s="13"/>
      <c r="BA374" s="71">
        <f>∑V</f>
        <v>160.68827713700023</v>
      </c>
      <c r="BB374" s="72">
        <f>Kt*BD371*SIN(-α)*COS(-α)</f>
        <v>25096.430383658193</v>
      </c>
      <c r="BC374" s="72">
        <f>Ky*B+Kt*BD371*SIN(-α)^2</f>
        <v>86917.27565259964</v>
      </c>
      <c r="BD374" s="72">
        <f>BC375</f>
        <v>169943.2263257506</v>
      </c>
      <c r="BE374" s="73" t="s">
        <v>175</v>
      </c>
      <c r="BG374" s="71">
        <f>∑V</f>
        <v>160.68827713700023</v>
      </c>
      <c r="BH374" s="72">
        <f>Kt*BJ371*SIN(-α)*COS(-α)</f>
        <v>12548.215191829097</v>
      </c>
      <c r="BI374" s="72">
        <f>Ky*B+Kt*BJ371*SIN(-α)^2</f>
        <v>80643.1680566851</v>
      </c>
      <c r="BJ374" s="72">
        <f>BI375</f>
        <v>132963.6361554303</v>
      </c>
      <c r="BK374" s="73" t="s">
        <v>175</v>
      </c>
      <c r="BM374" s="71">
        <f>∑V</f>
        <v>160.68827713700023</v>
      </c>
      <c r="BN374" s="72">
        <f>Kt*BP371*SIN(-α)*COS(-α)</f>
        <v>9034.714938116962</v>
      </c>
      <c r="BO374" s="72">
        <f>Ky*B+Kt*BP371*SIN(-α)^2</f>
        <v>78886.41792982903</v>
      </c>
      <c r="BP374" s="72">
        <f>BO375</f>
        <v>111366.15009586178</v>
      </c>
      <c r="BQ374" s="73" t="s">
        <v>175</v>
      </c>
      <c r="BS374" s="71">
        <f>∑V</f>
        <v>160.68827713700023</v>
      </c>
      <c r="BT374" s="72">
        <f>Kt*BV371*SIN(-α)*COS(-α)</f>
        <v>8833.943495047703</v>
      </c>
      <c r="BU374" s="72">
        <f>Ky*B+Kt*BV371*SIN(-α)^2</f>
        <v>78786.0322082944</v>
      </c>
      <c r="BV374" s="72">
        <f>BU375</f>
        <v>109983.4371674438</v>
      </c>
      <c r="BW374" s="73" t="s">
        <v>175</v>
      </c>
      <c r="BY374" s="71">
        <f>∑V</f>
        <v>160.68827713700023</v>
      </c>
      <c r="BZ374" s="72">
        <f>Kt*CB371*SIN(-α)*COS(-α)</f>
        <v>8753.634917819993</v>
      </c>
      <c r="CA374" s="72">
        <f>Ky*B+Kt*CB371*SIN(-α)^2</f>
        <v>78745.87791968054</v>
      </c>
      <c r="CB374" s="72">
        <f>CA375</f>
        <v>109425.8547157518</v>
      </c>
      <c r="CC374" s="73" t="s">
        <v>175</v>
      </c>
    </row>
    <row r="375" spans="2:81" ht="18" customHeight="1">
      <c r="B375" s="132" t="s">
        <v>27</v>
      </c>
      <c r="E375" s="62">
        <f>IF(D364=0,"∞",ROUND((D363*μ+F372*0.5)/D364,2))</f>
        <v>1.43</v>
      </c>
      <c r="F375" s="3" t="str">
        <f>IF(E375&gt;=G375,"&gt;","&lt;")</f>
        <v>&lt;</v>
      </c>
      <c r="G375" s="108">
        <f>IF(P&gt;0,1.2,IF(Kh&gt;0,1.2,1.5))</f>
        <v>1.5</v>
      </c>
      <c r="H375" s="3" t="str">
        <f>IF(E375&gt;=G375,"SAFE","OUT")</f>
        <v>OUT</v>
      </c>
      <c r="BA375" s="71">
        <f>∑M</f>
        <v>214.21055477861782</v>
      </c>
      <c r="BB375" s="72">
        <f>Kt*BD371*COS(-α)*(B*SIN(-α)+BB371+BD371/2)</f>
        <v>273400.51259957236</v>
      </c>
      <c r="BC375" s="72">
        <f>1/2*Ky*B^2+Kt*BD371*SIN(-α)*(B*SIN(-α)+BB371+BD371/2)</f>
        <v>169943.2263257506</v>
      </c>
      <c r="BD375" s="72">
        <f>1/3*Ky*B^3+Kt*BD371*(B*SIN(-α)*(B*SIN(-α)+2*BB371+BD371)+BB371^2+BB371*BD371+BD371^2/3)</f>
        <v>1927299.2419929828</v>
      </c>
      <c r="BE375" s="74" t="s">
        <v>115</v>
      </c>
      <c r="BG375" s="71">
        <f>∑M</f>
        <v>214.21055477861782</v>
      </c>
      <c r="BH375" s="72">
        <f>Kt*BJ371*COS(-α)*(B*SIN(-α)+BH371+BJ371/2)</f>
        <v>199441.33225893168</v>
      </c>
      <c r="BI375" s="72">
        <f>1/2*Ky*B^2+Kt*BJ371*SIN(-α)*(B*SIN(-α)+BH371+BJ371/2)</f>
        <v>132963.6361554303</v>
      </c>
      <c r="BJ375" s="72">
        <f>1/3*Ky*B^3+Kt*BJ371*(B*SIN(-α)*(B*SIN(-α)+2*BH371+BJ371)+BH371^2+BH371*BJ371+BJ371^2/3)</f>
        <v>1657057.3075631598</v>
      </c>
      <c r="BK375" s="74" t="s">
        <v>115</v>
      </c>
      <c r="BM375" s="71">
        <f>∑M</f>
        <v>214.21055477861782</v>
      </c>
      <c r="BN375" s="72">
        <f>Kt*BP371*COS(-α)*(B*SIN(-α)+BN371+BP371/2)</f>
        <v>156246.3601397947</v>
      </c>
      <c r="BO375" s="72">
        <f>1/2*Ky*B^2+Kt*BP371*SIN(-α)*(B*SIN(-α)+BN371+BP371/2)</f>
        <v>111366.15009586178</v>
      </c>
      <c r="BP375" s="72">
        <f>1/3*Ky*B^3+Kt*BP371*(B*SIN(-α)*(B*SIN(-α)+2*BN371+BP371)+BN371^2+BN371*BP371+BP371^2/3)</f>
        <v>1390390.070530612</v>
      </c>
      <c r="BQ375" s="74" t="s">
        <v>115</v>
      </c>
      <c r="BS375" s="71">
        <f>∑M</f>
        <v>214.21055477861782</v>
      </c>
      <c r="BT375" s="72">
        <f>Kt*BV371*COS(-α)*(B*SIN(-α)+BT371+BV371/2)</f>
        <v>153480.93428295874</v>
      </c>
      <c r="BU375" s="72">
        <f>1/2*Ky*B^2+Kt*BV371*SIN(-α)*(B*SIN(-α)+BT371+BV371/2)</f>
        <v>109983.4371674438</v>
      </c>
      <c r="BV375" s="72">
        <f>1/3*Ky*B^3+Kt*BV371*(B*SIN(-α)*(B*SIN(-α)+2*BT371+BV371)+BT371^2+BT371*BV371+BV371^2/3)</f>
        <v>1371344.368498377</v>
      </c>
      <c r="BW375" s="74" t="s">
        <v>115</v>
      </c>
      <c r="BY375" s="71">
        <f>∑M</f>
        <v>214.21055477861782</v>
      </c>
      <c r="BZ375" s="72">
        <f>Kt*CB371*COS(-α)*(B*SIN(-α)+BZ371+CB371/2)</f>
        <v>152365.76937957475</v>
      </c>
      <c r="CA375" s="72">
        <f>1/2*Ky*B^2+Kt*CB371*SIN(-α)*(B*SIN(-α)+BZ371+CB371/2)</f>
        <v>109425.8547157518</v>
      </c>
      <c r="CB375" s="72">
        <f>1/3*Ky*B^3+Kt*CB371*(B*SIN(-α)*(B*SIN(-α)+2*BZ371+CB371)+BZ371^2+BZ371*CB371+CB371^2/3)</f>
        <v>1363601.7648681847</v>
      </c>
      <c r="CC375" s="74" t="s">
        <v>115</v>
      </c>
    </row>
    <row r="376" spans="3:81" ht="18" customHeight="1">
      <c r="C376" s="13"/>
      <c r="BA376" s="75" t="s">
        <v>116</v>
      </c>
      <c r="BB376" s="76" t="s">
        <v>176</v>
      </c>
      <c r="BC376" s="77">
        <f>INDEX(MMULT(MINVERSE(BB373:BD375),BA373:BA375),1)</f>
        <v>-0.0033271113568218605</v>
      </c>
      <c r="BD376" s="78" t="s">
        <v>18</v>
      </c>
      <c r="BE376" s="78"/>
      <c r="BG376" s="75" t="s">
        <v>116</v>
      </c>
      <c r="BH376" s="76" t="s">
        <v>176</v>
      </c>
      <c r="BI376" s="77">
        <f>INDEX(MMULT(MINVERSE(BH373:BJ375),BG373:BG375),1)</f>
        <v>-0.004413990879274923</v>
      </c>
      <c r="BJ376" s="78" t="s">
        <v>18</v>
      </c>
      <c r="BK376" s="78"/>
      <c r="BM376" s="75" t="s">
        <v>116</v>
      </c>
      <c r="BN376" s="76" t="s">
        <v>176</v>
      </c>
      <c r="BO376" s="77">
        <f>INDEX(MMULT(MINVERSE(BN373:BP375),BM373:BM375),1)</f>
        <v>-0.00445683779422902</v>
      </c>
      <c r="BP376" s="78" t="s">
        <v>18</v>
      </c>
      <c r="BQ376" s="78"/>
      <c r="BS376" s="75" t="s">
        <v>116</v>
      </c>
      <c r="BT376" s="76" t="s">
        <v>176</v>
      </c>
      <c r="BU376" s="77">
        <f>INDEX(MMULT(MINVERSE(BT373:BV375),BS373:BS375),1)</f>
        <v>-0.004457035577877746</v>
      </c>
      <c r="BV376" s="78" t="s">
        <v>18</v>
      </c>
      <c r="BW376" s="78"/>
      <c r="BY376" s="75" t="s">
        <v>116</v>
      </c>
      <c r="BZ376" s="76" t="s">
        <v>176</v>
      </c>
      <c r="CA376" s="77">
        <f>INDEX(MMULT(MINVERSE(BZ373:CB375),BY373:BY375),1)</f>
        <v>-0.004457060288736832</v>
      </c>
      <c r="CB376" s="78" t="s">
        <v>18</v>
      </c>
      <c r="CC376" s="78"/>
    </row>
    <row r="377" spans="1:81" ht="18" customHeight="1">
      <c r="A377" s="201" t="s">
        <v>510</v>
      </c>
      <c r="B377" s="129"/>
      <c r="C377" s="94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BA377" s="78"/>
      <c r="BB377" s="76" t="s">
        <v>177</v>
      </c>
      <c r="BC377" s="77">
        <f>INDEX(MMULT(MINVERSE(BB373:BD375),BA373:BA375),2)</f>
        <v>0.002017035098998674</v>
      </c>
      <c r="BD377" s="78" t="s">
        <v>18</v>
      </c>
      <c r="BE377" s="78"/>
      <c r="BG377" s="78"/>
      <c r="BH377" s="76" t="s">
        <v>177</v>
      </c>
      <c r="BI377" s="77">
        <f>INDEX(MMULT(MINVERSE(BH373:BJ375),BG373:BG375),2)</f>
        <v>0.0018328074847870747</v>
      </c>
      <c r="BJ377" s="78" t="s">
        <v>18</v>
      </c>
      <c r="BK377" s="78"/>
      <c r="BM377" s="78"/>
      <c r="BN377" s="76" t="s">
        <v>177</v>
      </c>
      <c r="BO377" s="77">
        <f>INDEX(MMULT(MINVERSE(BN373:BP375),BM373:BM375),2)</f>
        <v>0.0018297395965232981</v>
      </c>
      <c r="BP377" s="78" t="s">
        <v>18</v>
      </c>
      <c r="BQ377" s="78"/>
      <c r="BS377" s="78"/>
      <c r="BT377" s="76" t="s">
        <v>177</v>
      </c>
      <c r="BU377" s="77">
        <f>INDEX(MMULT(MINVERSE(BT373:BV375),BS373:BS375),2)</f>
        <v>0.001829741953735979</v>
      </c>
      <c r="BV377" s="78" t="s">
        <v>18</v>
      </c>
      <c r="BW377" s="78"/>
      <c r="BY377" s="78"/>
      <c r="BZ377" s="76" t="s">
        <v>177</v>
      </c>
      <c r="CA377" s="77">
        <f>INDEX(MMULT(MINVERSE(BZ373:CB375),BY373:BY375),2)</f>
        <v>0.0018297424398404424</v>
      </c>
      <c r="CB377" s="78" t="s">
        <v>18</v>
      </c>
      <c r="CC377" s="78"/>
    </row>
    <row r="378" spans="1:81" ht="18" customHeight="1">
      <c r="A378" s="201"/>
      <c r="B378" s="146" t="s">
        <v>52</v>
      </c>
      <c r="C378" s="94"/>
      <c r="D378" s="94" t="s">
        <v>308</v>
      </c>
      <c r="E378" s="278">
        <f>qd</f>
        <v>900</v>
      </c>
      <c r="F378" s="41" t="s">
        <v>309</v>
      </c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BA378" s="78"/>
      <c r="BB378" s="76" t="s">
        <v>293</v>
      </c>
      <c r="BC378" s="77">
        <f>INDEX(MMULT(MINVERSE(BB373:BD375),BA373:BA375),3)</f>
        <v>0.00040526298970873693</v>
      </c>
      <c r="BD378" s="78" t="s">
        <v>82</v>
      </c>
      <c r="BE378" s="78"/>
      <c r="BG378" s="78"/>
      <c r="BH378" s="76" t="s">
        <v>293</v>
      </c>
      <c r="BI378" s="77">
        <f>INDEX(MMULT(MINVERSE(BH373:BJ375),BG373:BG375),3)</f>
        <v>0.0005134680767444569</v>
      </c>
      <c r="BJ378" s="78" t="s">
        <v>82</v>
      </c>
      <c r="BK378" s="78"/>
      <c r="BM378" s="78"/>
      <c r="BN378" s="76" t="s">
        <v>293</v>
      </c>
      <c r="BO378" s="77">
        <f>INDEX(MMULT(MINVERSE(BN373:BP375),BM373:BM375),3)</f>
        <v>0.0005083495619670831</v>
      </c>
      <c r="BP378" s="78" t="s">
        <v>82</v>
      </c>
      <c r="BQ378" s="78"/>
      <c r="BS378" s="78"/>
      <c r="BT378" s="76" t="s">
        <v>293</v>
      </c>
      <c r="BU378" s="77">
        <f>INDEX(MMULT(MINVERSE(BT373:BV375),BS373:BS375),3)</f>
        <v>0.0005082889799340356</v>
      </c>
      <c r="BV378" s="78" t="s">
        <v>82</v>
      </c>
      <c r="BW378" s="78"/>
      <c r="BY378" s="78"/>
      <c r="BZ378" s="76" t="s">
        <v>293</v>
      </c>
      <c r="CA378" s="77">
        <f>INDEX(MMULT(MINVERSE(BZ373:CB375),BY373:BY375),3)</f>
        <v>0.000508280982256523</v>
      </c>
      <c r="CB378" s="78" t="s">
        <v>82</v>
      </c>
      <c r="CC378" s="78"/>
    </row>
    <row r="379" spans="1:81" ht="18" customHeight="1">
      <c r="A379" s="201"/>
      <c r="B379" s="146" t="s">
        <v>148</v>
      </c>
      <c r="C379" s="94"/>
      <c r="D379" s="94" t="s">
        <v>310</v>
      </c>
      <c r="E379" s="279">
        <f>MAX(E320:E321)</f>
        <v>190.01088958527262</v>
      </c>
      <c r="F379" s="41" t="s">
        <v>309</v>
      </c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AT379" s="171"/>
      <c r="BA379" s="27"/>
      <c r="BB379" s="145" t="s">
        <v>110</v>
      </c>
      <c r="BC379" s="27">
        <f>BC376*COS(-α)+(BC377+B*BC378)*SIN(-α)+BB371*BC378</f>
        <v>-0.001911785573990153</v>
      </c>
      <c r="BD379" s="27"/>
      <c r="BE379" s="27"/>
      <c r="BG379" s="27"/>
      <c r="BH379" s="145" t="s">
        <v>110</v>
      </c>
      <c r="BI379" s="27">
        <f>BI376*COS(-α)+(BI377+B*BI378)*SIN(-α)+BH371*BI378</f>
        <v>-0.0006267488554957353</v>
      </c>
      <c r="BJ379" s="27"/>
      <c r="BK379" s="27"/>
      <c r="BM379" s="27"/>
      <c r="BN379" s="145" t="s">
        <v>110</v>
      </c>
      <c r="BO379" s="27">
        <f>BO376*COS(-α)+(BO377+B*BO378)*SIN(-α)+BN371*BO378</f>
        <v>-5.482708557661515E-05</v>
      </c>
      <c r="BP379" s="27"/>
      <c r="BQ379" s="27"/>
      <c r="BS379" s="27"/>
      <c r="BT379" s="145" t="s">
        <v>110</v>
      </c>
      <c r="BU379" s="27">
        <f>BU376*COS(-α)+(BU377+B*BU378)*SIN(-α)+BT371*BU378</f>
        <v>-1.9003748741531525E-05</v>
      </c>
      <c r="BV379" s="27"/>
      <c r="BW379" s="27"/>
      <c r="BY379" s="27"/>
      <c r="BZ379" s="145" t="s">
        <v>110</v>
      </c>
      <c r="CA379" s="27">
        <f>CA376*COS(-α)+(CA377+B*CA378)*SIN(-α)+BZ371*CA378</f>
        <v>-4.527334002725047E-06</v>
      </c>
      <c r="CB379" s="27"/>
      <c r="CC379" s="27"/>
    </row>
    <row r="380" spans="1:17" ht="18" customHeight="1">
      <c r="A380" s="201"/>
      <c r="B380" s="41"/>
      <c r="C380" s="94"/>
      <c r="D380" s="41"/>
      <c r="E380" s="62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</row>
    <row r="381" spans="1:57" ht="18" customHeight="1">
      <c r="A381" s="201"/>
      <c r="B381" s="143" t="s">
        <v>27</v>
      </c>
      <c r="C381" s="94"/>
      <c r="D381" s="41"/>
      <c r="E381" s="62">
        <f>ROUND(qd/E379,2)</f>
        <v>4.74</v>
      </c>
      <c r="F381" s="62" t="str">
        <f>IF(E381&gt;G381,"&gt;","&lt;")</f>
        <v>&gt;</v>
      </c>
      <c r="G381" s="50">
        <f>IF(P&gt;0,2,IF(Kh&gt;0,2,3))</f>
        <v>3</v>
      </c>
      <c r="H381" s="62" t="str">
        <f>IF(E381&gt;G381,"SAFE","OUT")</f>
        <v>SAFE</v>
      </c>
      <c r="I381" s="62"/>
      <c r="J381" s="62"/>
      <c r="K381" s="62"/>
      <c r="L381" s="62"/>
      <c r="M381" s="62"/>
      <c r="N381" s="62"/>
      <c r="O381" s="62"/>
      <c r="P381" s="62"/>
      <c r="Q381" s="62"/>
      <c r="BA381" s="66"/>
      <c r="BB381" s="27"/>
      <c r="BC381" s="66"/>
      <c r="BD381" s="27"/>
      <c r="BE381" s="27"/>
    </row>
    <row r="382" spans="1:57" ht="18" customHeight="1">
      <c r="A382" s="201"/>
      <c r="B382" s="41"/>
      <c r="C382" s="94"/>
      <c r="D382" s="41"/>
      <c r="E382" s="41"/>
      <c r="F382" s="62"/>
      <c r="G382" s="95"/>
      <c r="H382" s="41"/>
      <c r="I382" s="27"/>
      <c r="J382" s="27"/>
      <c r="K382" s="27"/>
      <c r="L382" s="27"/>
      <c r="M382" s="27"/>
      <c r="N382" s="27"/>
      <c r="O382" s="27"/>
      <c r="P382" s="27"/>
      <c r="Q382" s="27"/>
      <c r="BA382" s="78"/>
      <c r="BB382" s="78"/>
      <c r="BC382" s="78"/>
      <c r="BD382" s="78"/>
      <c r="BE382" s="78"/>
    </row>
    <row r="383" spans="1:53" ht="18" customHeight="1">
      <c r="A383" s="205" t="s">
        <v>509</v>
      </c>
      <c r="B383" s="15"/>
      <c r="C383" s="15"/>
      <c r="D383" s="13"/>
      <c r="E383" s="42"/>
      <c r="F383" s="15"/>
      <c r="G383" s="15"/>
      <c r="BA383" s="172" t="s">
        <v>140</v>
      </c>
    </row>
    <row r="384" spans="1:57" ht="18" customHeight="1">
      <c r="A384" s="199" t="s">
        <v>551</v>
      </c>
      <c r="B384" s="15"/>
      <c r="C384" s="15"/>
      <c r="D384" s="13"/>
      <c r="E384" s="42"/>
      <c r="F384" s="15"/>
      <c r="G384" s="15"/>
      <c r="AU384" s="91"/>
      <c r="AV384" s="92"/>
      <c r="AW384" s="92"/>
      <c r="AX384" s="92"/>
      <c r="AY384" s="93"/>
      <c r="BA384" s="11" t="s">
        <v>69</v>
      </c>
      <c r="BB384" s="132" t="s">
        <v>122</v>
      </c>
      <c r="BC384" s="132" t="s">
        <v>141</v>
      </c>
      <c r="BD384" s="132" t="s">
        <v>142</v>
      </c>
      <c r="BE384" s="132" t="s">
        <v>72</v>
      </c>
    </row>
    <row r="385" spans="1:54" ht="18" customHeight="1">
      <c r="A385" s="197"/>
      <c r="B385" s="15"/>
      <c r="C385" s="15"/>
      <c r="D385" s="13"/>
      <c r="E385" s="42"/>
      <c r="F385" s="146" t="s">
        <v>407</v>
      </c>
      <c r="H385" s="15"/>
      <c r="AU385" s="91"/>
      <c r="AV385" s="92"/>
      <c r="AW385" s="92"/>
      <c r="AX385" s="92"/>
      <c r="AY385" s="127"/>
      <c r="BA385" s="12">
        <f aca="true" t="shared" si="33" ref="BA385:BB391">BB52</f>
        <v>0</v>
      </c>
      <c r="BB385" s="12">
        <f t="shared" si="33"/>
        <v>0</v>
      </c>
    </row>
    <row r="386" spans="1:54" ht="18" customHeight="1">
      <c r="A386" s="197"/>
      <c r="B386" s="15"/>
      <c r="C386" s="15"/>
      <c r="D386" s="13"/>
      <c r="E386" s="42"/>
      <c r="F386" s="15"/>
      <c r="G386" s="15"/>
      <c r="H386" s="15"/>
      <c r="AU386" s="78"/>
      <c r="AV386" s="125"/>
      <c r="AW386" s="77"/>
      <c r="AX386" s="78"/>
      <c r="AY386" s="78"/>
      <c r="BA386" s="12">
        <f t="shared" si="33"/>
        <v>0</v>
      </c>
      <c r="BB386" s="12">
        <f t="shared" si="33"/>
        <v>0</v>
      </c>
    </row>
    <row r="387" spans="1:54" ht="18" customHeight="1">
      <c r="A387" s="197"/>
      <c r="B387" s="15"/>
      <c r="C387" s="15"/>
      <c r="D387" s="13"/>
      <c r="E387" s="42"/>
      <c r="F387" s="15"/>
      <c r="G387" s="15"/>
      <c r="H387" s="15"/>
      <c r="AU387" s="78"/>
      <c r="AV387" s="125"/>
      <c r="AW387" s="77"/>
      <c r="AX387" s="78"/>
      <c r="AY387" s="78"/>
      <c r="BA387" s="12">
        <f t="shared" si="33"/>
        <v>0</v>
      </c>
      <c r="BB387" s="12">
        <f t="shared" si="33"/>
        <v>0</v>
      </c>
    </row>
    <row r="388" spans="1:54" ht="18" customHeight="1">
      <c r="A388" s="197"/>
      <c r="B388" s="15"/>
      <c r="C388" s="15"/>
      <c r="D388" s="13"/>
      <c r="E388" s="42"/>
      <c r="F388" s="15"/>
      <c r="G388" s="15"/>
      <c r="H388" s="15"/>
      <c r="AU388" s="78"/>
      <c r="AV388" s="125"/>
      <c r="AW388" s="77"/>
      <c r="AX388" s="78"/>
      <c r="AY388" s="78"/>
      <c r="BA388" s="12">
        <f t="shared" si="33"/>
        <v>4</v>
      </c>
      <c r="BB388" s="12">
        <f t="shared" si="33"/>
        <v>8</v>
      </c>
    </row>
    <row r="389" spans="1:54" ht="18" customHeight="1">
      <c r="A389" s="197"/>
      <c r="B389" s="15"/>
      <c r="C389" s="15"/>
      <c r="D389" s="13"/>
      <c r="E389" s="42"/>
      <c r="F389" s="15"/>
      <c r="G389" s="15"/>
      <c r="H389" s="15"/>
      <c r="AU389" s="27"/>
      <c r="AV389" s="27"/>
      <c r="AW389" s="27"/>
      <c r="AX389" s="27"/>
      <c r="AY389" s="27"/>
      <c r="BA389" s="12">
        <f t="shared" si="33"/>
        <v>4.894</v>
      </c>
      <c r="BB389" s="12">
        <f t="shared" si="33"/>
        <v>8</v>
      </c>
    </row>
    <row r="390" spans="1:54" ht="18" customHeight="1">
      <c r="A390" s="197"/>
      <c r="B390" s="15"/>
      <c r="C390" s="15"/>
      <c r="D390" s="13"/>
      <c r="E390" s="42"/>
      <c r="F390" s="15"/>
      <c r="G390" s="15"/>
      <c r="H390" s="15"/>
      <c r="BA390" s="12">
        <f t="shared" si="33"/>
        <v>0.8940000000000001</v>
      </c>
      <c r="BB390" s="12">
        <f t="shared" si="33"/>
        <v>0</v>
      </c>
    </row>
    <row r="391" spans="1:54" ht="18" customHeight="1">
      <c r="A391" s="197"/>
      <c r="B391" s="15"/>
      <c r="C391" s="15"/>
      <c r="D391" s="13"/>
      <c r="BA391" s="12">
        <f t="shared" si="33"/>
        <v>0</v>
      </c>
      <c r="BB391" s="12">
        <f t="shared" si="33"/>
        <v>0</v>
      </c>
    </row>
    <row r="392" spans="1:55" ht="18" customHeight="1">
      <c r="A392" s="197"/>
      <c r="B392" s="15"/>
      <c r="C392" s="15"/>
      <c r="D392" s="13"/>
      <c r="E392" s="42"/>
      <c r="F392" s="15"/>
      <c r="G392" s="15"/>
      <c r="H392" s="15"/>
      <c r="S392" s="17" t="s">
        <v>481</v>
      </c>
      <c r="T392" s="12">
        <f>ROUND(B/2-G344,3)</f>
        <v>-0.016</v>
      </c>
      <c r="U392" s="11" t="s">
        <v>479</v>
      </c>
      <c r="BA392" s="11">
        <v>0</v>
      </c>
      <c r="BC392" s="11">
        <v>0</v>
      </c>
    </row>
    <row r="393" spans="1:55" ht="18" customHeight="1">
      <c r="A393" s="197"/>
      <c r="H393" s="15"/>
      <c r="BA393" s="11">
        <v>0</v>
      </c>
      <c r="BC393" s="11">
        <f>-E320/'入力'!$P$20</f>
        <v>-3.0442109310383945</v>
      </c>
    </row>
    <row r="394" spans="8:55" ht="18" customHeight="1">
      <c r="H394" s="15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BA394" s="11">
        <f>Bd</f>
        <v>0.8940000000000001</v>
      </c>
      <c r="BC394" s="11">
        <f>-E321/'入力'!$P$20</f>
        <v>-3.8002177917054523</v>
      </c>
    </row>
    <row r="395" spans="1:55" ht="18" customHeight="1">
      <c r="A395" s="147" t="s">
        <v>508</v>
      </c>
      <c r="C395" s="96"/>
      <c r="D395" s="96"/>
      <c r="E395" s="96"/>
      <c r="F395" s="96"/>
      <c r="G395" s="96"/>
      <c r="H395" s="96"/>
      <c r="I395" s="41"/>
      <c r="J395" s="41"/>
      <c r="K395" s="41"/>
      <c r="L395" s="41"/>
      <c r="M395" s="41"/>
      <c r="N395" s="41"/>
      <c r="O395" s="41"/>
      <c r="P395" s="41"/>
      <c r="Q395" s="41"/>
      <c r="BA395" s="11">
        <f>BA394</f>
        <v>0.8940000000000001</v>
      </c>
      <c r="BC395" s="11">
        <f>0</f>
        <v>0</v>
      </c>
    </row>
    <row r="396" spans="1:56" ht="18" customHeight="1">
      <c r="A396" s="206"/>
      <c r="C396" s="96"/>
      <c r="D396" s="96"/>
      <c r="E396" s="96"/>
      <c r="F396" s="96"/>
      <c r="G396" s="96"/>
      <c r="H396" s="96"/>
      <c r="I396" s="41"/>
      <c r="J396" s="41"/>
      <c r="K396" s="41"/>
      <c r="L396" s="41"/>
      <c r="M396" s="41"/>
      <c r="N396" s="41"/>
      <c r="O396" s="41"/>
      <c r="P396" s="41"/>
      <c r="Q396" s="41"/>
      <c r="BA396" s="12">
        <f>BA389</f>
        <v>4.894</v>
      </c>
      <c r="BD396" s="12">
        <f>BB389</f>
        <v>8</v>
      </c>
    </row>
    <row r="397" spans="1:56" ht="18" customHeight="1">
      <c r="A397" s="206"/>
      <c r="B397" s="96"/>
      <c r="C397" s="96"/>
      <c r="D397" s="96"/>
      <c r="E397" s="96"/>
      <c r="F397" s="96"/>
      <c r="G397" s="96"/>
      <c r="H397" s="96"/>
      <c r="I397" s="62"/>
      <c r="J397" s="62"/>
      <c r="K397" s="62"/>
      <c r="L397" s="62"/>
      <c r="M397" s="62"/>
      <c r="N397" s="62"/>
      <c r="O397" s="62"/>
      <c r="P397" s="62"/>
      <c r="Q397" s="62"/>
      <c r="BA397" s="11">
        <f>IF(qtu=0,BA396,BA396+E323/'入力'!$P$20*COS(-α))</f>
        <v>5.092410189206815</v>
      </c>
      <c r="BD397" s="11">
        <f>IF(qtu=0,BD396,BD396-E323/'入力'!$P$20*SIN(-α))</f>
        <v>7.900794905396593</v>
      </c>
    </row>
    <row r="398" spans="1:56" ht="18" customHeight="1">
      <c r="A398" s="206"/>
      <c r="B398" s="96"/>
      <c r="C398" s="96"/>
      <c r="D398" s="96"/>
      <c r="E398" s="96"/>
      <c r="F398" s="96"/>
      <c r="G398" s="96"/>
      <c r="H398" s="96"/>
      <c r="I398" s="49"/>
      <c r="J398" s="49"/>
      <c r="K398" s="49"/>
      <c r="L398" s="49"/>
      <c r="M398" s="49"/>
      <c r="N398" s="49"/>
      <c r="O398" s="49"/>
      <c r="P398" s="49"/>
      <c r="Q398" s="49"/>
      <c r="BA398" s="11">
        <f>IF(qtl=0,BA397,IF(d&lt;=B/2,B,BA399+E322/'入力'!$P$20*COS(-α)))</f>
        <v>5.092410189206815</v>
      </c>
      <c r="BD398" s="11">
        <f>IF(qtl=0,BD397,IF(d&lt;=B/2,0,BD399-E322/'入力'!$P$20*SIN(-α)))</f>
        <v>7.900794905396593</v>
      </c>
    </row>
    <row r="399" spans="1:56" ht="18" customHeight="1">
      <c r="A399" s="20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3"/>
      <c r="BA399" s="11">
        <f>IF(qtu=0,BA398,IF(d&lt;=B/2,B,BA396-D304*SIN(-α)))</f>
        <v>3.502639999999998</v>
      </c>
      <c r="BD399" s="11">
        <f>IF(qtu=0,BD398,IF(d&lt;=B/2,0,BD396-D304*COS(-α)))</f>
        <v>5.217279999999996</v>
      </c>
    </row>
    <row r="400" spans="1:57" ht="18" customHeight="1">
      <c r="A400" s="20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BA400" s="12">
        <f>BB61</f>
        <v>4.894</v>
      </c>
      <c r="BE400" s="12">
        <f>BE61</f>
        <v>8</v>
      </c>
    </row>
    <row r="401" spans="1:57" ht="18" customHeight="1">
      <c r="A401" s="206"/>
      <c r="B401" s="96"/>
      <c r="C401" s="299" t="s">
        <v>189</v>
      </c>
      <c r="D401" s="148" t="s">
        <v>149</v>
      </c>
      <c r="E401" s="149" t="s">
        <v>150</v>
      </c>
      <c r="F401" s="149" t="s">
        <v>151</v>
      </c>
      <c r="G401" s="150" t="s">
        <v>102</v>
      </c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BA401" s="12">
        <f>BB62</f>
        <v>4.894</v>
      </c>
      <c r="BE401" s="12">
        <f>BE62</f>
        <v>8</v>
      </c>
    </row>
    <row r="402" spans="1:57" ht="18" customHeight="1">
      <c r="A402" s="206"/>
      <c r="B402" s="96"/>
      <c r="C402" s="300"/>
      <c r="D402" s="97" t="s">
        <v>311</v>
      </c>
      <c r="E402" s="97" t="s">
        <v>312</v>
      </c>
      <c r="F402" s="97" t="s">
        <v>313</v>
      </c>
      <c r="G402" s="98" t="s">
        <v>314</v>
      </c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BA402" s="12">
        <f>BB63</f>
        <v>8.991232354382722</v>
      </c>
      <c r="BE402" s="12">
        <f>BE63</f>
        <v>8</v>
      </c>
    </row>
    <row r="403" spans="1:17" ht="18" customHeight="1">
      <c r="A403" s="206"/>
      <c r="B403" s="96"/>
      <c r="C403" s="99" t="s">
        <v>152</v>
      </c>
      <c r="D403" s="100" t="s">
        <v>152</v>
      </c>
      <c r="E403" s="100" t="s">
        <v>153</v>
      </c>
      <c r="F403" s="100" t="s">
        <v>153</v>
      </c>
      <c r="G403" s="101" t="s">
        <v>154</v>
      </c>
      <c r="H403" s="96"/>
      <c r="I403" s="96"/>
      <c r="J403" s="96"/>
      <c r="K403" s="96"/>
      <c r="L403" s="96"/>
      <c r="M403" s="96"/>
      <c r="N403" s="96"/>
      <c r="O403" s="96"/>
      <c r="P403" s="96"/>
      <c r="Q403" s="96"/>
    </row>
    <row r="404" spans="1:17" ht="18" customHeight="1">
      <c r="A404" s="206"/>
      <c r="B404" s="96"/>
      <c r="C404" s="102">
        <f>0</f>
        <v>0</v>
      </c>
      <c r="D404" s="35">
        <f aca="true" t="shared" si="34" ref="D404:D424">bu+(nf-nr)*C404</f>
        <v>0.894</v>
      </c>
      <c r="E404" s="35">
        <f aca="true" t="shared" si="35" ref="E404:E424">γc/2*(2*bu+(nf-nr)*C404)*C404</f>
        <v>0</v>
      </c>
      <c r="F404" s="35">
        <f aca="true" t="shared" si="36" ref="F404:F424">Kh*E404</f>
        <v>0</v>
      </c>
      <c r="G404" s="45">
        <f aca="true" t="shared" si="37" ref="G404:G424">(2*bu+D404)/(bu+D404)*(F404*C404/3-C404/6*(nf+nr)*E404)</f>
        <v>0</v>
      </c>
      <c r="H404" s="96"/>
      <c r="I404" s="96"/>
      <c r="J404" s="96"/>
      <c r="K404" s="96"/>
      <c r="L404" s="96"/>
      <c r="M404" s="96"/>
      <c r="N404" s="96"/>
      <c r="O404" s="96"/>
      <c r="P404" s="96"/>
      <c r="Q404" s="96"/>
    </row>
    <row r="405" spans="1:17" ht="18" customHeight="1">
      <c r="A405" s="206"/>
      <c r="B405" s="96"/>
      <c r="C405" s="102">
        <f aca="true" t="shared" si="38" ref="C405:C424">C404+Hw/20</f>
        <v>0.4</v>
      </c>
      <c r="D405" s="35">
        <f t="shared" si="34"/>
        <v>0.894</v>
      </c>
      <c r="E405" s="35">
        <f t="shared" si="35"/>
        <v>8.2248</v>
      </c>
      <c r="F405" s="35">
        <f t="shared" si="36"/>
        <v>0</v>
      </c>
      <c r="G405" s="45">
        <f t="shared" si="37"/>
        <v>-0.8224800000000001</v>
      </c>
      <c r="H405" s="96"/>
      <c r="I405" s="96"/>
      <c r="J405" s="96"/>
      <c r="K405" s="96"/>
      <c r="L405" s="96"/>
      <c r="M405" s="96"/>
      <c r="N405" s="96"/>
      <c r="O405" s="96"/>
      <c r="P405" s="96"/>
      <c r="Q405" s="96"/>
    </row>
    <row r="406" spans="1:17" ht="18" customHeight="1">
      <c r="A406" s="206"/>
      <c r="B406" s="96"/>
      <c r="C406" s="102">
        <f t="shared" si="38"/>
        <v>0.8</v>
      </c>
      <c r="D406" s="35">
        <f t="shared" si="34"/>
        <v>0.894</v>
      </c>
      <c r="E406" s="35">
        <f t="shared" si="35"/>
        <v>16.4496</v>
      </c>
      <c r="F406" s="35">
        <f t="shared" si="36"/>
        <v>0</v>
      </c>
      <c r="G406" s="45">
        <f t="shared" si="37"/>
        <v>-3.2899200000000004</v>
      </c>
      <c r="H406" s="96"/>
      <c r="I406" s="96"/>
      <c r="J406" s="96"/>
      <c r="K406" s="96"/>
      <c r="L406" s="96"/>
      <c r="M406" s="96"/>
      <c r="N406" s="96"/>
      <c r="O406" s="96"/>
      <c r="P406" s="96"/>
      <c r="Q406" s="96"/>
    </row>
    <row r="407" spans="1:17" ht="18" customHeight="1">
      <c r="A407" s="206"/>
      <c r="B407" s="96"/>
      <c r="C407" s="102">
        <f t="shared" si="38"/>
        <v>1.2000000000000002</v>
      </c>
      <c r="D407" s="35">
        <f t="shared" si="34"/>
        <v>0.894</v>
      </c>
      <c r="E407" s="35">
        <f t="shared" si="35"/>
        <v>24.674400000000006</v>
      </c>
      <c r="F407" s="35">
        <f t="shared" si="36"/>
        <v>0</v>
      </c>
      <c r="G407" s="45">
        <f t="shared" si="37"/>
        <v>-7.402320000000003</v>
      </c>
      <c r="H407" s="96"/>
      <c r="I407" s="96"/>
      <c r="J407" s="96"/>
      <c r="K407" s="96"/>
      <c r="L407" s="96"/>
      <c r="M407" s="96"/>
      <c r="N407" s="96"/>
      <c r="O407" s="96"/>
      <c r="P407" s="96"/>
      <c r="Q407" s="96"/>
    </row>
    <row r="408" spans="1:17" ht="18" customHeight="1">
      <c r="A408" s="206"/>
      <c r="B408" s="96"/>
      <c r="C408" s="102">
        <f t="shared" si="38"/>
        <v>1.6</v>
      </c>
      <c r="D408" s="35">
        <f t="shared" si="34"/>
        <v>0.894</v>
      </c>
      <c r="E408" s="35">
        <f t="shared" si="35"/>
        <v>32.8992</v>
      </c>
      <c r="F408" s="35">
        <f t="shared" si="36"/>
        <v>0</v>
      </c>
      <c r="G408" s="45">
        <f t="shared" si="37"/>
        <v>-13.159680000000002</v>
      </c>
      <c r="H408" s="96"/>
      <c r="I408" s="96"/>
      <c r="J408" s="96"/>
      <c r="K408" s="96"/>
      <c r="L408" s="96"/>
      <c r="M408" s="96"/>
      <c r="N408" s="96"/>
      <c r="O408" s="96"/>
      <c r="P408" s="96"/>
      <c r="Q408" s="96"/>
    </row>
    <row r="409" spans="1:17" ht="18" customHeight="1">
      <c r="A409" s="206"/>
      <c r="B409" s="96"/>
      <c r="C409" s="102">
        <f t="shared" si="38"/>
        <v>2</v>
      </c>
      <c r="D409" s="35">
        <f t="shared" si="34"/>
        <v>0.894</v>
      </c>
      <c r="E409" s="35">
        <f t="shared" si="35"/>
        <v>41.124</v>
      </c>
      <c r="F409" s="35">
        <f t="shared" si="36"/>
        <v>0</v>
      </c>
      <c r="G409" s="45">
        <f t="shared" si="37"/>
        <v>-20.562</v>
      </c>
      <c r="H409" s="96"/>
      <c r="I409" s="96"/>
      <c r="J409" s="96"/>
      <c r="K409" s="96"/>
      <c r="L409" s="96"/>
      <c r="M409" s="96"/>
      <c r="N409" s="96"/>
      <c r="O409" s="96"/>
      <c r="P409" s="96"/>
      <c r="Q409" s="96"/>
    </row>
    <row r="410" spans="1:17" ht="18" customHeight="1">
      <c r="A410" s="206"/>
      <c r="B410" s="96"/>
      <c r="C410" s="102">
        <f t="shared" si="38"/>
        <v>2.4</v>
      </c>
      <c r="D410" s="35">
        <f t="shared" si="34"/>
        <v>0.894</v>
      </c>
      <c r="E410" s="35">
        <f t="shared" si="35"/>
        <v>49.348800000000004</v>
      </c>
      <c r="F410" s="35">
        <f t="shared" si="36"/>
        <v>0</v>
      </c>
      <c r="G410" s="45">
        <f t="shared" si="37"/>
        <v>-29.60928</v>
      </c>
      <c r="H410" s="96"/>
      <c r="I410" s="96"/>
      <c r="J410" s="96"/>
      <c r="K410" s="96"/>
      <c r="L410" s="96"/>
      <c r="M410" s="96"/>
      <c r="N410" s="96"/>
      <c r="O410" s="96"/>
      <c r="P410" s="96"/>
      <c r="Q410" s="96"/>
    </row>
    <row r="411" spans="1:17" ht="18" customHeight="1">
      <c r="A411" s="206"/>
      <c r="B411" s="96"/>
      <c r="C411" s="102">
        <f t="shared" si="38"/>
        <v>2.8</v>
      </c>
      <c r="D411" s="35">
        <f t="shared" si="34"/>
        <v>0.894</v>
      </c>
      <c r="E411" s="35">
        <f t="shared" si="35"/>
        <v>57.5736</v>
      </c>
      <c r="F411" s="35">
        <f t="shared" si="36"/>
        <v>0</v>
      </c>
      <c r="G411" s="45">
        <f t="shared" si="37"/>
        <v>-40.30152</v>
      </c>
      <c r="H411" s="96"/>
      <c r="I411" s="96"/>
      <c r="J411" s="96"/>
      <c r="K411" s="96"/>
      <c r="L411" s="96"/>
      <c r="M411" s="96"/>
      <c r="N411" s="96"/>
      <c r="O411" s="96"/>
      <c r="P411" s="96"/>
      <c r="Q411" s="96"/>
    </row>
    <row r="412" spans="1:17" ht="18" customHeight="1">
      <c r="A412" s="206"/>
      <c r="B412" s="96"/>
      <c r="C412" s="102">
        <f t="shared" si="38"/>
        <v>3.1999999999999997</v>
      </c>
      <c r="D412" s="35">
        <f t="shared" si="34"/>
        <v>0.894</v>
      </c>
      <c r="E412" s="35">
        <f t="shared" si="35"/>
        <v>65.7984</v>
      </c>
      <c r="F412" s="35">
        <f t="shared" si="36"/>
        <v>0</v>
      </c>
      <c r="G412" s="45">
        <f t="shared" si="37"/>
        <v>-52.638720000000006</v>
      </c>
      <c r="H412" s="96"/>
      <c r="I412" s="96"/>
      <c r="J412" s="96"/>
      <c r="K412" s="96"/>
      <c r="L412" s="96"/>
      <c r="M412" s="96"/>
      <c r="N412" s="96"/>
      <c r="O412" s="96"/>
      <c r="P412" s="96"/>
      <c r="Q412" s="96"/>
    </row>
    <row r="413" spans="1:17" ht="18" customHeight="1">
      <c r="A413" s="206"/>
      <c r="B413" s="96"/>
      <c r="C413" s="102">
        <f>C412+Hw/20</f>
        <v>3.5999999999999996</v>
      </c>
      <c r="D413" s="35">
        <f t="shared" si="34"/>
        <v>0.894</v>
      </c>
      <c r="E413" s="35">
        <f t="shared" si="35"/>
        <v>74.0232</v>
      </c>
      <c r="F413" s="35">
        <f t="shared" si="36"/>
        <v>0</v>
      </c>
      <c r="G413" s="45">
        <f t="shared" si="37"/>
        <v>-66.62088</v>
      </c>
      <c r="H413" s="96"/>
      <c r="I413" s="96"/>
      <c r="J413" s="96"/>
      <c r="K413" s="96"/>
      <c r="L413" s="96"/>
      <c r="M413" s="96"/>
      <c r="N413" s="96"/>
      <c r="O413" s="96"/>
      <c r="P413" s="96"/>
      <c r="Q413" s="96"/>
    </row>
    <row r="414" spans="1:17" ht="18" customHeight="1">
      <c r="A414" s="206"/>
      <c r="B414" s="96"/>
      <c r="C414" s="102">
        <f t="shared" si="38"/>
        <v>3.9999999999999996</v>
      </c>
      <c r="D414" s="35">
        <f t="shared" si="34"/>
        <v>0.894</v>
      </c>
      <c r="E414" s="35">
        <f t="shared" si="35"/>
        <v>82.24799999999999</v>
      </c>
      <c r="F414" s="35">
        <f t="shared" si="36"/>
        <v>0</v>
      </c>
      <c r="G414" s="45">
        <f t="shared" si="37"/>
        <v>-82.24799999999999</v>
      </c>
      <c r="H414" s="96"/>
      <c r="I414" s="96"/>
      <c r="J414" s="96"/>
      <c r="K414" s="96"/>
      <c r="L414" s="96"/>
      <c r="M414" s="96"/>
      <c r="N414" s="96"/>
      <c r="O414" s="96"/>
      <c r="P414" s="96"/>
      <c r="Q414" s="96"/>
    </row>
    <row r="415" spans="1:46" ht="18" customHeight="1">
      <c r="A415" s="206"/>
      <c r="B415" s="96"/>
      <c r="C415" s="102">
        <f t="shared" si="38"/>
        <v>4.3999999999999995</v>
      </c>
      <c r="D415" s="35">
        <f t="shared" si="34"/>
        <v>0.894</v>
      </c>
      <c r="E415" s="35">
        <f t="shared" si="35"/>
        <v>90.47279999999999</v>
      </c>
      <c r="F415" s="35">
        <f t="shared" si="36"/>
        <v>0</v>
      </c>
      <c r="G415" s="45">
        <f t="shared" si="37"/>
        <v>-99.52007999999998</v>
      </c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AS415" s="169" t="s">
        <v>117</v>
      </c>
      <c r="AT415" s="170">
        <f>u0*COS(-α)+(v0+B*θo)*SIN(-α)+Lun*θo</f>
        <v>-1.6729914838415141E-07</v>
      </c>
    </row>
    <row r="416" spans="1:17" ht="18" customHeight="1">
      <c r="A416" s="206"/>
      <c r="B416" s="96"/>
      <c r="C416" s="102">
        <f t="shared" si="38"/>
        <v>4.8</v>
      </c>
      <c r="D416" s="35">
        <f t="shared" si="34"/>
        <v>0.894</v>
      </c>
      <c r="E416" s="35">
        <f t="shared" si="35"/>
        <v>98.69760000000001</v>
      </c>
      <c r="F416" s="35">
        <f t="shared" si="36"/>
        <v>0</v>
      </c>
      <c r="G416" s="45">
        <f t="shared" si="37"/>
        <v>-118.43712</v>
      </c>
      <c r="H416" s="96"/>
      <c r="I416" s="96"/>
      <c r="J416" s="96"/>
      <c r="K416" s="96"/>
      <c r="L416" s="96"/>
      <c r="M416" s="96"/>
      <c r="N416" s="96"/>
      <c r="O416" s="96"/>
      <c r="P416" s="96"/>
      <c r="Q416" s="96"/>
    </row>
    <row r="417" spans="1:17" ht="18" customHeight="1">
      <c r="A417" s="206"/>
      <c r="B417" s="96"/>
      <c r="C417" s="102">
        <f t="shared" si="38"/>
        <v>5.2</v>
      </c>
      <c r="D417" s="35">
        <f t="shared" si="34"/>
        <v>0.894</v>
      </c>
      <c r="E417" s="35">
        <f t="shared" si="35"/>
        <v>106.92240000000001</v>
      </c>
      <c r="F417" s="35">
        <f t="shared" si="36"/>
        <v>0</v>
      </c>
      <c r="G417" s="45">
        <f t="shared" si="37"/>
        <v>-138.99912</v>
      </c>
      <c r="H417" s="96"/>
      <c r="I417" s="96"/>
      <c r="J417" s="96"/>
      <c r="K417" s="96"/>
      <c r="L417" s="96"/>
      <c r="M417" s="96"/>
      <c r="N417" s="96"/>
      <c r="O417" s="96"/>
      <c r="P417" s="96"/>
      <c r="Q417" s="96"/>
    </row>
    <row r="418" spans="1:17" ht="18" customHeight="1">
      <c r="A418" s="206"/>
      <c r="B418" s="96"/>
      <c r="C418" s="102">
        <f t="shared" si="38"/>
        <v>5.6000000000000005</v>
      </c>
      <c r="D418" s="35">
        <f t="shared" si="34"/>
        <v>0.894</v>
      </c>
      <c r="E418" s="35">
        <f t="shared" si="35"/>
        <v>115.14720000000001</v>
      </c>
      <c r="F418" s="35">
        <f t="shared" si="36"/>
        <v>0</v>
      </c>
      <c r="G418" s="45">
        <f t="shared" si="37"/>
        <v>-161.20608000000004</v>
      </c>
      <c r="H418" s="96"/>
      <c r="I418" s="96"/>
      <c r="J418" s="96"/>
      <c r="K418" s="96"/>
      <c r="L418" s="96"/>
      <c r="M418" s="96"/>
      <c r="N418" s="96"/>
      <c r="O418" s="96"/>
      <c r="P418" s="96"/>
      <c r="Q418" s="96"/>
    </row>
    <row r="419" spans="1:47" ht="18" customHeight="1">
      <c r="A419" s="206"/>
      <c r="B419" s="96"/>
      <c r="C419" s="102">
        <f t="shared" si="38"/>
        <v>6.000000000000001</v>
      </c>
      <c r="D419" s="35">
        <f t="shared" si="34"/>
        <v>0.894</v>
      </c>
      <c r="E419" s="35">
        <f t="shared" si="35"/>
        <v>123.37200000000003</v>
      </c>
      <c r="F419" s="35">
        <f t="shared" si="36"/>
        <v>0</v>
      </c>
      <c r="G419" s="45">
        <f t="shared" si="37"/>
        <v>-185.05800000000008</v>
      </c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S419" s="133" t="s">
        <v>119</v>
      </c>
      <c r="AU419" s="196" t="s">
        <v>461</v>
      </c>
    </row>
    <row r="420" spans="1:47" ht="18" customHeight="1">
      <c r="A420" s="206"/>
      <c r="B420" s="96"/>
      <c r="C420" s="102">
        <f t="shared" si="38"/>
        <v>6.400000000000001</v>
      </c>
      <c r="D420" s="35">
        <f t="shared" si="34"/>
        <v>0.894</v>
      </c>
      <c r="E420" s="35">
        <f t="shared" si="35"/>
        <v>131.59680000000003</v>
      </c>
      <c r="F420" s="35">
        <f t="shared" si="36"/>
        <v>0</v>
      </c>
      <c r="G420" s="45">
        <f t="shared" si="37"/>
        <v>-210.55488000000008</v>
      </c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S420" s="133" t="s">
        <v>295</v>
      </c>
      <c r="AT420" s="11">
        <f>E316+Qt*COS(-α)</f>
        <v>-67.43465060954901</v>
      </c>
      <c r="AU420" s="195">
        <f>B307-AT420</f>
        <v>-0.0016328271487822121</v>
      </c>
    </row>
    <row r="421" spans="1:47" ht="18" customHeight="1">
      <c r="A421" s="206"/>
      <c r="B421" s="96"/>
      <c r="C421" s="102">
        <f t="shared" si="38"/>
        <v>6.800000000000002</v>
      </c>
      <c r="D421" s="35">
        <f t="shared" si="34"/>
        <v>0.894</v>
      </c>
      <c r="E421" s="35">
        <f t="shared" si="35"/>
        <v>139.82160000000005</v>
      </c>
      <c r="F421" s="35">
        <f t="shared" si="36"/>
        <v>0</v>
      </c>
      <c r="G421" s="45">
        <f t="shared" si="37"/>
        <v>-237.69672000000008</v>
      </c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S421" s="133" t="s">
        <v>296</v>
      </c>
      <c r="AT421" s="11">
        <f>E315+Qt*SIN(-α)</f>
        <v>160.6890935505746</v>
      </c>
      <c r="AU421" s="195">
        <f>B308-AT421</f>
        <v>-0.0008164135743697898</v>
      </c>
    </row>
    <row r="422" spans="1:47" ht="18" customHeight="1">
      <c r="A422" s="206"/>
      <c r="B422" s="96"/>
      <c r="C422" s="102">
        <f t="shared" si="38"/>
        <v>7.200000000000002</v>
      </c>
      <c r="D422" s="35">
        <f t="shared" si="34"/>
        <v>0.894</v>
      </c>
      <c r="E422" s="35">
        <f t="shared" si="35"/>
        <v>148.04640000000006</v>
      </c>
      <c r="F422" s="35">
        <f t="shared" si="36"/>
        <v>0</v>
      </c>
      <c r="G422" s="45">
        <f t="shared" si="37"/>
        <v>-266.4835200000002</v>
      </c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S422" s="133" t="s">
        <v>297</v>
      </c>
      <c r="AT422" s="11">
        <f>E315*AT423+Qt*(lt+SIN(-α)*B)</f>
        <v>214.22382650653793</v>
      </c>
      <c r="AU422" s="195">
        <f>B309-AT422</f>
        <v>-0.013271727920113108</v>
      </c>
    </row>
    <row r="423" spans="1:46" ht="18" customHeight="1">
      <c r="A423" s="206"/>
      <c r="B423" s="96"/>
      <c r="C423" s="102">
        <f t="shared" si="38"/>
        <v>7.600000000000002</v>
      </c>
      <c r="D423" s="35">
        <f t="shared" si="34"/>
        <v>0.894</v>
      </c>
      <c r="E423" s="35">
        <f t="shared" si="35"/>
        <v>156.27120000000005</v>
      </c>
      <c r="F423" s="35">
        <f t="shared" si="36"/>
        <v>0</v>
      </c>
      <c r="G423" s="45">
        <f t="shared" si="37"/>
        <v>-296.91528000000017</v>
      </c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S423" s="17" t="s">
        <v>120</v>
      </c>
      <c r="AT423" s="11">
        <f>Bd/3*(2*E321+E320)/(E320+E321)</f>
        <v>0.46345791442974293</v>
      </c>
    </row>
    <row r="424" spans="1:46" ht="18" customHeight="1">
      <c r="A424" s="206"/>
      <c r="B424" s="96"/>
      <c r="C424" s="103">
        <f t="shared" si="38"/>
        <v>8.000000000000002</v>
      </c>
      <c r="D424" s="46">
        <f t="shared" si="34"/>
        <v>0.894</v>
      </c>
      <c r="E424" s="46">
        <f t="shared" si="35"/>
        <v>164.49600000000004</v>
      </c>
      <c r="F424" s="46">
        <f t="shared" si="36"/>
        <v>0</v>
      </c>
      <c r="G424" s="47">
        <f t="shared" si="37"/>
        <v>-328.9920000000002</v>
      </c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41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S424" s="124" t="s">
        <v>298</v>
      </c>
      <c r="AT424" s="11">
        <f>IF(qtu=0,0,L-Lov/3*(2*qtl+qtu)/(qtl+qtu))</f>
        <v>7.9072133962744555</v>
      </c>
    </row>
    <row r="425" spans="1:47" ht="18" customHeight="1">
      <c r="A425" s="147" t="s">
        <v>507</v>
      </c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S425" s="83" t="s">
        <v>402</v>
      </c>
      <c r="AT425" s="89">
        <f>Kt*(u0*COS(-α)+v0*SIN(-α)+(B*SIN(-α)+Lun)*θo)</f>
        <v>-0.0011735475712571638</v>
      </c>
      <c r="AU425" s="25" t="s">
        <v>307</v>
      </c>
    </row>
    <row r="426" spans="1:47" ht="18" customHeight="1">
      <c r="A426" s="20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41"/>
      <c r="AS426" s="83" t="s">
        <v>403</v>
      </c>
      <c r="AT426" s="89">
        <f>Kt*(u0*COS(-α)+v0*SIN(-α)+(B*SIN(-α)+L)*θo)</f>
        <v>11.091466762375795</v>
      </c>
      <c r="AU426" s="25" t="s">
        <v>307</v>
      </c>
    </row>
    <row r="427" spans="1:46" ht="18" customHeight="1">
      <c r="A427" s="20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41"/>
      <c r="AS427" s="192" t="s">
        <v>459</v>
      </c>
      <c r="AT427" s="19">
        <f>B</f>
        <v>0.8940000000000001</v>
      </c>
    </row>
    <row r="428" spans="1:46" ht="18" customHeight="1">
      <c r="A428" s="20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62"/>
      <c r="AS428" s="17" t="s">
        <v>121</v>
      </c>
      <c r="AT428" s="19">
        <f>MIN(B,3*d)</f>
        <v>0.8940000000000001</v>
      </c>
    </row>
    <row r="429" spans="1:46" ht="18" customHeight="1">
      <c r="A429" s="20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27"/>
      <c r="AS429" s="17" t="s">
        <v>460</v>
      </c>
      <c r="AT429" s="11">
        <f>d</f>
        <v>1.3330814082721503</v>
      </c>
    </row>
    <row r="430" spans="1:46" ht="18" customHeight="1">
      <c r="A430" s="20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AS430" s="83" t="s">
        <v>400</v>
      </c>
      <c r="AT430" s="11">
        <f>IF(d&lt;B/3,2*B308/(3*d),B308/B*(1+6*e/B))</f>
        <v>1248.6333062459028</v>
      </c>
    </row>
    <row r="431" spans="1:46" ht="18" customHeight="1">
      <c r="A431" s="20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AS431" s="83" t="s">
        <v>401</v>
      </c>
      <c r="AT431" s="11">
        <f>IF(d&lt;B/3,0,B308/B*(1-6*e/B))</f>
        <v>-889.1517019125689</v>
      </c>
    </row>
    <row r="432" spans="1:17" ht="18" customHeight="1">
      <c r="A432" s="20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</row>
    <row r="433" spans="1:17" ht="18" customHeight="1">
      <c r="A433" s="206"/>
      <c r="B433" s="96"/>
      <c r="C433" s="104" t="s">
        <v>408</v>
      </c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</row>
    <row r="434" spans="1:17" ht="18" customHeight="1">
      <c r="A434" s="206"/>
      <c r="B434" s="96"/>
      <c r="C434" s="105" t="s">
        <v>315</v>
      </c>
      <c r="D434" s="96">
        <f>KA</f>
        <v>0.10553702740371751</v>
      </c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</row>
    <row r="435" spans="1:17" ht="18" customHeight="1">
      <c r="A435" s="206"/>
      <c r="B435" s="96"/>
      <c r="C435" s="105"/>
      <c r="D435" s="61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</row>
    <row r="436" spans="1:17" ht="18" customHeight="1">
      <c r="A436" s="206"/>
      <c r="B436" s="96"/>
      <c r="C436" s="292" t="s">
        <v>190</v>
      </c>
      <c r="D436" s="149" t="s">
        <v>149</v>
      </c>
      <c r="E436" s="149" t="s">
        <v>155</v>
      </c>
      <c r="F436" s="149" t="s">
        <v>150</v>
      </c>
      <c r="G436" s="149" t="s">
        <v>151</v>
      </c>
      <c r="H436" s="150" t="s">
        <v>102</v>
      </c>
      <c r="I436" s="96"/>
      <c r="J436" s="96"/>
      <c r="K436" s="96"/>
      <c r="L436" s="96"/>
      <c r="M436" s="96"/>
      <c r="N436" s="96"/>
      <c r="O436" s="96"/>
      <c r="P436" s="96"/>
      <c r="Q436" s="96"/>
    </row>
    <row r="437" spans="1:17" ht="18" customHeight="1">
      <c r="A437" s="206"/>
      <c r="B437" s="96"/>
      <c r="C437" s="293"/>
      <c r="D437" s="97" t="s">
        <v>311</v>
      </c>
      <c r="E437" s="97" t="s">
        <v>316</v>
      </c>
      <c r="F437" s="97" t="s">
        <v>317</v>
      </c>
      <c r="G437" s="97" t="s">
        <v>318</v>
      </c>
      <c r="H437" s="98" t="s">
        <v>319</v>
      </c>
      <c r="I437" s="96"/>
      <c r="J437" s="96"/>
      <c r="K437" s="96"/>
      <c r="L437" s="96"/>
      <c r="M437" s="96"/>
      <c r="N437" s="96"/>
      <c r="O437" s="96"/>
      <c r="P437" s="96"/>
      <c r="Q437" s="96"/>
    </row>
    <row r="438" spans="1:17" ht="18" customHeight="1">
      <c r="A438" s="206"/>
      <c r="B438" s="96"/>
      <c r="C438" s="99" t="s">
        <v>152</v>
      </c>
      <c r="D438" s="100" t="s">
        <v>152</v>
      </c>
      <c r="E438" s="106" t="s">
        <v>153</v>
      </c>
      <c r="F438" s="100" t="s">
        <v>153</v>
      </c>
      <c r="G438" s="100" t="s">
        <v>153</v>
      </c>
      <c r="H438" s="101" t="s">
        <v>154</v>
      </c>
      <c r="I438" s="96"/>
      <c r="J438" s="96"/>
      <c r="K438" s="96"/>
      <c r="L438" s="96"/>
      <c r="M438" s="96"/>
      <c r="N438" s="96"/>
      <c r="O438" s="96"/>
      <c r="P438" s="96"/>
      <c r="Q438" s="96"/>
    </row>
    <row r="439" spans="1:17" ht="18" customHeight="1">
      <c r="A439" s="206"/>
      <c r="B439" s="96"/>
      <c r="C439" s="102">
        <f>0</f>
        <v>0</v>
      </c>
      <c r="D439" s="35">
        <f aca="true" t="shared" si="39" ref="D439:D459">bu+(nf-nr)*C439</f>
        <v>0.894</v>
      </c>
      <c r="E439" s="35">
        <f aca="true" t="shared" si="40" ref="E439:E459">0.5*γ*C439^2*KA</f>
        <v>0</v>
      </c>
      <c r="F439" s="35">
        <f>E439*SIN(α+δ)</f>
        <v>0</v>
      </c>
      <c r="G439" s="35">
        <f>E439*COS(α+δ)</f>
        <v>0</v>
      </c>
      <c r="H439" s="45">
        <f aca="true" t="shared" si="41" ref="H439:H459">G439*C439/3-(D439/2+C439/3*nr)*F439</f>
        <v>0</v>
      </c>
      <c r="I439" s="96"/>
      <c r="J439" s="96"/>
      <c r="K439" s="96"/>
      <c r="L439" s="96"/>
      <c r="M439" s="96"/>
      <c r="N439" s="96"/>
      <c r="O439" s="96"/>
      <c r="P439" s="96"/>
      <c r="Q439" s="96"/>
    </row>
    <row r="440" spans="1:43" ht="18" customHeight="1">
      <c r="A440" s="206"/>
      <c r="B440" s="96"/>
      <c r="C440" s="102">
        <f aca="true" t="shared" si="42" ref="C440:C459">C439+Hw/20</f>
        <v>0.4</v>
      </c>
      <c r="D440" s="35">
        <f t="shared" si="39"/>
        <v>0.894</v>
      </c>
      <c r="E440" s="35">
        <f t="shared" si="40"/>
        <v>0.16885924384594805</v>
      </c>
      <c r="F440" s="35">
        <f aca="true" t="shared" si="43" ref="F440:F459">E440*SIN(α+δ)</f>
        <v>-0.009519307157499516</v>
      </c>
      <c r="G440" s="35">
        <f aca="true" t="shared" si="44" ref="G440:G459">E440*COS(α+δ)</f>
        <v>0.16859070859174455</v>
      </c>
      <c r="H440" s="45">
        <f t="shared" si="41"/>
        <v>0.027368511922134856</v>
      </c>
      <c r="I440" s="96"/>
      <c r="J440" s="96"/>
      <c r="K440" s="96"/>
      <c r="L440" s="96"/>
      <c r="M440" s="96"/>
      <c r="N440" s="96"/>
      <c r="O440" s="96"/>
      <c r="P440" s="96"/>
      <c r="Q440" s="96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</row>
    <row r="441" spans="1:43" ht="18" customHeight="1">
      <c r="A441" s="206"/>
      <c r="B441" s="96"/>
      <c r="C441" s="102">
        <f t="shared" si="42"/>
        <v>0.8</v>
      </c>
      <c r="D441" s="35">
        <f t="shared" si="39"/>
        <v>0.894</v>
      </c>
      <c r="E441" s="35">
        <f t="shared" si="40"/>
        <v>0.6754369753837922</v>
      </c>
      <c r="F441" s="35">
        <f t="shared" si="43"/>
        <v>-0.038077228629998065</v>
      </c>
      <c r="G441" s="35">
        <f t="shared" si="44"/>
        <v>0.6743628343669782</v>
      </c>
      <c r="H441" s="45">
        <f t="shared" si="41"/>
        <v>0.20192757417946972</v>
      </c>
      <c r="I441" s="96"/>
      <c r="J441" s="96"/>
      <c r="K441" s="96"/>
      <c r="L441" s="96"/>
      <c r="M441" s="96"/>
      <c r="N441" s="96"/>
      <c r="O441" s="96"/>
      <c r="P441" s="96"/>
      <c r="Q441" s="96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</row>
    <row r="442" spans="1:43" ht="18" customHeight="1">
      <c r="A442" s="206"/>
      <c r="B442" s="96"/>
      <c r="C442" s="102">
        <f t="shared" si="42"/>
        <v>1.2000000000000002</v>
      </c>
      <c r="D442" s="35">
        <f t="shared" si="39"/>
        <v>0.894</v>
      </c>
      <c r="E442" s="35">
        <f t="shared" si="40"/>
        <v>1.5197331946135326</v>
      </c>
      <c r="F442" s="35">
        <f t="shared" si="43"/>
        <v>-0.08567376441749565</v>
      </c>
      <c r="G442" s="35">
        <f t="shared" si="44"/>
        <v>1.517316377325701</v>
      </c>
      <c r="H442" s="45">
        <f t="shared" si="41"/>
        <v>0.6623574765084002</v>
      </c>
      <c r="I442" s="96"/>
      <c r="J442" s="96"/>
      <c r="K442" s="96"/>
      <c r="L442" s="96"/>
      <c r="M442" s="96"/>
      <c r="N442" s="96"/>
      <c r="O442" s="96"/>
      <c r="P442" s="96"/>
      <c r="Q442" s="96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</row>
    <row r="443" spans="1:43" ht="18" customHeight="1">
      <c r="A443" s="206"/>
      <c r="B443" s="96"/>
      <c r="C443" s="102">
        <f t="shared" si="42"/>
        <v>1.6</v>
      </c>
      <c r="D443" s="35">
        <f t="shared" si="39"/>
        <v>0.894</v>
      </c>
      <c r="E443" s="35">
        <f t="shared" si="40"/>
        <v>2.701747901535169</v>
      </c>
      <c r="F443" s="35">
        <f t="shared" si="43"/>
        <v>-0.15230891451999226</v>
      </c>
      <c r="G443" s="35">
        <f t="shared" si="44"/>
        <v>2.6974513374679128</v>
      </c>
      <c r="H443" s="45">
        <f t="shared" si="41"/>
        <v>1.547338508645321</v>
      </c>
      <c r="I443" s="96"/>
      <c r="J443" s="96"/>
      <c r="K443" s="96"/>
      <c r="L443" s="96"/>
      <c r="M443" s="96"/>
      <c r="N443" s="96"/>
      <c r="O443" s="96"/>
      <c r="P443" s="96"/>
      <c r="Q443" s="96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</row>
    <row r="444" spans="1:43" ht="18" customHeight="1">
      <c r="A444" s="206"/>
      <c r="B444" s="96"/>
      <c r="C444" s="102">
        <f t="shared" si="42"/>
        <v>2</v>
      </c>
      <c r="D444" s="35">
        <f t="shared" si="39"/>
        <v>0.894</v>
      </c>
      <c r="E444" s="35">
        <f t="shared" si="40"/>
        <v>4.2214810961487</v>
      </c>
      <c r="F444" s="35">
        <f t="shared" si="43"/>
        <v>-0.23798267893748784</v>
      </c>
      <c r="G444" s="35">
        <f t="shared" si="44"/>
        <v>4.214767714793612</v>
      </c>
      <c r="H444" s="45">
        <f t="shared" si="41"/>
        <v>2.9955509603266277</v>
      </c>
      <c r="I444" s="96"/>
      <c r="J444" s="96"/>
      <c r="K444" s="96"/>
      <c r="L444" s="96"/>
      <c r="M444" s="96"/>
      <c r="N444" s="96"/>
      <c r="O444" s="96"/>
      <c r="P444" s="96"/>
      <c r="Q444" s="96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</row>
    <row r="445" spans="1:43" ht="18" customHeight="1">
      <c r="A445" s="206"/>
      <c r="B445" s="96"/>
      <c r="C445" s="102">
        <f t="shared" si="42"/>
        <v>2.4</v>
      </c>
      <c r="D445" s="35">
        <f t="shared" si="39"/>
        <v>0.894</v>
      </c>
      <c r="E445" s="35">
        <f t="shared" si="40"/>
        <v>6.078932778454128</v>
      </c>
      <c r="F445" s="35">
        <f t="shared" si="43"/>
        <v>-0.34269505766998243</v>
      </c>
      <c r="G445" s="35">
        <f t="shared" si="44"/>
        <v>6.069265509302801</v>
      </c>
      <c r="H445" s="45">
        <f t="shared" si="41"/>
        <v>5.145675121288717</v>
      </c>
      <c r="I445" s="96"/>
      <c r="J445" s="96"/>
      <c r="K445" s="96"/>
      <c r="L445" s="96"/>
      <c r="M445" s="96"/>
      <c r="N445" s="96"/>
      <c r="O445" s="96"/>
      <c r="P445" s="96"/>
      <c r="Q445" s="96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</row>
    <row r="446" spans="1:43" ht="18" customHeight="1">
      <c r="A446" s="206"/>
      <c r="B446" s="96"/>
      <c r="C446" s="102">
        <f t="shared" si="42"/>
        <v>2.8</v>
      </c>
      <c r="D446" s="35">
        <f t="shared" si="39"/>
        <v>0.894</v>
      </c>
      <c r="E446" s="35">
        <f t="shared" si="40"/>
        <v>8.274102948451452</v>
      </c>
      <c r="F446" s="35">
        <f t="shared" si="43"/>
        <v>-0.4664460507174761</v>
      </c>
      <c r="G446" s="35">
        <f t="shared" si="44"/>
        <v>8.260944720995479</v>
      </c>
      <c r="H446" s="45">
        <f t="shared" si="41"/>
        <v>8.136391281267981</v>
      </c>
      <c r="I446" s="96"/>
      <c r="J446" s="96"/>
      <c r="K446" s="96"/>
      <c r="L446" s="96"/>
      <c r="M446" s="96"/>
      <c r="N446" s="96"/>
      <c r="O446" s="96"/>
      <c r="P446" s="96"/>
      <c r="Q446" s="96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</row>
    <row r="447" spans="1:43" ht="18" customHeight="1">
      <c r="A447" s="206"/>
      <c r="B447" s="96"/>
      <c r="C447" s="102">
        <f t="shared" si="42"/>
        <v>3.1999999999999997</v>
      </c>
      <c r="D447" s="35">
        <f t="shared" si="39"/>
        <v>0.894</v>
      </c>
      <c r="E447" s="35">
        <f t="shared" si="40"/>
        <v>10.80699160614067</v>
      </c>
      <c r="F447" s="35">
        <f t="shared" si="43"/>
        <v>-0.6092356580799687</v>
      </c>
      <c r="G447" s="35">
        <f t="shared" si="44"/>
        <v>10.789805349871646</v>
      </c>
      <c r="H447" s="45">
        <f t="shared" si="41"/>
        <v>12.106379730000816</v>
      </c>
      <c r="I447" s="96"/>
      <c r="J447" s="96"/>
      <c r="K447" s="96"/>
      <c r="L447" s="96"/>
      <c r="M447" s="96"/>
      <c r="N447" s="96"/>
      <c r="O447" s="96"/>
      <c r="P447" s="96"/>
      <c r="Q447" s="96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</row>
    <row r="448" spans="1:43" ht="18" customHeight="1">
      <c r="A448" s="206"/>
      <c r="B448" s="96"/>
      <c r="C448" s="102">
        <f t="shared" si="42"/>
        <v>3.5999999999999996</v>
      </c>
      <c r="D448" s="35">
        <f t="shared" si="39"/>
        <v>0.894</v>
      </c>
      <c r="E448" s="35">
        <f t="shared" si="40"/>
        <v>13.677598751521785</v>
      </c>
      <c r="F448" s="35">
        <f t="shared" si="43"/>
        <v>-0.7710638797574604</v>
      </c>
      <c r="G448" s="35">
        <f t="shared" si="44"/>
        <v>13.6558473959313</v>
      </c>
      <c r="H448" s="45">
        <f t="shared" si="41"/>
        <v>17.19432075722362</v>
      </c>
      <c r="I448" s="96"/>
      <c r="J448" s="96"/>
      <c r="K448" s="96"/>
      <c r="L448" s="96"/>
      <c r="M448" s="96"/>
      <c r="N448" s="96"/>
      <c r="O448" s="96"/>
      <c r="P448" s="96"/>
      <c r="Q448" s="96"/>
      <c r="R448" s="41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</row>
    <row r="449" spans="1:43" ht="18" customHeight="1">
      <c r="A449" s="206"/>
      <c r="B449" s="96"/>
      <c r="C449" s="102">
        <f t="shared" si="42"/>
        <v>3.9999999999999996</v>
      </c>
      <c r="D449" s="35">
        <f t="shared" si="39"/>
        <v>0.894</v>
      </c>
      <c r="E449" s="35">
        <f t="shared" si="40"/>
        <v>16.885924384594798</v>
      </c>
      <c r="F449" s="35">
        <f t="shared" si="43"/>
        <v>-0.9519307157499511</v>
      </c>
      <c r="G449" s="35">
        <f t="shared" si="44"/>
        <v>16.859070859174444</v>
      </c>
      <c r="H449" s="45">
        <f t="shared" si="41"/>
        <v>23.538894652672784</v>
      </c>
      <c r="I449" s="96"/>
      <c r="J449" s="96"/>
      <c r="K449" s="96"/>
      <c r="L449" s="96"/>
      <c r="M449" s="96"/>
      <c r="N449" s="96"/>
      <c r="O449" s="96"/>
      <c r="P449" s="96"/>
      <c r="Q449" s="96"/>
      <c r="R449" s="41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</row>
    <row r="450" spans="1:43" ht="18" customHeight="1">
      <c r="A450" s="206"/>
      <c r="B450" s="96"/>
      <c r="C450" s="102">
        <f t="shared" si="42"/>
        <v>4.3999999999999995</v>
      </c>
      <c r="D450" s="35">
        <f t="shared" si="39"/>
        <v>0.894</v>
      </c>
      <c r="E450" s="35">
        <f t="shared" si="40"/>
        <v>20.431968505359706</v>
      </c>
      <c r="F450" s="35">
        <f t="shared" si="43"/>
        <v>-1.1518361660574408</v>
      </c>
      <c r="G450" s="35">
        <f t="shared" si="44"/>
        <v>20.39947573960108</v>
      </c>
      <c r="H450" s="45">
        <f t="shared" si="41"/>
        <v>31.278781706084715</v>
      </c>
      <c r="I450" s="96"/>
      <c r="J450" s="96"/>
      <c r="K450" s="96"/>
      <c r="L450" s="96"/>
      <c r="M450" s="96"/>
      <c r="N450" s="96"/>
      <c r="O450" s="96"/>
      <c r="P450" s="96"/>
      <c r="Q450" s="96"/>
      <c r="R450" s="41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</row>
    <row r="451" spans="1:43" ht="18" customHeight="1">
      <c r="A451" s="206"/>
      <c r="B451" s="96"/>
      <c r="C451" s="102">
        <f t="shared" si="42"/>
        <v>4.8</v>
      </c>
      <c r="D451" s="35">
        <f t="shared" si="39"/>
        <v>0.894</v>
      </c>
      <c r="E451" s="35">
        <f t="shared" si="40"/>
        <v>24.31573111381651</v>
      </c>
      <c r="F451" s="35">
        <f t="shared" si="43"/>
        <v>-1.3707802306799297</v>
      </c>
      <c r="G451" s="35">
        <f t="shared" si="44"/>
        <v>24.277062037211206</v>
      </c>
      <c r="H451" s="45">
        <f t="shared" si="41"/>
        <v>40.5526622071958</v>
      </c>
      <c r="I451" s="96"/>
      <c r="J451" s="96"/>
      <c r="K451" s="96"/>
      <c r="L451" s="96"/>
      <c r="M451" s="96"/>
      <c r="N451" s="96"/>
      <c r="O451" s="96"/>
      <c r="P451" s="96"/>
      <c r="Q451" s="96"/>
      <c r="R451" s="41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</row>
    <row r="452" spans="1:43" ht="18" customHeight="1">
      <c r="A452" s="206"/>
      <c r="B452" s="96"/>
      <c r="C452" s="102">
        <f t="shared" si="42"/>
        <v>5.2</v>
      </c>
      <c r="D452" s="35">
        <f t="shared" si="39"/>
        <v>0.894</v>
      </c>
      <c r="E452" s="35">
        <f t="shared" si="40"/>
        <v>28.53721220996522</v>
      </c>
      <c r="F452" s="35">
        <f t="shared" si="43"/>
        <v>-1.608762909617418</v>
      </c>
      <c r="G452" s="35">
        <f t="shared" si="44"/>
        <v>28.491829752004826</v>
      </c>
      <c r="H452" s="45">
        <f t="shared" si="41"/>
        <v>51.49921644574244</v>
      </c>
      <c r="I452" s="96"/>
      <c r="J452" s="96"/>
      <c r="K452" s="96"/>
      <c r="L452" s="96"/>
      <c r="M452" s="96"/>
      <c r="N452" s="96"/>
      <c r="O452" s="96"/>
      <c r="P452" s="96"/>
      <c r="Q452" s="96"/>
      <c r="R452" s="62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</row>
    <row r="453" spans="1:43" ht="18" customHeight="1">
      <c r="A453" s="206"/>
      <c r="C453" s="102">
        <f t="shared" si="42"/>
        <v>5.6000000000000005</v>
      </c>
      <c r="D453" s="35">
        <f t="shared" si="39"/>
        <v>0.894</v>
      </c>
      <c r="E453" s="35">
        <f t="shared" si="40"/>
        <v>33.09641179380582</v>
      </c>
      <c r="F453" s="35">
        <f t="shared" si="43"/>
        <v>-1.8657842028699052</v>
      </c>
      <c r="G453" s="35">
        <f t="shared" si="44"/>
        <v>33.04377888398193</v>
      </c>
      <c r="H453" s="45">
        <f t="shared" si="41"/>
        <v>64.25712471146103</v>
      </c>
      <c r="I453" s="96"/>
      <c r="J453" s="96"/>
      <c r="K453" s="96"/>
      <c r="L453" s="96"/>
      <c r="M453" s="96"/>
      <c r="N453" s="96"/>
      <c r="O453" s="96"/>
      <c r="P453" s="96"/>
      <c r="Q453" s="96"/>
      <c r="R453" s="49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</row>
    <row r="454" spans="1:43" ht="18" customHeight="1">
      <c r="A454" s="206"/>
      <c r="B454" s="96"/>
      <c r="C454" s="102">
        <f t="shared" si="42"/>
        <v>6.000000000000001</v>
      </c>
      <c r="D454" s="35">
        <f t="shared" si="39"/>
        <v>0.894</v>
      </c>
      <c r="E454" s="35">
        <f t="shared" si="40"/>
        <v>37.99332986533832</v>
      </c>
      <c r="F454" s="35">
        <f t="shared" si="43"/>
        <v>-2.141844110437391</v>
      </c>
      <c r="G454" s="35">
        <f t="shared" si="44"/>
        <v>37.93290943314253</v>
      </c>
      <c r="H454" s="45">
        <f t="shared" si="41"/>
        <v>78.96506729408797</v>
      </c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</row>
    <row r="455" spans="1:43" ht="18" customHeight="1">
      <c r="A455" s="206"/>
      <c r="B455" s="96"/>
      <c r="C455" s="102">
        <f t="shared" si="42"/>
        <v>6.400000000000001</v>
      </c>
      <c r="D455" s="35">
        <f t="shared" si="39"/>
        <v>0.894</v>
      </c>
      <c r="E455" s="35">
        <f t="shared" si="40"/>
        <v>43.22796642456271</v>
      </c>
      <c r="F455" s="35">
        <f t="shared" si="43"/>
        <v>-2.436942632319876</v>
      </c>
      <c r="G455" s="35">
        <f t="shared" si="44"/>
        <v>43.15922139948661</v>
      </c>
      <c r="H455" s="45">
        <f t="shared" si="41"/>
        <v>95.76172448335964</v>
      </c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</row>
    <row r="456" spans="1:43" ht="18" customHeight="1">
      <c r="A456" s="206"/>
      <c r="B456" s="96"/>
      <c r="C456" s="102">
        <f t="shared" si="42"/>
        <v>6.800000000000002</v>
      </c>
      <c r="D456" s="35">
        <f t="shared" si="39"/>
        <v>0.894</v>
      </c>
      <c r="E456" s="35">
        <f t="shared" si="40"/>
        <v>48.800321471478995</v>
      </c>
      <c r="F456" s="35">
        <f t="shared" si="43"/>
        <v>-2.7510797685173602</v>
      </c>
      <c r="G456" s="35">
        <f t="shared" si="44"/>
        <v>48.722714783014176</v>
      </c>
      <c r="H456" s="45">
        <f t="shared" si="41"/>
        <v>114.78577656901244</v>
      </c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</row>
    <row r="457" spans="1:43" ht="18" customHeight="1">
      <c r="A457" s="206"/>
      <c r="B457" s="96"/>
      <c r="C457" s="102">
        <f t="shared" si="42"/>
        <v>7.200000000000002</v>
      </c>
      <c r="D457" s="35">
        <f t="shared" si="39"/>
        <v>0.894</v>
      </c>
      <c r="E457" s="35">
        <f t="shared" si="40"/>
        <v>54.710395006087175</v>
      </c>
      <c r="F457" s="35">
        <f t="shared" si="43"/>
        <v>-3.0842555190298433</v>
      </c>
      <c r="G457" s="35">
        <f t="shared" si="44"/>
        <v>54.623389583725235</v>
      </c>
      <c r="H457" s="45">
        <f t="shared" si="41"/>
        <v>136.17590384078275</v>
      </c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</row>
    <row r="458" spans="1:43" ht="18" customHeight="1">
      <c r="A458" s="206"/>
      <c r="B458" s="96"/>
      <c r="C458" s="102">
        <f t="shared" si="42"/>
        <v>7.600000000000002</v>
      </c>
      <c r="D458" s="35">
        <f t="shared" si="39"/>
        <v>0.894</v>
      </c>
      <c r="E458" s="35">
        <f t="shared" si="40"/>
        <v>60.95818702838727</v>
      </c>
      <c r="F458" s="35">
        <f t="shared" si="43"/>
        <v>-3.4364698838573267</v>
      </c>
      <c r="G458" s="35">
        <f t="shared" si="44"/>
        <v>60.8612458016198</v>
      </c>
      <c r="H458" s="45">
        <f t="shared" si="41"/>
        <v>160.07078658840703</v>
      </c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</row>
    <row r="459" spans="1:43" ht="18" customHeight="1">
      <c r="A459" s="206"/>
      <c r="B459" s="96"/>
      <c r="C459" s="103">
        <f t="shared" si="42"/>
        <v>8.000000000000002</v>
      </c>
      <c r="D459" s="46">
        <f t="shared" si="39"/>
        <v>0.894</v>
      </c>
      <c r="E459" s="46">
        <f t="shared" si="40"/>
        <v>67.54369753837923</v>
      </c>
      <c r="F459" s="46">
        <f t="shared" si="43"/>
        <v>-3.807722862999807</v>
      </c>
      <c r="G459" s="46">
        <f t="shared" si="44"/>
        <v>67.43628343669782</v>
      </c>
      <c r="H459" s="47">
        <f t="shared" si="41"/>
        <v>186.60910510162154</v>
      </c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</row>
    <row r="460" spans="1:43" ht="18" customHeight="1">
      <c r="A460" s="20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</row>
    <row r="461" spans="1:43" ht="18" customHeight="1">
      <c r="A461" s="147" t="s">
        <v>506</v>
      </c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</row>
    <row r="462" spans="1:43" ht="18" customHeight="1">
      <c r="A462" s="206"/>
      <c r="B462" s="41"/>
      <c r="C462" s="41"/>
      <c r="D462" s="41"/>
      <c r="E462" s="41"/>
      <c r="F462" s="41"/>
      <c r="G462" s="41"/>
      <c r="H462" s="41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</row>
    <row r="463" spans="1:43" ht="18" customHeight="1">
      <c r="A463" s="201"/>
      <c r="B463" s="41"/>
      <c r="C463" s="41"/>
      <c r="D463" s="41"/>
      <c r="E463" s="41"/>
      <c r="F463" s="41"/>
      <c r="G463" s="41"/>
      <c r="H463" s="41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</row>
    <row r="464" spans="1:43" ht="18" customHeight="1">
      <c r="A464" s="201"/>
      <c r="B464" s="41"/>
      <c r="C464" s="41"/>
      <c r="D464" s="41"/>
      <c r="E464" s="41"/>
      <c r="F464" s="41"/>
      <c r="G464" s="41"/>
      <c r="H464" s="41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</row>
    <row r="465" spans="1:43" ht="18" customHeight="1">
      <c r="A465" s="201"/>
      <c r="B465" s="41"/>
      <c r="C465" s="41"/>
      <c r="D465" s="41"/>
      <c r="E465" s="41"/>
      <c r="F465" s="41"/>
      <c r="G465" s="41"/>
      <c r="H465" s="41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</row>
    <row r="466" spans="1:43" ht="18" customHeight="1">
      <c r="A466" s="201"/>
      <c r="B466" s="41"/>
      <c r="C466" s="41"/>
      <c r="D466" s="41"/>
      <c r="E466" s="41"/>
      <c r="F466" s="41"/>
      <c r="G466" s="41"/>
      <c r="H466" s="41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</row>
    <row r="467" spans="1:43" ht="18" customHeight="1">
      <c r="A467" s="20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</row>
    <row r="468" spans="1:43" ht="18" customHeight="1">
      <c r="A468" s="201"/>
      <c r="B468" s="41"/>
      <c r="C468" s="292" t="s">
        <v>190</v>
      </c>
      <c r="D468" s="149" t="s">
        <v>156</v>
      </c>
      <c r="E468" s="149" t="s">
        <v>150</v>
      </c>
      <c r="F468" s="149" t="s">
        <v>151</v>
      </c>
      <c r="G468" s="150" t="s">
        <v>102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</row>
    <row r="469" spans="1:43" ht="18" customHeight="1">
      <c r="A469" s="201"/>
      <c r="B469" s="41"/>
      <c r="C469" s="293"/>
      <c r="D469" s="97" t="s">
        <v>320</v>
      </c>
      <c r="E469" s="97" t="s">
        <v>317</v>
      </c>
      <c r="F469" s="97" t="s">
        <v>318</v>
      </c>
      <c r="G469" s="98" t="s">
        <v>319</v>
      </c>
      <c r="H469" s="107"/>
      <c r="I469" s="41"/>
      <c r="J469" s="41"/>
      <c r="K469" s="41"/>
      <c r="L469" s="41"/>
      <c r="M469" s="41"/>
      <c r="N469" s="41"/>
      <c r="O469" s="41"/>
      <c r="P469" s="41"/>
      <c r="Q469" s="41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</row>
    <row r="470" spans="1:43" ht="18" customHeight="1">
      <c r="A470" s="201"/>
      <c r="B470" s="41"/>
      <c r="C470" s="99" t="s">
        <v>152</v>
      </c>
      <c r="D470" s="100" t="s">
        <v>152</v>
      </c>
      <c r="E470" s="100" t="s">
        <v>153</v>
      </c>
      <c r="F470" s="100" t="s">
        <v>153</v>
      </c>
      <c r="G470" s="101" t="s">
        <v>154</v>
      </c>
      <c r="H470" s="3"/>
      <c r="I470" s="41"/>
      <c r="J470" s="41"/>
      <c r="K470" s="41"/>
      <c r="L470" s="41"/>
      <c r="M470" s="41"/>
      <c r="N470" s="41"/>
      <c r="O470" s="41"/>
      <c r="P470" s="41"/>
      <c r="Q470" s="41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</row>
    <row r="471" spans="1:43" ht="18" customHeight="1">
      <c r="A471" s="201"/>
      <c r="B471" s="41"/>
      <c r="C471" s="102">
        <f>0</f>
        <v>0</v>
      </c>
      <c r="D471" s="108">
        <f aca="true" t="shared" si="45" ref="D471:D491">MIN(1+C471,Lw)</f>
        <v>1</v>
      </c>
      <c r="E471" s="35">
        <v>0</v>
      </c>
      <c r="F471" s="35">
        <f aca="true" t="shared" si="46" ref="F471:F491">P/D471</f>
        <v>0</v>
      </c>
      <c r="G471" s="45">
        <f aca="true" t="shared" si="47" ref="G471:G491">(hp+C471)*P/D471</f>
        <v>0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</row>
    <row r="472" spans="1:43" ht="18" customHeight="1">
      <c r="A472" s="201"/>
      <c r="B472" s="41"/>
      <c r="C472" s="102">
        <f aca="true" t="shared" si="48" ref="C472:C491">C471+Hw/20</f>
        <v>0.4</v>
      </c>
      <c r="D472" s="108">
        <f t="shared" si="45"/>
        <v>1.4</v>
      </c>
      <c r="E472" s="35">
        <f aca="true" t="shared" si="49" ref="E472:E491">E471</f>
        <v>0</v>
      </c>
      <c r="F472" s="35">
        <f t="shared" si="46"/>
        <v>0</v>
      </c>
      <c r="G472" s="45">
        <f t="shared" si="47"/>
        <v>0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</row>
    <row r="473" spans="1:43" ht="18" customHeight="1">
      <c r="A473" s="201"/>
      <c r="B473" s="41"/>
      <c r="C473" s="102">
        <f t="shared" si="48"/>
        <v>0.8</v>
      </c>
      <c r="D473" s="108">
        <f t="shared" si="45"/>
        <v>1.8</v>
      </c>
      <c r="E473" s="35">
        <f t="shared" si="49"/>
        <v>0</v>
      </c>
      <c r="F473" s="35">
        <f t="shared" si="46"/>
        <v>0</v>
      </c>
      <c r="G473" s="45">
        <f t="shared" si="47"/>
        <v>0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</row>
    <row r="474" spans="1:43" ht="18" customHeight="1">
      <c r="A474" s="201"/>
      <c r="B474" s="41"/>
      <c r="C474" s="102">
        <f t="shared" si="48"/>
        <v>1.2000000000000002</v>
      </c>
      <c r="D474" s="108">
        <f t="shared" si="45"/>
        <v>2.2</v>
      </c>
      <c r="E474" s="35">
        <f t="shared" si="49"/>
        <v>0</v>
      </c>
      <c r="F474" s="35">
        <f t="shared" si="46"/>
        <v>0</v>
      </c>
      <c r="G474" s="45">
        <f t="shared" si="47"/>
        <v>0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</row>
    <row r="475" spans="1:43" ht="18" customHeight="1">
      <c r="A475" s="201"/>
      <c r="B475" s="41"/>
      <c r="C475" s="102">
        <f t="shared" si="48"/>
        <v>1.6</v>
      </c>
      <c r="D475" s="108">
        <f t="shared" si="45"/>
        <v>2.6</v>
      </c>
      <c r="E475" s="35">
        <f t="shared" si="49"/>
        <v>0</v>
      </c>
      <c r="F475" s="35">
        <f t="shared" si="46"/>
        <v>0</v>
      </c>
      <c r="G475" s="45">
        <f t="shared" si="47"/>
        <v>0</v>
      </c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</row>
    <row r="476" spans="1:43" ht="18" customHeight="1">
      <c r="A476" s="201"/>
      <c r="B476" s="41"/>
      <c r="C476" s="102">
        <f t="shared" si="48"/>
        <v>2</v>
      </c>
      <c r="D476" s="108">
        <f t="shared" si="45"/>
        <v>3</v>
      </c>
      <c r="E476" s="35">
        <f t="shared" si="49"/>
        <v>0</v>
      </c>
      <c r="F476" s="35">
        <f t="shared" si="46"/>
        <v>0</v>
      </c>
      <c r="G476" s="45">
        <f t="shared" si="47"/>
        <v>0</v>
      </c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</row>
    <row r="477" spans="1:43" ht="18" customHeight="1">
      <c r="A477" s="201"/>
      <c r="B477" s="41"/>
      <c r="C477" s="102">
        <f t="shared" si="48"/>
        <v>2.4</v>
      </c>
      <c r="D477" s="108">
        <f t="shared" si="45"/>
        <v>3.4</v>
      </c>
      <c r="E477" s="35">
        <f t="shared" si="49"/>
        <v>0</v>
      </c>
      <c r="F477" s="35">
        <f t="shared" si="46"/>
        <v>0</v>
      </c>
      <c r="G477" s="45">
        <f t="shared" si="47"/>
        <v>0</v>
      </c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</row>
    <row r="478" spans="1:43" ht="18" customHeight="1">
      <c r="A478" s="201"/>
      <c r="B478" s="41"/>
      <c r="C478" s="102">
        <f t="shared" si="48"/>
        <v>2.8</v>
      </c>
      <c r="D478" s="108">
        <f t="shared" si="45"/>
        <v>3.8</v>
      </c>
      <c r="E478" s="35">
        <f t="shared" si="49"/>
        <v>0</v>
      </c>
      <c r="F478" s="35">
        <f t="shared" si="46"/>
        <v>0</v>
      </c>
      <c r="G478" s="45">
        <f t="shared" si="47"/>
        <v>0</v>
      </c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</row>
    <row r="479" spans="1:43" ht="18" customHeight="1">
      <c r="A479" s="201"/>
      <c r="B479" s="41"/>
      <c r="C479" s="102">
        <f t="shared" si="48"/>
        <v>3.1999999999999997</v>
      </c>
      <c r="D479" s="108">
        <f t="shared" si="45"/>
        <v>4.199999999999999</v>
      </c>
      <c r="E479" s="35">
        <f t="shared" si="49"/>
        <v>0</v>
      </c>
      <c r="F479" s="35">
        <f t="shared" si="46"/>
        <v>0</v>
      </c>
      <c r="G479" s="45">
        <f t="shared" si="47"/>
        <v>0</v>
      </c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</row>
    <row r="480" spans="1:43" ht="18" customHeight="1">
      <c r="A480" s="201"/>
      <c r="B480" s="41"/>
      <c r="C480" s="102">
        <f t="shared" si="48"/>
        <v>3.5999999999999996</v>
      </c>
      <c r="D480" s="108">
        <f t="shared" si="45"/>
        <v>4.6</v>
      </c>
      <c r="E480" s="35">
        <f t="shared" si="49"/>
        <v>0</v>
      </c>
      <c r="F480" s="35">
        <f t="shared" si="46"/>
        <v>0</v>
      </c>
      <c r="G480" s="45">
        <f t="shared" si="47"/>
        <v>0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</row>
    <row r="481" spans="1:43" ht="18" customHeight="1">
      <c r="A481" s="201"/>
      <c r="B481" s="41"/>
      <c r="C481" s="102">
        <f t="shared" si="48"/>
        <v>3.9999999999999996</v>
      </c>
      <c r="D481" s="108">
        <f t="shared" si="45"/>
        <v>5</v>
      </c>
      <c r="E481" s="35">
        <f t="shared" si="49"/>
        <v>0</v>
      </c>
      <c r="F481" s="35">
        <f t="shared" si="46"/>
        <v>0</v>
      </c>
      <c r="G481" s="45">
        <f t="shared" si="47"/>
        <v>0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</row>
    <row r="482" spans="1:43" ht="18" customHeight="1">
      <c r="A482" s="201"/>
      <c r="B482" s="41"/>
      <c r="C482" s="102">
        <f t="shared" si="48"/>
        <v>4.3999999999999995</v>
      </c>
      <c r="D482" s="108">
        <f t="shared" si="45"/>
        <v>5.3999999999999995</v>
      </c>
      <c r="E482" s="35">
        <f t="shared" si="49"/>
        <v>0</v>
      </c>
      <c r="F482" s="35">
        <f t="shared" si="46"/>
        <v>0</v>
      </c>
      <c r="G482" s="45">
        <f t="shared" si="47"/>
        <v>0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</row>
    <row r="483" spans="1:43" ht="18" customHeight="1">
      <c r="A483" s="201"/>
      <c r="B483" s="41"/>
      <c r="C483" s="102">
        <f t="shared" si="48"/>
        <v>4.8</v>
      </c>
      <c r="D483" s="108">
        <f t="shared" si="45"/>
        <v>5.8</v>
      </c>
      <c r="E483" s="35">
        <f t="shared" si="49"/>
        <v>0</v>
      </c>
      <c r="F483" s="35">
        <f t="shared" si="46"/>
        <v>0</v>
      </c>
      <c r="G483" s="45">
        <f t="shared" si="47"/>
        <v>0</v>
      </c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</row>
    <row r="484" spans="1:43" ht="18" customHeight="1">
      <c r="A484" s="201"/>
      <c r="B484" s="41"/>
      <c r="C484" s="102">
        <f t="shared" si="48"/>
        <v>5.2</v>
      </c>
      <c r="D484" s="108">
        <f t="shared" si="45"/>
        <v>6.2</v>
      </c>
      <c r="E484" s="35">
        <f t="shared" si="49"/>
        <v>0</v>
      </c>
      <c r="F484" s="35">
        <f t="shared" si="46"/>
        <v>0</v>
      </c>
      <c r="G484" s="45">
        <f t="shared" si="47"/>
        <v>0</v>
      </c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</row>
    <row r="485" spans="1:43" ht="18" customHeight="1">
      <c r="A485" s="201"/>
      <c r="B485" s="41"/>
      <c r="C485" s="102">
        <f t="shared" si="48"/>
        <v>5.6000000000000005</v>
      </c>
      <c r="D485" s="108">
        <f t="shared" si="45"/>
        <v>6.6000000000000005</v>
      </c>
      <c r="E485" s="35">
        <f t="shared" si="49"/>
        <v>0</v>
      </c>
      <c r="F485" s="35">
        <f t="shared" si="46"/>
        <v>0</v>
      </c>
      <c r="G485" s="45">
        <f t="shared" si="47"/>
        <v>0</v>
      </c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</row>
    <row r="486" spans="1:43" ht="18" customHeight="1">
      <c r="A486" s="201"/>
      <c r="B486" s="41"/>
      <c r="C486" s="102">
        <f t="shared" si="48"/>
        <v>6.000000000000001</v>
      </c>
      <c r="D486" s="108">
        <f t="shared" si="45"/>
        <v>7.000000000000001</v>
      </c>
      <c r="E486" s="35">
        <f t="shared" si="49"/>
        <v>0</v>
      </c>
      <c r="F486" s="35">
        <f t="shared" si="46"/>
        <v>0</v>
      </c>
      <c r="G486" s="45">
        <f t="shared" si="47"/>
        <v>0</v>
      </c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</row>
    <row r="487" spans="1:43" ht="18" customHeight="1">
      <c r="A487" s="201"/>
      <c r="B487" s="41"/>
      <c r="C487" s="102">
        <f t="shared" si="48"/>
        <v>6.400000000000001</v>
      </c>
      <c r="D487" s="108">
        <f t="shared" si="45"/>
        <v>7.400000000000001</v>
      </c>
      <c r="E487" s="35">
        <f t="shared" si="49"/>
        <v>0</v>
      </c>
      <c r="F487" s="35">
        <f t="shared" si="46"/>
        <v>0</v>
      </c>
      <c r="G487" s="45">
        <f t="shared" si="47"/>
        <v>0</v>
      </c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</row>
    <row r="488" spans="1:43" ht="18" customHeight="1">
      <c r="A488" s="201"/>
      <c r="B488" s="41"/>
      <c r="C488" s="102">
        <f t="shared" si="48"/>
        <v>6.800000000000002</v>
      </c>
      <c r="D488" s="108">
        <f t="shared" si="45"/>
        <v>7.800000000000002</v>
      </c>
      <c r="E488" s="35">
        <f t="shared" si="49"/>
        <v>0</v>
      </c>
      <c r="F488" s="35">
        <f t="shared" si="46"/>
        <v>0</v>
      </c>
      <c r="G488" s="45">
        <f t="shared" si="47"/>
        <v>0</v>
      </c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</row>
    <row r="489" spans="1:43" ht="18" customHeight="1">
      <c r="A489" s="201"/>
      <c r="B489" s="41"/>
      <c r="C489" s="102">
        <f t="shared" si="48"/>
        <v>7.200000000000002</v>
      </c>
      <c r="D489" s="108">
        <f t="shared" si="45"/>
        <v>8.200000000000003</v>
      </c>
      <c r="E489" s="35">
        <f t="shared" si="49"/>
        <v>0</v>
      </c>
      <c r="F489" s="35">
        <f t="shared" si="46"/>
        <v>0</v>
      </c>
      <c r="G489" s="45">
        <f t="shared" si="47"/>
        <v>0</v>
      </c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</row>
    <row r="490" spans="1:43" ht="18" customHeight="1">
      <c r="A490" s="201"/>
      <c r="B490" s="41"/>
      <c r="C490" s="102">
        <f t="shared" si="48"/>
        <v>7.600000000000002</v>
      </c>
      <c r="D490" s="108">
        <f t="shared" si="45"/>
        <v>8.600000000000001</v>
      </c>
      <c r="E490" s="35">
        <f t="shared" si="49"/>
        <v>0</v>
      </c>
      <c r="F490" s="35">
        <f t="shared" si="46"/>
        <v>0</v>
      </c>
      <c r="G490" s="45">
        <f t="shared" si="47"/>
        <v>0</v>
      </c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</row>
    <row r="491" spans="1:43" ht="18" customHeight="1">
      <c r="A491" s="201"/>
      <c r="B491" s="41"/>
      <c r="C491" s="103">
        <f t="shared" si="48"/>
        <v>8.000000000000002</v>
      </c>
      <c r="D491" s="46">
        <f t="shared" si="45"/>
        <v>9.000000000000002</v>
      </c>
      <c r="E491" s="46">
        <f t="shared" si="49"/>
        <v>0</v>
      </c>
      <c r="F491" s="46">
        <f t="shared" si="46"/>
        <v>0</v>
      </c>
      <c r="G491" s="47">
        <f t="shared" si="47"/>
        <v>0</v>
      </c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</row>
    <row r="492" spans="1:43" ht="18" customHeight="1">
      <c r="A492" s="20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</row>
    <row r="493" spans="1:43" ht="18" customHeight="1">
      <c r="A493" s="147" t="s">
        <v>547</v>
      </c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</row>
    <row r="494" spans="1:43" ht="18" customHeight="1">
      <c r="A494" s="20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</row>
    <row r="495" spans="1:43" ht="18" customHeight="1">
      <c r="A495" s="20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</row>
    <row r="496" spans="1:43" ht="18" customHeight="1">
      <c r="A496" s="20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</row>
    <row r="497" spans="1:43" ht="18" customHeight="1">
      <c r="A497" s="20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</row>
    <row r="498" spans="1:43" ht="18" customHeight="1">
      <c r="A498" s="20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</row>
    <row r="499" spans="1:43" ht="18" customHeight="1">
      <c r="A499" s="20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</row>
    <row r="500" spans="1:43" ht="18" customHeight="1">
      <c r="A500" s="20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</row>
    <row r="501" spans="1:43" ht="18" customHeight="1">
      <c r="A501" s="20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</row>
    <row r="502" spans="1:43" ht="18" customHeight="1">
      <c r="A502" s="20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</row>
    <row r="503" spans="1:43" ht="18" customHeight="1">
      <c r="A503" s="20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</row>
    <row r="504" spans="1:43" ht="18" customHeight="1">
      <c r="A504" s="20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</row>
    <row r="505" spans="1:43" ht="18" customHeight="1">
      <c r="A505" s="20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</row>
    <row r="506" spans="1:43" ht="18" customHeight="1">
      <c r="A506" s="20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</row>
    <row r="507" spans="1:43" ht="18" customHeight="1">
      <c r="A507" s="20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</row>
    <row r="508" spans="1:43" ht="18" customHeight="1">
      <c r="A508" s="201"/>
      <c r="B508" s="94" t="s">
        <v>321</v>
      </c>
      <c r="C508" s="96">
        <f>Lun</f>
        <v>5.833096368825047</v>
      </c>
      <c r="D508" s="41" t="s">
        <v>322</v>
      </c>
      <c r="E508" s="94" t="s">
        <v>323</v>
      </c>
      <c r="F508" s="96">
        <f>Lov</f>
        <v>3.111175541174112</v>
      </c>
      <c r="G508" s="41" t="s">
        <v>322</v>
      </c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</row>
    <row r="509" spans="1:43" ht="18" customHeight="1">
      <c r="A509" s="201"/>
      <c r="B509" s="94" t="s">
        <v>324</v>
      </c>
      <c r="C509" s="96">
        <f>qtl</f>
        <v>0</v>
      </c>
      <c r="D509" s="41" t="s">
        <v>325</v>
      </c>
      <c r="E509" s="94" t="s">
        <v>326</v>
      </c>
      <c r="F509" s="96">
        <f>qtu</f>
        <v>11.091466762375795</v>
      </c>
      <c r="G509" s="41" t="s">
        <v>325</v>
      </c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96"/>
      <c r="AP509" s="96"/>
      <c r="AQ509" s="96"/>
    </row>
    <row r="510" spans="1:43" ht="18" customHeight="1">
      <c r="A510" s="292" t="s">
        <v>468</v>
      </c>
      <c r="B510" s="149" t="s">
        <v>149</v>
      </c>
      <c r="C510" s="149" t="s">
        <v>157</v>
      </c>
      <c r="D510" s="297" t="s">
        <v>158</v>
      </c>
      <c r="E510" s="298"/>
      <c r="F510" s="173" t="s">
        <v>159</v>
      </c>
      <c r="G510" s="149" t="s">
        <v>150</v>
      </c>
      <c r="H510" s="149" t="s">
        <v>151</v>
      </c>
      <c r="I510" s="150" t="s">
        <v>102</v>
      </c>
      <c r="J510" s="250"/>
      <c r="K510" s="250"/>
      <c r="L510" s="250"/>
      <c r="M510" s="250"/>
      <c r="N510" s="250"/>
      <c r="O510" s="250"/>
      <c r="P510" s="250"/>
      <c r="Q510" s="250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</row>
    <row r="511" spans="1:43" ht="18" customHeight="1">
      <c r="A511" s="293"/>
      <c r="B511" s="97" t="s">
        <v>311</v>
      </c>
      <c r="C511" s="97" t="s">
        <v>327</v>
      </c>
      <c r="D511" s="97" t="s">
        <v>328</v>
      </c>
      <c r="E511" s="97" t="s">
        <v>329</v>
      </c>
      <c r="F511" s="49" t="s">
        <v>330</v>
      </c>
      <c r="G511" s="97" t="s">
        <v>331</v>
      </c>
      <c r="H511" s="97" t="s">
        <v>332</v>
      </c>
      <c r="I511" s="98" t="s">
        <v>333</v>
      </c>
      <c r="J511" s="49"/>
      <c r="K511" s="49"/>
      <c r="L511" s="49"/>
      <c r="M511" s="49"/>
      <c r="N511" s="49"/>
      <c r="O511" s="49"/>
      <c r="P511" s="49"/>
      <c r="Q511" s="49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</row>
    <row r="512" spans="1:43" ht="18" customHeight="1">
      <c r="A512" s="99" t="s">
        <v>152</v>
      </c>
      <c r="B512" s="100" t="s">
        <v>152</v>
      </c>
      <c r="C512" s="100" t="s">
        <v>152</v>
      </c>
      <c r="D512" s="100" t="s">
        <v>463</v>
      </c>
      <c r="E512" s="100" t="s">
        <v>153</v>
      </c>
      <c r="F512" s="100" t="s">
        <v>152</v>
      </c>
      <c r="G512" s="100" t="s">
        <v>153</v>
      </c>
      <c r="H512" s="100" t="s">
        <v>153</v>
      </c>
      <c r="I512" s="101" t="s">
        <v>154</v>
      </c>
      <c r="J512" s="62"/>
      <c r="K512" s="62"/>
      <c r="L512" s="62"/>
      <c r="M512" s="62"/>
      <c r="N512" s="62"/>
      <c r="O512" s="62"/>
      <c r="P512" s="62"/>
      <c r="Q512" s="62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96"/>
    </row>
    <row r="513" spans="1:43" ht="18" customHeight="1">
      <c r="A513" s="102">
        <f>0</f>
        <v>0</v>
      </c>
      <c r="B513" s="35">
        <f aca="true" t="shared" si="50" ref="B513:B533">bu+(nf-nr)*A513</f>
        <v>0.894</v>
      </c>
      <c r="C513" s="35">
        <f aca="true" t="shared" si="51" ref="C513:C533">A513/COS(-α)</f>
        <v>0</v>
      </c>
      <c r="D513" s="35">
        <f>IF(Lov=0,0,IF(C513&gt;Lov,0,IF(Lov&lt;L,(Lov-C513)/Lov*qtu,qtu-(qtu-qtl)/Lov*C513)))</f>
        <v>11.091466762375795</v>
      </c>
      <c r="E513" s="35">
        <f>IF(C513&gt;Lov,Qt,0.5*(D513+qtu)*C513)</f>
        <v>0</v>
      </c>
      <c r="F513" s="35">
        <f>IF(E513=0,0,IF(Lov=0,0,IF(C513&gt;Lov,C513-1/3*Lov,C513/3*(2*qtu+D513)/(qtu+D513))))</f>
        <v>0</v>
      </c>
      <c r="G513" s="35">
        <f aca="true" t="shared" si="52" ref="G513:G533">E513*SIN(α)</f>
        <v>0</v>
      </c>
      <c r="H513" s="35">
        <f aca="true" t="shared" si="53" ref="H513:H533">E513*COS(α)</f>
        <v>0</v>
      </c>
      <c r="I513" s="45">
        <f>E513*(B513/2*SIN(-α)+F513)</f>
        <v>0</v>
      </c>
      <c r="J513" s="50"/>
      <c r="K513" s="50"/>
      <c r="L513" s="50"/>
      <c r="M513" s="50"/>
      <c r="N513" s="50"/>
      <c r="O513" s="50"/>
      <c r="P513" s="50"/>
      <c r="Q513" s="50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</row>
    <row r="514" spans="1:43" ht="18" customHeight="1">
      <c r="A514" s="102">
        <f aca="true" t="shared" si="54" ref="A514:A533">A513+Hw/20</f>
        <v>0.4</v>
      </c>
      <c r="B514" s="35">
        <f t="shared" si="50"/>
        <v>0.894</v>
      </c>
      <c r="C514" s="35">
        <f t="shared" si="51"/>
        <v>0.447213595499958</v>
      </c>
      <c r="D514" s="35">
        <f aca="true" t="shared" si="55" ref="D514:D533">IF(Lov=0,0,IF(C514&gt;Lov,0,IF(Lov&lt;L,(Lov-C514)/Lov*qtu,qtu-(qtu-qtl)/Lov*C514)))</f>
        <v>9.497132188667225</v>
      </c>
      <c r="E514" s="35">
        <f aca="true" t="shared" si="56" ref="E514:E533">IF(C514&gt;Lov,Qt,0.5*(D514+qtu)*C514)</f>
        <v>4.603750681601306</v>
      </c>
      <c r="F514" s="35">
        <f aca="true" t="shared" si="57" ref="F514:F533">IF(E514=0,0,IF(Lov=0,0,IF(C514&gt;Lov,C514-1/3*Lov,C514/3*(2*qtu+D514)/(qtu+D514))))</f>
        <v>0.2293786661096922</v>
      </c>
      <c r="G514" s="35">
        <f t="shared" si="52"/>
        <v>-2.058859895104302</v>
      </c>
      <c r="H514" s="35">
        <f t="shared" si="53"/>
        <v>4.117719790208604</v>
      </c>
      <c r="I514" s="45">
        <f aca="true" t="shared" si="58" ref="I514:I533">E514*(B514/2*SIN(-α)+F514)</f>
        <v>1.976312563558917</v>
      </c>
      <c r="J514" s="50"/>
      <c r="K514" s="50"/>
      <c r="L514" s="50"/>
      <c r="M514" s="50"/>
      <c r="N514" s="50"/>
      <c r="O514" s="50"/>
      <c r="P514" s="50"/>
      <c r="Q514" s="50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96"/>
    </row>
    <row r="515" spans="1:43" ht="18" customHeight="1">
      <c r="A515" s="102">
        <f t="shared" si="54"/>
        <v>0.8</v>
      </c>
      <c r="B515" s="35">
        <f t="shared" si="50"/>
        <v>0.894</v>
      </c>
      <c r="C515" s="35">
        <f t="shared" si="51"/>
        <v>0.894427190999916</v>
      </c>
      <c r="D515" s="35">
        <f t="shared" si="55"/>
        <v>7.902797614958656</v>
      </c>
      <c r="E515" s="35">
        <f t="shared" si="56"/>
        <v>8.494493266064511</v>
      </c>
      <c r="F515" s="35">
        <f t="shared" si="57"/>
        <v>0.47223897800398457</v>
      </c>
      <c r="G515" s="35">
        <f t="shared" si="52"/>
        <v>-3.7988528754668907</v>
      </c>
      <c r="H515" s="35">
        <f t="shared" si="53"/>
        <v>7.597705750933781</v>
      </c>
      <c r="I515" s="45">
        <f t="shared" si="58"/>
        <v>5.709518053961734</v>
      </c>
      <c r="J515" s="50"/>
      <c r="K515" s="50"/>
      <c r="L515" s="50"/>
      <c r="M515" s="50"/>
      <c r="N515" s="50"/>
      <c r="O515" s="50"/>
      <c r="P515" s="50"/>
      <c r="Q515" s="50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</row>
    <row r="516" spans="1:43" ht="18" customHeight="1">
      <c r="A516" s="102">
        <f t="shared" si="54"/>
        <v>1.2000000000000002</v>
      </c>
      <c r="B516" s="35">
        <f t="shared" si="50"/>
        <v>0.894</v>
      </c>
      <c r="C516" s="35">
        <f t="shared" si="51"/>
        <v>1.341640786499874</v>
      </c>
      <c r="D516" s="35">
        <f t="shared" si="55"/>
        <v>6.308463041250085</v>
      </c>
      <c r="E516" s="35">
        <f t="shared" si="56"/>
        <v>11.672227753389613</v>
      </c>
      <c r="F516" s="35">
        <f t="shared" si="57"/>
        <v>0.7322868564930407</v>
      </c>
      <c r="G516" s="35">
        <f t="shared" si="52"/>
        <v>-5.219978941087765</v>
      </c>
      <c r="H516" s="35">
        <f t="shared" si="53"/>
        <v>10.43995788217553</v>
      </c>
      <c r="I516" s="45">
        <f t="shared" si="58"/>
        <v>10.88074955646674</v>
      </c>
      <c r="J516" s="50"/>
      <c r="K516" s="50"/>
      <c r="L516" s="50"/>
      <c r="M516" s="50"/>
      <c r="N516" s="50"/>
      <c r="O516" s="50"/>
      <c r="P516" s="50"/>
      <c r="Q516" s="50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</row>
    <row r="517" spans="1:43" ht="18" customHeight="1">
      <c r="A517" s="102">
        <f t="shared" si="54"/>
        <v>1.6</v>
      </c>
      <c r="B517" s="35">
        <f t="shared" si="50"/>
        <v>0.894</v>
      </c>
      <c r="C517" s="35">
        <f t="shared" si="51"/>
        <v>1.788854381999832</v>
      </c>
      <c r="D517" s="35">
        <f t="shared" si="55"/>
        <v>4.714128467541515</v>
      </c>
      <c r="E517" s="35">
        <f t="shared" si="56"/>
        <v>14.136954143576611</v>
      </c>
      <c r="F517" s="35">
        <f t="shared" si="57"/>
        <v>1.0147235099960308</v>
      </c>
      <c r="G517" s="35">
        <f t="shared" si="52"/>
        <v>-6.322238091966925</v>
      </c>
      <c r="H517" s="35">
        <f t="shared" si="53"/>
        <v>12.64447618393385</v>
      </c>
      <c r="I517" s="45">
        <f t="shared" si="58"/>
        <v>17.171140156332207</v>
      </c>
      <c r="J517" s="50"/>
      <c r="K517" s="50"/>
      <c r="L517" s="50"/>
      <c r="M517" s="50"/>
      <c r="N517" s="50"/>
      <c r="O517" s="50"/>
      <c r="P517" s="50"/>
      <c r="Q517" s="50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</row>
    <row r="518" spans="1:43" ht="18" customHeight="1">
      <c r="A518" s="102">
        <f t="shared" si="54"/>
        <v>2</v>
      </c>
      <c r="B518" s="35">
        <f t="shared" si="50"/>
        <v>0.894</v>
      </c>
      <c r="C518" s="35">
        <f t="shared" si="51"/>
        <v>2.23606797749979</v>
      </c>
      <c r="D518" s="35">
        <f t="shared" si="55"/>
        <v>3.119793893832945</v>
      </c>
      <c r="E518" s="35">
        <f t="shared" si="56"/>
        <v>15.888672436625507</v>
      </c>
      <c r="F518" s="35">
        <f t="shared" si="57"/>
        <v>1.3270842020475324</v>
      </c>
      <c r="G518" s="35">
        <f t="shared" si="52"/>
        <v>-7.10563032810437</v>
      </c>
      <c r="H518" s="35">
        <f t="shared" si="53"/>
        <v>14.21126065620874</v>
      </c>
      <c r="I518" s="45">
        <f t="shared" si="58"/>
        <v>24.261822938816437</v>
      </c>
      <c r="J518" s="50"/>
      <c r="K518" s="50"/>
      <c r="L518" s="50"/>
      <c r="M518" s="50"/>
      <c r="N518" s="50"/>
      <c r="O518" s="50"/>
      <c r="P518" s="50"/>
      <c r="Q518" s="50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</row>
    <row r="519" spans="1:43" ht="18" customHeight="1">
      <c r="A519" s="102">
        <f t="shared" si="54"/>
        <v>2.4</v>
      </c>
      <c r="B519" s="35">
        <f t="shared" si="50"/>
        <v>0.894</v>
      </c>
      <c r="C519" s="35">
        <f t="shared" si="51"/>
        <v>2.6832815729997477</v>
      </c>
      <c r="D519" s="35">
        <f t="shared" si="55"/>
        <v>1.5254593201243758</v>
      </c>
      <c r="E519" s="35">
        <f t="shared" si="56"/>
        <v>16.9273826325363</v>
      </c>
      <c r="F519" s="35">
        <f t="shared" si="57"/>
        <v>1.6807129626270145</v>
      </c>
      <c r="G519" s="35">
        <f t="shared" si="52"/>
        <v>-7.570155649500102</v>
      </c>
      <c r="H519" s="35">
        <f t="shared" si="53"/>
        <v>15.140311299000205</v>
      </c>
      <c r="I519" s="45">
        <f t="shared" si="58"/>
        <v>31.833930989177706</v>
      </c>
      <c r="J519" s="50"/>
      <c r="K519" s="50"/>
      <c r="L519" s="50"/>
      <c r="M519" s="50"/>
      <c r="N519" s="50"/>
      <c r="O519" s="50"/>
      <c r="P519" s="50"/>
      <c r="Q519" s="50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</row>
    <row r="520" spans="1:43" ht="18" customHeight="1">
      <c r="A520" s="102">
        <f t="shared" si="54"/>
        <v>2.8</v>
      </c>
      <c r="B520" s="35">
        <f t="shared" si="50"/>
        <v>0.894</v>
      </c>
      <c r="C520" s="35">
        <f t="shared" si="51"/>
        <v>3.1304951684997055</v>
      </c>
      <c r="D520" s="35">
        <f t="shared" si="55"/>
        <v>0</v>
      </c>
      <c r="E520" s="35">
        <f t="shared" si="56"/>
        <v>17.253750053424596</v>
      </c>
      <c r="F520" s="35">
        <f t="shared" si="57"/>
        <v>2.093436654775002</v>
      </c>
      <c r="G520" s="35">
        <f t="shared" si="52"/>
        <v>-7.716111597249605</v>
      </c>
      <c r="H520" s="35">
        <f t="shared" si="53"/>
        <v>15.43222319449921</v>
      </c>
      <c r="I520" s="45">
        <f t="shared" si="58"/>
        <v>39.56873467813577</v>
      </c>
      <c r="J520" s="50"/>
      <c r="K520" s="50"/>
      <c r="L520" s="50"/>
      <c r="M520" s="50"/>
      <c r="N520" s="50"/>
      <c r="O520" s="50"/>
      <c r="P520" s="50"/>
      <c r="Q520" s="50"/>
      <c r="R520" s="96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</row>
    <row r="521" spans="1:43" ht="18" customHeight="1">
      <c r="A521" s="102">
        <f t="shared" si="54"/>
        <v>3.1999999999999997</v>
      </c>
      <c r="B521" s="35">
        <f t="shared" si="50"/>
        <v>0.894</v>
      </c>
      <c r="C521" s="35">
        <f t="shared" si="51"/>
        <v>3.5777087639996634</v>
      </c>
      <c r="D521" s="35">
        <f t="shared" si="55"/>
        <v>0</v>
      </c>
      <c r="E521" s="35">
        <f t="shared" si="56"/>
        <v>17.253750053424596</v>
      </c>
      <c r="F521" s="35">
        <f t="shared" si="57"/>
        <v>2.5406502502749593</v>
      </c>
      <c r="G521" s="35">
        <f t="shared" si="52"/>
        <v>-7.716111597249605</v>
      </c>
      <c r="H521" s="35">
        <f t="shared" si="53"/>
        <v>15.43222319449921</v>
      </c>
      <c r="I521" s="45">
        <f t="shared" si="58"/>
        <v>47.28484627538537</v>
      </c>
      <c r="J521" s="50"/>
      <c r="K521" s="50"/>
      <c r="L521" s="50"/>
      <c r="M521" s="50"/>
      <c r="N521" s="50"/>
      <c r="O521" s="50"/>
      <c r="P521" s="50"/>
      <c r="Q521" s="50"/>
      <c r="R521" s="96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</row>
    <row r="522" spans="1:43" ht="18" customHeight="1">
      <c r="A522" s="102">
        <f t="shared" si="54"/>
        <v>3.5999999999999996</v>
      </c>
      <c r="B522" s="35">
        <f t="shared" si="50"/>
        <v>0.894</v>
      </c>
      <c r="C522" s="35">
        <f t="shared" si="51"/>
        <v>4.024922359499621</v>
      </c>
      <c r="D522" s="35">
        <f t="shared" si="55"/>
        <v>0</v>
      </c>
      <c r="E522" s="35">
        <f t="shared" si="56"/>
        <v>17.253750053424596</v>
      </c>
      <c r="F522" s="35">
        <f t="shared" si="57"/>
        <v>2.9878638457749176</v>
      </c>
      <c r="G522" s="35">
        <f t="shared" si="52"/>
        <v>-7.716111597249605</v>
      </c>
      <c r="H522" s="35">
        <f t="shared" si="53"/>
        <v>15.43222319449921</v>
      </c>
      <c r="I522" s="45">
        <f t="shared" si="58"/>
        <v>55.00095787263498</v>
      </c>
      <c r="J522" s="50"/>
      <c r="K522" s="50"/>
      <c r="L522" s="50"/>
      <c r="M522" s="50"/>
      <c r="N522" s="50"/>
      <c r="O522" s="50"/>
      <c r="P522" s="50"/>
      <c r="Q522" s="50"/>
      <c r="R522" s="96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</row>
    <row r="523" spans="1:43" ht="18" customHeight="1">
      <c r="A523" s="102">
        <f t="shared" si="54"/>
        <v>3.9999999999999996</v>
      </c>
      <c r="B523" s="35">
        <f t="shared" si="50"/>
        <v>0.894</v>
      </c>
      <c r="C523" s="35">
        <f t="shared" si="51"/>
        <v>4.472135954999579</v>
      </c>
      <c r="D523" s="35">
        <f t="shared" si="55"/>
        <v>0</v>
      </c>
      <c r="E523" s="35">
        <f t="shared" si="56"/>
        <v>17.253750053424596</v>
      </c>
      <c r="F523" s="35">
        <f t="shared" si="57"/>
        <v>3.435077441274875</v>
      </c>
      <c r="G523" s="35">
        <f t="shared" si="52"/>
        <v>-7.716111597249605</v>
      </c>
      <c r="H523" s="35">
        <f t="shared" si="53"/>
        <v>15.43222319449921</v>
      </c>
      <c r="I523" s="45">
        <f t="shared" si="58"/>
        <v>62.71706946988458</v>
      </c>
      <c r="J523" s="50"/>
      <c r="K523" s="50"/>
      <c r="L523" s="50"/>
      <c r="M523" s="50"/>
      <c r="N523" s="50"/>
      <c r="O523" s="50"/>
      <c r="P523" s="50"/>
      <c r="Q523" s="50"/>
      <c r="R523" s="96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</row>
    <row r="524" spans="1:43" ht="18" customHeight="1">
      <c r="A524" s="102">
        <f t="shared" si="54"/>
        <v>4.3999999999999995</v>
      </c>
      <c r="B524" s="35">
        <f t="shared" si="50"/>
        <v>0.894</v>
      </c>
      <c r="C524" s="35">
        <f t="shared" si="51"/>
        <v>4.919349550499537</v>
      </c>
      <c r="D524" s="35">
        <f t="shared" si="55"/>
        <v>0</v>
      </c>
      <c r="E524" s="35">
        <f t="shared" si="56"/>
        <v>17.253750053424596</v>
      </c>
      <c r="F524" s="35">
        <f t="shared" si="57"/>
        <v>3.8822910367748333</v>
      </c>
      <c r="G524" s="35">
        <f t="shared" si="52"/>
        <v>-7.716111597249605</v>
      </c>
      <c r="H524" s="35">
        <f t="shared" si="53"/>
        <v>15.43222319449921</v>
      </c>
      <c r="I524" s="45">
        <f t="shared" si="58"/>
        <v>70.43318106713419</v>
      </c>
      <c r="J524" s="50"/>
      <c r="K524" s="50"/>
      <c r="L524" s="50"/>
      <c r="M524" s="50"/>
      <c r="N524" s="50"/>
      <c r="O524" s="50"/>
      <c r="P524" s="50"/>
      <c r="Q524" s="50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</row>
    <row r="525" spans="1:43" ht="18" customHeight="1">
      <c r="A525" s="102">
        <f t="shared" si="54"/>
        <v>4.8</v>
      </c>
      <c r="B525" s="35">
        <f t="shared" si="50"/>
        <v>0.894</v>
      </c>
      <c r="C525" s="35">
        <f t="shared" si="51"/>
        <v>5.366563145999495</v>
      </c>
      <c r="D525" s="35">
        <f t="shared" si="55"/>
        <v>0</v>
      </c>
      <c r="E525" s="35">
        <f t="shared" si="56"/>
        <v>17.253750053424596</v>
      </c>
      <c r="F525" s="35">
        <f t="shared" si="57"/>
        <v>4.329504632274792</v>
      </c>
      <c r="G525" s="35">
        <f t="shared" si="52"/>
        <v>-7.716111597249605</v>
      </c>
      <c r="H525" s="35">
        <f t="shared" si="53"/>
        <v>15.43222319449921</v>
      </c>
      <c r="I525" s="45">
        <f t="shared" si="58"/>
        <v>78.1492926643838</v>
      </c>
      <c r="J525" s="50"/>
      <c r="K525" s="50"/>
      <c r="L525" s="50"/>
      <c r="M525" s="50"/>
      <c r="N525" s="50"/>
      <c r="O525" s="50"/>
      <c r="P525" s="50"/>
      <c r="Q525" s="50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</row>
    <row r="526" spans="1:43" ht="18" customHeight="1">
      <c r="A526" s="102">
        <f t="shared" si="54"/>
        <v>5.2</v>
      </c>
      <c r="B526" s="35">
        <f t="shared" si="50"/>
        <v>0.894</v>
      </c>
      <c r="C526" s="35">
        <f t="shared" si="51"/>
        <v>5.813776741499454</v>
      </c>
      <c r="D526" s="35">
        <f t="shared" si="55"/>
        <v>0</v>
      </c>
      <c r="E526" s="35">
        <f t="shared" si="56"/>
        <v>17.253750053424596</v>
      </c>
      <c r="F526" s="35">
        <f t="shared" si="57"/>
        <v>4.77671822777475</v>
      </c>
      <c r="G526" s="35">
        <f t="shared" si="52"/>
        <v>-7.716111597249605</v>
      </c>
      <c r="H526" s="35">
        <f t="shared" si="53"/>
        <v>15.43222319449921</v>
      </c>
      <c r="I526" s="45">
        <f t="shared" si="58"/>
        <v>85.8654042616334</v>
      </c>
      <c r="J526" s="50"/>
      <c r="K526" s="50"/>
      <c r="L526" s="50"/>
      <c r="M526" s="50"/>
      <c r="N526" s="50"/>
      <c r="O526" s="50"/>
      <c r="P526" s="50"/>
      <c r="Q526" s="50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</row>
    <row r="527" spans="1:43" ht="18" customHeight="1">
      <c r="A527" s="102">
        <f t="shared" si="54"/>
        <v>5.6000000000000005</v>
      </c>
      <c r="B527" s="35">
        <f t="shared" si="50"/>
        <v>0.894</v>
      </c>
      <c r="C527" s="35">
        <f t="shared" si="51"/>
        <v>6.260990336999412</v>
      </c>
      <c r="D527" s="35">
        <f t="shared" si="55"/>
        <v>0</v>
      </c>
      <c r="E527" s="35">
        <f t="shared" si="56"/>
        <v>17.253750053424596</v>
      </c>
      <c r="F527" s="35">
        <f t="shared" si="57"/>
        <v>5.223931823274708</v>
      </c>
      <c r="G527" s="35">
        <f t="shared" si="52"/>
        <v>-7.716111597249605</v>
      </c>
      <c r="H527" s="35">
        <f t="shared" si="53"/>
        <v>15.43222319449921</v>
      </c>
      <c r="I527" s="45">
        <f t="shared" si="58"/>
        <v>93.58151585888301</v>
      </c>
      <c r="J527" s="50"/>
      <c r="K527" s="50"/>
      <c r="L527" s="50"/>
      <c r="M527" s="50"/>
      <c r="N527" s="50"/>
      <c r="O527" s="50"/>
      <c r="P527" s="50"/>
      <c r="Q527" s="50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</row>
    <row r="528" spans="1:43" ht="18" customHeight="1">
      <c r="A528" s="102">
        <f t="shared" si="54"/>
        <v>6.000000000000001</v>
      </c>
      <c r="B528" s="35">
        <f t="shared" si="50"/>
        <v>0.894</v>
      </c>
      <c r="C528" s="35">
        <f t="shared" si="51"/>
        <v>6.70820393249937</v>
      </c>
      <c r="D528" s="35">
        <f t="shared" si="55"/>
        <v>0</v>
      </c>
      <c r="E528" s="35">
        <f t="shared" si="56"/>
        <v>17.253750053424596</v>
      </c>
      <c r="F528" s="35">
        <f t="shared" si="57"/>
        <v>5.671145418774667</v>
      </c>
      <c r="G528" s="35">
        <f t="shared" si="52"/>
        <v>-7.716111597249605</v>
      </c>
      <c r="H528" s="35">
        <f t="shared" si="53"/>
        <v>15.43222319449921</v>
      </c>
      <c r="I528" s="45">
        <f t="shared" si="58"/>
        <v>101.29762745613263</v>
      </c>
      <c r="J528" s="50"/>
      <c r="K528" s="50"/>
      <c r="L528" s="50"/>
      <c r="M528" s="50"/>
      <c r="N528" s="50"/>
      <c r="O528" s="50"/>
      <c r="P528" s="50"/>
      <c r="Q528" s="50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</row>
    <row r="529" spans="1:43" ht="18" customHeight="1">
      <c r="A529" s="102">
        <f t="shared" si="54"/>
        <v>6.400000000000001</v>
      </c>
      <c r="B529" s="35">
        <f t="shared" si="50"/>
        <v>0.894</v>
      </c>
      <c r="C529" s="35">
        <f t="shared" si="51"/>
        <v>7.155417527999329</v>
      </c>
      <c r="D529" s="35">
        <f t="shared" si="55"/>
        <v>0</v>
      </c>
      <c r="E529" s="35">
        <f t="shared" si="56"/>
        <v>17.253750053424596</v>
      </c>
      <c r="F529" s="35">
        <f t="shared" si="57"/>
        <v>6.118359014274625</v>
      </c>
      <c r="G529" s="35">
        <f t="shared" si="52"/>
        <v>-7.716111597249605</v>
      </c>
      <c r="H529" s="35">
        <f t="shared" si="53"/>
        <v>15.43222319449921</v>
      </c>
      <c r="I529" s="45">
        <f t="shared" si="58"/>
        <v>109.01373905338224</v>
      </c>
      <c r="J529" s="50"/>
      <c r="K529" s="50"/>
      <c r="L529" s="50"/>
      <c r="M529" s="50"/>
      <c r="N529" s="50"/>
      <c r="O529" s="50"/>
      <c r="P529" s="50"/>
      <c r="Q529" s="50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</row>
    <row r="530" spans="1:43" ht="18" customHeight="1">
      <c r="A530" s="102">
        <f t="shared" si="54"/>
        <v>6.800000000000002</v>
      </c>
      <c r="B530" s="35">
        <f t="shared" si="50"/>
        <v>0.894</v>
      </c>
      <c r="C530" s="35">
        <f t="shared" si="51"/>
        <v>7.602631123499287</v>
      </c>
      <c r="D530" s="35">
        <f t="shared" si="55"/>
        <v>0</v>
      </c>
      <c r="E530" s="35">
        <f t="shared" si="56"/>
        <v>17.253750053424596</v>
      </c>
      <c r="F530" s="35">
        <f t="shared" si="57"/>
        <v>6.565572609774583</v>
      </c>
      <c r="G530" s="35">
        <f t="shared" si="52"/>
        <v>-7.716111597249605</v>
      </c>
      <c r="H530" s="35">
        <f t="shared" si="53"/>
        <v>15.43222319449921</v>
      </c>
      <c r="I530" s="45">
        <f t="shared" si="58"/>
        <v>116.72985065063185</v>
      </c>
      <c r="J530" s="50"/>
      <c r="K530" s="50"/>
      <c r="L530" s="50"/>
      <c r="M530" s="50"/>
      <c r="N530" s="50"/>
      <c r="O530" s="50"/>
      <c r="P530" s="50"/>
      <c r="Q530" s="50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</row>
    <row r="531" spans="1:43" ht="18" customHeight="1">
      <c r="A531" s="102">
        <f t="shared" si="54"/>
        <v>7.200000000000002</v>
      </c>
      <c r="B531" s="35">
        <f t="shared" si="50"/>
        <v>0.894</v>
      </c>
      <c r="C531" s="35">
        <f t="shared" si="51"/>
        <v>8.049844718999246</v>
      </c>
      <c r="D531" s="35">
        <f t="shared" si="55"/>
        <v>0</v>
      </c>
      <c r="E531" s="35">
        <f t="shared" si="56"/>
        <v>17.253750053424596</v>
      </c>
      <c r="F531" s="35">
        <f t="shared" si="57"/>
        <v>7.012786205274542</v>
      </c>
      <c r="G531" s="35">
        <f t="shared" si="52"/>
        <v>-7.716111597249605</v>
      </c>
      <c r="H531" s="35">
        <f t="shared" si="53"/>
        <v>15.43222319449921</v>
      </c>
      <c r="I531" s="45">
        <f t="shared" si="58"/>
        <v>124.44596224788148</v>
      </c>
      <c r="J531" s="50"/>
      <c r="K531" s="50"/>
      <c r="L531" s="50"/>
      <c r="M531" s="50"/>
      <c r="N531" s="50"/>
      <c r="O531" s="50"/>
      <c r="P531" s="50"/>
      <c r="Q531" s="50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</row>
    <row r="532" spans="1:43" ht="18" customHeight="1">
      <c r="A532" s="102">
        <f t="shared" si="54"/>
        <v>7.600000000000002</v>
      </c>
      <c r="B532" s="35">
        <f t="shared" si="50"/>
        <v>0.894</v>
      </c>
      <c r="C532" s="35">
        <f t="shared" si="51"/>
        <v>8.497058314499204</v>
      </c>
      <c r="D532" s="35">
        <f t="shared" si="55"/>
        <v>0</v>
      </c>
      <c r="E532" s="35">
        <f t="shared" si="56"/>
        <v>17.253750053424596</v>
      </c>
      <c r="F532" s="35">
        <f t="shared" si="57"/>
        <v>7.459999800774501</v>
      </c>
      <c r="G532" s="35">
        <f t="shared" si="52"/>
        <v>-7.716111597249605</v>
      </c>
      <c r="H532" s="35">
        <f t="shared" si="53"/>
        <v>15.43222319449921</v>
      </c>
      <c r="I532" s="45">
        <f t="shared" si="58"/>
        <v>132.1620738451311</v>
      </c>
      <c r="J532" s="50"/>
      <c r="K532" s="50"/>
      <c r="L532" s="50"/>
      <c r="M532" s="50"/>
      <c r="N532" s="50"/>
      <c r="O532" s="50"/>
      <c r="P532" s="50"/>
      <c r="Q532" s="50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</row>
    <row r="533" spans="1:43" ht="18" customHeight="1">
      <c r="A533" s="103">
        <f t="shared" si="54"/>
        <v>8.000000000000002</v>
      </c>
      <c r="B533" s="46">
        <f t="shared" si="50"/>
        <v>0.894</v>
      </c>
      <c r="C533" s="46">
        <f t="shared" si="51"/>
        <v>8.944271909999161</v>
      </c>
      <c r="D533" s="46">
        <f t="shared" si="55"/>
        <v>0</v>
      </c>
      <c r="E533" s="46">
        <f t="shared" si="56"/>
        <v>17.253750053424596</v>
      </c>
      <c r="F533" s="46">
        <f t="shared" si="57"/>
        <v>7.907213396274457</v>
      </c>
      <c r="G533" s="46">
        <f t="shared" si="52"/>
        <v>-7.716111597249605</v>
      </c>
      <c r="H533" s="46">
        <f t="shared" si="53"/>
        <v>15.43222319449921</v>
      </c>
      <c r="I533" s="47">
        <f t="shared" si="58"/>
        <v>139.87818544238067</v>
      </c>
      <c r="J533" s="50"/>
      <c r="K533" s="50"/>
      <c r="L533" s="50"/>
      <c r="M533" s="50"/>
      <c r="N533" s="50"/>
      <c r="O533" s="50"/>
      <c r="P533" s="50"/>
      <c r="Q533" s="50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</row>
    <row r="534" spans="1:43" ht="18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</row>
    <row r="535" spans="1:43" ht="18" customHeight="1">
      <c r="A535" s="147" t="s">
        <v>504</v>
      </c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</row>
    <row r="536" spans="1:43" ht="18" customHeight="1">
      <c r="A536" s="20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</row>
    <row r="537" spans="1:43" ht="18" customHeight="1">
      <c r="A537" s="20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</row>
    <row r="538" spans="1:43" ht="18" customHeight="1">
      <c r="A538" s="20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</row>
    <row r="539" spans="1:43" ht="18" customHeight="1">
      <c r="A539" s="201"/>
      <c r="C539" s="292" t="s">
        <v>190</v>
      </c>
      <c r="D539" s="149" t="s">
        <v>149</v>
      </c>
      <c r="E539" s="149" t="s">
        <v>150</v>
      </c>
      <c r="F539" s="149" t="s">
        <v>151</v>
      </c>
      <c r="G539" s="150" t="s">
        <v>102</v>
      </c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</row>
    <row r="540" spans="1:43" ht="18" customHeight="1">
      <c r="A540" s="201"/>
      <c r="C540" s="293"/>
      <c r="D540" s="97" t="s">
        <v>311</v>
      </c>
      <c r="E540" s="97" t="s">
        <v>334</v>
      </c>
      <c r="F540" s="97" t="s">
        <v>335</v>
      </c>
      <c r="G540" s="98" t="s">
        <v>336</v>
      </c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</row>
    <row r="541" spans="1:43" ht="18" customHeight="1">
      <c r="A541" s="201"/>
      <c r="C541" s="99" t="s">
        <v>152</v>
      </c>
      <c r="D541" s="100" t="s">
        <v>152</v>
      </c>
      <c r="E541" s="100" t="s">
        <v>153</v>
      </c>
      <c r="F541" s="100" t="s">
        <v>153</v>
      </c>
      <c r="G541" s="101" t="s">
        <v>154</v>
      </c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</row>
    <row r="542" spans="1:43" ht="18" customHeight="1">
      <c r="A542" s="201"/>
      <c r="C542" s="102">
        <f>0</f>
        <v>0</v>
      </c>
      <c r="D542" s="35">
        <f aca="true" t="shared" si="59" ref="D542:D562">bu+(nf-nr)*C542</f>
        <v>0.894</v>
      </c>
      <c r="E542" s="184">
        <f aca="true" t="shared" si="60" ref="E542:E562">E404+F439+E471+G513</f>
        <v>0</v>
      </c>
      <c r="F542" s="184">
        <f aca="true" t="shared" si="61" ref="F542:F562">F404+G439+F471+H513</f>
        <v>0</v>
      </c>
      <c r="G542" s="185">
        <f aca="true" t="shared" si="62" ref="G542:G562">G404+H439+G471+I513</f>
        <v>0</v>
      </c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</row>
    <row r="543" spans="3:43" ht="18" customHeight="1">
      <c r="C543" s="102">
        <f aca="true" t="shared" si="63" ref="C543:C562">C542+Hw/20</f>
        <v>0.4</v>
      </c>
      <c r="D543" s="35">
        <f t="shared" si="59"/>
        <v>0.894</v>
      </c>
      <c r="E543" s="184">
        <f t="shared" si="60"/>
        <v>6.156420797738198</v>
      </c>
      <c r="F543" s="184">
        <f t="shared" si="61"/>
        <v>4.286310498800348</v>
      </c>
      <c r="G543" s="185">
        <f t="shared" si="62"/>
        <v>1.1812010754810518</v>
      </c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</row>
    <row r="544" spans="3:43" ht="18" customHeight="1">
      <c r="C544" s="102">
        <f t="shared" si="63"/>
        <v>0.8</v>
      </c>
      <c r="D544" s="35">
        <f t="shared" si="59"/>
        <v>0.894</v>
      </c>
      <c r="E544" s="184">
        <f t="shared" si="60"/>
        <v>12.612669895903112</v>
      </c>
      <c r="F544" s="184">
        <f t="shared" si="61"/>
        <v>8.27206858530076</v>
      </c>
      <c r="G544" s="185">
        <f t="shared" si="62"/>
        <v>2.621525628141203</v>
      </c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</row>
    <row r="545" spans="3:43" ht="18" customHeight="1">
      <c r="C545" s="102">
        <f t="shared" si="63"/>
        <v>1.2000000000000002</v>
      </c>
      <c r="D545" s="35">
        <f t="shared" si="59"/>
        <v>0.894</v>
      </c>
      <c r="E545" s="184">
        <f t="shared" si="60"/>
        <v>19.368747294494746</v>
      </c>
      <c r="F545" s="184">
        <f t="shared" si="61"/>
        <v>11.957274259501231</v>
      </c>
      <c r="G545" s="185">
        <f t="shared" si="62"/>
        <v>4.140787032975136</v>
      </c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</row>
    <row r="546" spans="3:43" ht="18" customHeight="1">
      <c r="C546" s="102">
        <f t="shared" si="63"/>
        <v>1.6</v>
      </c>
      <c r="D546" s="35">
        <f t="shared" si="59"/>
        <v>0.894</v>
      </c>
      <c r="E546" s="184">
        <f t="shared" si="60"/>
        <v>26.424652993513085</v>
      </c>
      <c r="F546" s="184">
        <f t="shared" si="61"/>
        <v>15.341927521401763</v>
      </c>
      <c r="G546" s="185">
        <f t="shared" si="62"/>
        <v>5.558798664977527</v>
      </c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</row>
    <row r="547" spans="3:43" ht="18" customHeight="1">
      <c r="C547" s="102">
        <f t="shared" si="63"/>
        <v>2</v>
      </c>
      <c r="D547" s="35">
        <f t="shared" si="59"/>
        <v>0.894</v>
      </c>
      <c r="E547" s="184">
        <f t="shared" si="60"/>
        <v>33.78038699295815</v>
      </c>
      <c r="F547" s="184">
        <f t="shared" si="61"/>
        <v>18.426028371002353</v>
      </c>
      <c r="G547" s="185">
        <f t="shared" si="62"/>
        <v>6.695373899143064</v>
      </c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</row>
    <row r="548" spans="3:43" ht="18" customHeight="1">
      <c r="C548" s="102">
        <f t="shared" si="63"/>
        <v>2.4</v>
      </c>
      <c r="D548" s="35">
        <f t="shared" si="59"/>
        <v>0.894</v>
      </c>
      <c r="E548" s="184">
        <f t="shared" si="60"/>
        <v>41.43594929282992</v>
      </c>
      <c r="F548" s="184">
        <f t="shared" si="61"/>
        <v>21.209576808303005</v>
      </c>
      <c r="G548" s="185">
        <f t="shared" si="62"/>
        <v>7.370326110466426</v>
      </c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</row>
    <row r="549" spans="3:43" ht="18" customHeight="1">
      <c r="C549" s="102">
        <f t="shared" si="63"/>
        <v>2.8</v>
      </c>
      <c r="D549" s="35">
        <f t="shared" si="59"/>
        <v>0.894</v>
      </c>
      <c r="E549" s="184">
        <f t="shared" si="60"/>
        <v>49.39104235203291</v>
      </c>
      <c r="F549" s="184">
        <f t="shared" si="61"/>
        <v>23.69316791549469</v>
      </c>
      <c r="G549" s="185">
        <f t="shared" si="62"/>
        <v>7.403605959403755</v>
      </c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</row>
    <row r="550" spans="3:43" ht="18" customHeight="1">
      <c r="C550" s="102">
        <f t="shared" si="63"/>
        <v>3.1999999999999997</v>
      </c>
      <c r="D550" s="35">
        <f t="shared" si="59"/>
        <v>0.894</v>
      </c>
      <c r="E550" s="184">
        <f t="shared" si="60"/>
        <v>57.473052744670426</v>
      </c>
      <c r="F550" s="184">
        <f t="shared" si="61"/>
        <v>26.222028544370858</v>
      </c>
      <c r="G550" s="185">
        <f t="shared" si="62"/>
        <v>6.752506005386181</v>
      </c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</row>
    <row r="551" spans="3:43" ht="18" customHeight="1">
      <c r="C551" s="102">
        <f t="shared" si="63"/>
        <v>3.5999999999999996</v>
      </c>
      <c r="D551" s="35">
        <f t="shared" si="59"/>
        <v>0.894</v>
      </c>
      <c r="E551" s="184">
        <f t="shared" si="60"/>
        <v>65.53602452299293</v>
      </c>
      <c r="F551" s="184">
        <f t="shared" si="61"/>
        <v>29.08807059043051</v>
      </c>
      <c r="G551" s="185">
        <f t="shared" si="62"/>
        <v>5.5743986298585995</v>
      </c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</row>
    <row r="552" spans="3:43" ht="18" customHeight="1">
      <c r="C552" s="102">
        <f t="shared" si="63"/>
        <v>3.9999999999999996</v>
      </c>
      <c r="D552" s="35">
        <f t="shared" si="59"/>
        <v>0.894</v>
      </c>
      <c r="E552" s="184">
        <f t="shared" si="60"/>
        <v>73.57995768700043</v>
      </c>
      <c r="F552" s="184">
        <f t="shared" si="61"/>
        <v>32.29129405367365</v>
      </c>
      <c r="G552" s="185">
        <f t="shared" si="62"/>
        <v>4.007964122557368</v>
      </c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</row>
    <row r="553" spans="3:43" ht="18" customHeight="1">
      <c r="C553" s="102">
        <f t="shared" si="63"/>
        <v>4.3999999999999995</v>
      </c>
      <c r="D553" s="35">
        <f t="shared" si="59"/>
        <v>0.894</v>
      </c>
      <c r="E553" s="184">
        <f t="shared" si="60"/>
        <v>81.60485223669295</v>
      </c>
      <c r="F553" s="184">
        <f t="shared" si="61"/>
        <v>35.83169893410029</v>
      </c>
      <c r="G553" s="185">
        <f t="shared" si="62"/>
        <v>2.1918827732189214</v>
      </c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</row>
    <row r="554" spans="3:43" ht="18" customHeight="1">
      <c r="C554" s="102">
        <f t="shared" si="63"/>
        <v>4.8</v>
      </c>
      <c r="D554" s="35">
        <f t="shared" si="59"/>
        <v>0.894</v>
      </c>
      <c r="E554" s="184">
        <f t="shared" si="60"/>
        <v>89.61070817207047</v>
      </c>
      <c r="F554" s="184">
        <f t="shared" si="61"/>
        <v>39.70928523171042</v>
      </c>
      <c r="G554" s="185">
        <f t="shared" si="62"/>
        <v>0.26483487157959473</v>
      </c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</row>
    <row r="555" spans="3:43" ht="18" customHeight="1">
      <c r="C555" s="102">
        <f t="shared" si="63"/>
        <v>5.2</v>
      </c>
      <c r="D555" s="35">
        <f t="shared" si="59"/>
        <v>0.894</v>
      </c>
      <c r="E555" s="184">
        <f t="shared" si="60"/>
        <v>97.59752549313299</v>
      </c>
      <c r="F555" s="184">
        <f t="shared" si="61"/>
        <v>43.924052946504034</v>
      </c>
      <c r="G555" s="185">
        <f t="shared" si="62"/>
        <v>-1.6344992926241702</v>
      </c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</row>
    <row r="556" spans="3:43" ht="18" customHeight="1">
      <c r="C556" s="102">
        <f t="shared" si="63"/>
        <v>5.6000000000000005</v>
      </c>
      <c r="D556" s="35">
        <f t="shared" si="59"/>
        <v>0.894</v>
      </c>
      <c r="E556" s="184">
        <f t="shared" si="60"/>
        <v>105.5653041998805</v>
      </c>
      <c r="F556" s="184">
        <f t="shared" si="61"/>
        <v>48.47600207848114</v>
      </c>
      <c r="G556" s="185">
        <f t="shared" si="62"/>
        <v>-3.3674394296560024</v>
      </c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</row>
    <row r="557" spans="3:43" ht="18" customHeight="1">
      <c r="C557" s="102">
        <f t="shared" si="63"/>
        <v>6.000000000000001</v>
      </c>
      <c r="D557" s="35">
        <f t="shared" si="59"/>
        <v>0.894</v>
      </c>
      <c r="E557" s="184">
        <f t="shared" si="60"/>
        <v>113.51404429231303</v>
      </c>
      <c r="F557" s="184">
        <f t="shared" si="61"/>
        <v>53.365132627641735</v>
      </c>
      <c r="G557" s="185">
        <f t="shared" si="62"/>
        <v>-4.795305249779474</v>
      </c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</row>
    <row r="558" spans="3:43" ht="18" customHeight="1">
      <c r="C558" s="102">
        <f t="shared" si="63"/>
        <v>6.400000000000001</v>
      </c>
      <c r="D558" s="35">
        <f t="shared" si="59"/>
        <v>0.894</v>
      </c>
      <c r="E558" s="184">
        <f t="shared" si="60"/>
        <v>121.44374577043055</v>
      </c>
      <c r="F558" s="184">
        <f t="shared" si="61"/>
        <v>58.59144459398582</v>
      </c>
      <c r="G558" s="185">
        <f t="shared" si="62"/>
        <v>-5.779416463258201</v>
      </c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</row>
    <row r="559" spans="3:43" ht="18" customHeight="1">
      <c r="C559" s="102">
        <f t="shared" si="63"/>
        <v>6.800000000000002</v>
      </c>
      <c r="D559" s="35">
        <f t="shared" si="59"/>
        <v>0.894</v>
      </c>
      <c r="E559" s="184">
        <f t="shared" si="60"/>
        <v>129.35440863423307</v>
      </c>
      <c r="F559" s="184">
        <f t="shared" si="61"/>
        <v>64.15493797751338</v>
      </c>
      <c r="G559" s="185">
        <f t="shared" si="62"/>
        <v>-6.181092780355797</v>
      </c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</row>
    <row r="560" spans="3:43" ht="18" customHeight="1">
      <c r="C560" s="102">
        <f t="shared" si="63"/>
        <v>7.200000000000002</v>
      </c>
      <c r="D560" s="35">
        <f t="shared" si="59"/>
        <v>0.894</v>
      </c>
      <c r="E560" s="184">
        <f t="shared" si="60"/>
        <v>137.2460328837206</v>
      </c>
      <c r="F560" s="184">
        <f t="shared" si="61"/>
        <v>70.05561277822444</v>
      </c>
      <c r="G560" s="185">
        <f t="shared" si="62"/>
        <v>-5.861653911335992</v>
      </c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</row>
    <row r="561" spans="3:43" ht="18" customHeight="1">
      <c r="C561" s="102">
        <f t="shared" si="63"/>
        <v>7.600000000000002</v>
      </c>
      <c r="D561" s="35">
        <f t="shared" si="59"/>
        <v>0.894</v>
      </c>
      <c r="E561" s="184">
        <f t="shared" si="60"/>
        <v>145.11861851889313</v>
      </c>
      <c r="F561" s="184">
        <f t="shared" si="61"/>
        <v>76.29346899611902</v>
      </c>
      <c r="G561" s="185">
        <f t="shared" si="62"/>
        <v>-4.682419566462045</v>
      </c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</row>
    <row r="562" spans="3:43" ht="18" customHeight="1">
      <c r="C562" s="103">
        <f t="shared" si="63"/>
        <v>8.000000000000002</v>
      </c>
      <c r="D562" s="46">
        <f t="shared" si="59"/>
        <v>0.894</v>
      </c>
      <c r="E562" s="186">
        <f t="shared" si="60"/>
        <v>152.97216553975062</v>
      </c>
      <c r="F562" s="186">
        <f t="shared" si="61"/>
        <v>82.86850663119704</v>
      </c>
      <c r="G562" s="187">
        <f t="shared" si="62"/>
        <v>-2.5047094559979826</v>
      </c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</row>
    <row r="563" spans="18:43" ht="18" customHeight="1"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</row>
    <row r="564" spans="18:43" ht="18" customHeight="1"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</row>
    <row r="565" spans="18:43" ht="18" customHeight="1"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</row>
    <row r="566" spans="18:43" ht="18" customHeight="1"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</row>
    <row r="567" spans="18:43" ht="18" customHeight="1"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</row>
    <row r="568" spans="18:43" ht="18" customHeight="1">
      <c r="R568" s="41"/>
      <c r="S568" s="250"/>
      <c r="T568" s="250"/>
      <c r="U568" s="250"/>
      <c r="V568" s="250"/>
      <c r="W568" s="250"/>
      <c r="X568" s="250"/>
      <c r="Y568" s="250"/>
      <c r="Z568" s="250"/>
      <c r="AA568" s="250"/>
      <c r="AB568" s="250"/>
      <c r="AC568" s="250"/>
      <c r="AD568" s="250"/>
      <c r="AE568" s="250"/>
      <c r="AF568" s="250"/>
      <c r="AG568" s="250"/>
      <c r="AH568" s="250"/>
      <c r="AI568" s="250"/>
      <c r="AJ568" s="250"/>
      <c r="AK568" s="250"/>
      <c r="AL568" s="250"/>
      <c r="AM568" s="250"/>
      <c r="AN568" s="250"/>
      <c r="AO568" s="250"/>
      <c r="AP568" s="250"/>
      <c r="AQ568" s="250"/>
    </row>
    <row r="569" spans="18:43" ht="18" customHeight="1">
      <c r="R569" s="41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</row>
    <row r="570" spans="18:43" ht="18" customHeight="1">
      <c r="R570" s="41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</row>
    <row r="571" spans="18:43" ht="18" customHeight="1">
      <c r="R571" s="41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</row>
    <row r="572" spans="18:43" ht="18" customHeight="1">
      <c r="R572" s="2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</row>
    <row r="573" spans="1:43" ht="18" customHeight="1">
      <c r="A573" s="132" t="s">
        <v>505</v>
      </c>
      <c r="R573" s="49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</row>
    <row r="574" spans="18:43" ht="18" customHeight="1">
      <c r="R574" s="62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</row>
    <row r="575" spans="18:43" ht="18" customHeight="1"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</row>
    <row r="576" spans="18:43" ht="18" customHeight="1"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</row>
    <row r="577" spans="18:43" ht="18" customHeight="1"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</row>
    <row r="578" spans="18:43" ht="18" customHeight="1"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</row>
    <row r="579" spans="18:43" ht="18" customHeight="1"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</row>
    <row r="580" spans="2:43" ht="18" customHeight="1">
      <c r="B580" s="292" t="s">
        <v>190</v>
      </c>
      <c r="C580" s="149" t="s">
        <v>149</v>
      </c>
      <c r="D580" s="151" t="s">
        <v>160</v>
      </c>
      <c r="E580" s="151" t="s">
        <v>161</v>
      </c>
      <c r="F580" s="189" t="s">
        <v>162</v>
      </c>
      <c r="G580" s="294" t="s">
        <v>163</v>
      </c>
      <c r="H580" s="295"/>
      <c r="I580" s="296"/>
      <c r="J580" s="62"/>
      <c r="K580" s="62"/>
      <c r="L580" s="62"/>
      <c r="M580" s="62"/>
      <c r="N580" s="62"/>
      <c r="O580" s="62"/>
      <c r="P580" s="62"/>
      <c r="Q580" s="62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</row>
    <row r="581" spans="2:43" ht="18" customHeight="1">
      <c r="B581" s="293"/>
      <c r="C581" s="97" t="s">
        <v>311</v>
      </c>
      <c r="D581" s="152" t="s">
        <v>191</v>
      </c>
      <c r="E581" s="152" t="s">
        <v>192</v>
      </c>
      <c r="F581" s="152" t="s">
        <v>340</v>
      </c>
      <c r="G581" s="152" t="s">
        <v>341</v>
      </c>
      <c r="H581" s="152" t="s">
        <v>342</v>
      </c>
      <c r="I581" s="153" t="s">
        <v>343</v>
      </c>
      <c r="J581" s="251"/>
      <c r="K581" s="251"/>
      <c r="L581" s="251"/>
      <c r="M581" s="251"/>
      <c r="N581" s="251"/>
      <c r="O581" s="251"/>
      <c r="P581" s="251"/>
      <c r="Q581" s="251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</row>
    <row r="582" spans="2:43" ht="18" customHeight="1">
      <c r="B582" s="99" t="s">
        <v>152</v>
      </c>
      <c r="C582" s="100" t="s">
        <v>152</v>
      </c>
      <c r="D582" s="106" t="s">
        <v>344</v>
      </c>
      <c r="E582" s="106" t="s">
        <v>344</v>
      </c>
      <c r="F582" s="106" t="s">
        <v>344</v>
      </c>
      <c r="G582" s="106" t="s">
        <v>344</v>
      </c>
      <c r="H582" s="106" t="s">
        <v>344</v>
      </c>
      <c r="I582" s="109" t="s">
        <v>344</v>
      </c>
      <c r="J582" s="41"/>
      <c r="K582" s="41"/>
      <c r="L582" s="41"/>
      <c r="M582" s="41"/>
      <c r="N582" s="41"/>
      <c r="O582" s="41"/>
      <c r="P582" s="41"/>
      <c r="Q582" s="41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</row>
    <row r="583" spans="2:43" ht="18" customHeight="1">
      <c r="B583" s="102">
        <f>0</f>
        <v>0</v>
      </c>
      <c r="C583" s="35">
        <f aca="true" t="shared" si="64" ref="C583:C603">bu+(nf-nr)*B583</f>
        <v>0.894</v>
      </c>
      <c r="D583" s="56">
        <f aca="true" t="shared" si="65" ref="D583:D603">(E542/D542+6*G542/D542^2)/1000</f>
        <v>0</v>
      </c>
      <c r="E583" s="56">
        <f aca="true" t="shared" si="66" ref="E583:E603">(E542/D542-6*G542/D542^2)/1000</f>
        <v>0</v>
      </c>
      <c r="F583" s="56">
        <f aca="true" t="shared" si="67" ref="F583:F603">F542/D542/1000</f>
        <v>0</v>
      </c>
      <c r="G583" s="36">
        <f aca="true" t="shared" si="68" ref="G583:G603">σca</f>
        <v>4.5</v>
      </c>
      <c r="H583" s="35">
        <f aca="true" t="shared" si="69" ref="H583:H603">-σta</f>
        <v>-0.225</v>
      </c>
      <c r="I583" s="45">
        <f aca="true" t="shared" si="70" ref="I583:I603">τca</f>
        <v>0.32999999999999996</v>
      </c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</row>
    <row r="584" spans="2:43" ht="18" customHeight="1">
      <c r="B584" s="102">
        <f aca="true" t="shared" si="71" ref="B584:B603">B583+Hw/20</f>
        <v>0.4</v>
      </c>
      <c r="C584" s="35">
        <f t="shared" si="64"/>
        <v>0.894</v>
      </c>
      <c r="D584" s="56">
        <f t="shared" si="65"/>
        <v>0.01575385323742206</v>
      </c>
      <c r="E584" s="56">
        <f t="shared" si="66"/>
        <v>-0.0019810997749205007</v>
      </c>
      <c r="F584" s="56">
        <f t="shared" si="67"/>
        <v>0.004794530759284505</v>
      </c>
      <c r="G584" s="36">
        <f t="shared" si="68"/>
        <v>4.5</v>
      </c>
      <c r="H584" s="35">
        <f t="shared" si="69"/>
        <v>-0.225</v>
      </c>
      <c r="I584" s="45">
        <f t="shared" si="70"/>
        <v>0.32999999999999996</v>
      </c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</row>
    <row r="585" spans="2:43" ht="18" customHeight="1">
      <c r="B585" s="102">
        <f t="shared" si="71"/>
        <v>0.8</v>
      </c>
      <c r="C585" s="35">
        <f t="shared" si="64"/>
        <v>0.894</v>
      </c>
      <c r="D585" s="56">
        <f t="shared" si="65"/>
        <v>0.033788368711850564</v>
      </c>
      <c r="E585" s="56">
        <f t="shared" si="66"/>
        <v>-0.005572104962626604</v>
      </c>
      <c r="F585" s="56">
        <f t="shared" si="67"/>
        <v>0.009252873137920312</v>
      </c>
      <c r="G585" s="36">
        <f t="shared" si="68"/>
        <v>4.5</v>
      </c>
      <c r="H585" s="35">
        <f t="shared" si="69"/>
        <v>-0.225</v>
      </c>
      <c r="I585" s="45">
        <f t="shared" si="70"/>
        <v>0.32999999999999996</v>
      </c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</row>
    <row r="586" spans="2:43" ht="18" customHeight="1">
      <c r="B586" s="102">
        <f t="shared" si="71"/>
        <v>1.2000000000000002</v>
      </c>
      <c r="C586" s="35">
        <f t="shared" si="64"/>
        <v>0.894</v>
      </c>
      <c r="D586" s="56">
        <f t="shared" si="65"/>
        <v>0.05275085491535556</v>
      </c>
      <c r="E586" s="56">
        <f t="shared" si="66"/>
        <v>-0.009420324055188342</v>
      </c>
      <c r="F586" s="56">
        <f t="shared" si="67"/>
        <v>0.013375027135907418</v>
      </c>
      <c r="G586" s="36">
        <f t="shared" si="68"/>
        <v>4.5</v>
      </c>
      <c r="H586" s="35">
        <f t="shared" si="69"/>
        <v>-0.225</v>
      </c>
      <c r="I586" s="45">
        <f t="shared" si="70"/>
        <v>0.32999999999999996</v>
      </c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</row>
    <row r="587" spans="2:43" ht="18" customHeight="1">
      <c r="B587" s="102">
        <f t="shared" si="71"/>
        <v>1.6</v>
      </c>
      <c r="C587" s="35">
        <f t="shared" si="64"/>
        <v>0.894</v>
      </c>
      <c r="D587" s="56">
        <f t="shared" si="65"/>
        <v>0.07128862034000703</v>
      </c>
      <c r="E587" s="56">
        <f t="shared" si="66"/>
        <v>-0.01217306554467574</v>
      </c>
      <c r="F587" s="56">
        <f t="shared" si="67"/>
        <v>0.017160992753245816</v>
      </c>
      <c r="G587" s="36">
        <f t="shared" si="68"/>
        <v>4.5</v>
      </c>
      <c r="H587" s="35">
        <f t="shared" si="69"/>
        <v>-0.225</v>
      </c>
      <c r="I587" s="45">
        <f t="shared" si="70"/>
        <v>0.32999999999999996</v>
      </c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</row>
    <row r="588" spans="2:43" ht="18" customHeight="1">
      <c r="B588" s="102">
        <f t="shared" si="71"/>
        <v>2</v>
      </c>
      <c r="C588" s="35">
        <f t="shared" si="64"/>
        <v>0.894</v>
      </c>
      <c r="D588" s="56">
        <f t="shared" si="65"/>
        <v>0.08804897347787508</v>
      </c>
      <c r="E588" s="56">
        <f t="shared" si="66"/>
        <v>-0.012477637923158867</v>
      </c>
      <c r="F588" s="56">
        <f t="shared" si="67"/>
        <v>0.020610769989935517</v>
      </c>
      <c r="G588" s="36">
        <f t="shared" si="68"/>
        <v>4.5</v>
      </c>
      <c r="H588" s="35">
        <f t="shared" si="69"/>
        <v>-0.225</v>
      </c>
      <c r="I588" s="45">
        <f t="shared" si="70"/>
        <v>0.32999999999999996</v>
      </c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</row>
    <row r="589" spans="2:43" ht="18" customHeight="1">
      <c r="B589" s="102">
        <f t="shared" si="71"/>
        <v>2.4</v>
      </c>
      <c r="C589" s="35">
        <f t="shared" si="64"/>
        <v>0.894</v>
      </c>
      <c r="D589" s="56">
        <f t="shared" si="65"/>
        <v>0.1016792228210297</v>
      </c>
      <c r="E589" s="56">
        <f t="shared" si="66"/>
        <v>-0.008981349682707737</v>
      </c>
      <c r="F589" s="56">
        <f t="shared" si="67"/>
        <v>0.023724358845976515</v>
      </c>
      <c r="G589" s="36">
        <f t="shared" si="68"/>
        <v>4.5</v>
      </c>
      <c r="H589" s="35">
        <f t="shared" si="69"/>
        <v>-0.225</v>
      </c>
      <c r="I589" s="45">
        <f t="shared" si="70"/>
        <v>0.32999999999999996</v>
      </c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</row>
    <row r="590" spans="2:43" ht="18" customHeight="1">
      <c r="B590" s="102">
        <f t="shared" si="71"/>
        <v>2.8</v>
      </c>
      <c r="C590" s="35">
        <f t="shared" si="64"/>
        <v>0.894</v>
      </c>
      <c r="D590" s="56">
        <f t="shared" si="65"/>
        <v>0.11082737466673168</v>
      </c>
      <c r="E590" s="56">
        <f t="shared" si="66"/>
        <v>-0.00033287276061777504</v>
      </c>
      <c r="F590" s="56">
        <f t="shared" si="67"/>
        <v>0.026502424961403457</v>
      </c>
      <c r="G590" s="36">
        <f t="shared" si="68"/>
        <v>4.5</v>
      </c>
      <c r="H590" s="35">
        <f t="shared" si="69"/>
        <v>-0.225</v>
      </c>
      <c r="I590" s="45">
        <f t="shared" si="70"/>
        <v>0.32999999999999996</v>
      </c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</row>
    <row r="591" spans="2:43" ht="18" customHeight="1">
      <c r="B591" s="102">
        <f t="shared" si="71"/>
        <v>3.1999999999999997</v>
      </c>
      <c r="C591" s="35">
        <f t="shared" si="64"/>
        <v>0.894</v>
      </c>
      <c r="D591" s="56">
        <f t="shared" si="65"/>
        <v>0.11497973713152616</v>
      </c>
      <c r="E591" s="56">
        <f t="shared" si="66"/>
        <v>0.013595324937087767</v>
      </c>
      <c r="F591" s="56">
        <f t="shared" si="67"/>
        <v>0.02933112812569447</v>
      </c>
      <c r="G591" s="36">
        <f t="shared" si="68"/>
        <v>4.5</v>
      </c>
      <c r="H591" s="35">
        <f t="shared" si="69"/>
        <v>-0.225</v>
      </c>
      <c r="I591" s="45">
        <f t="shared" si="70"/>
        <v>0.32999999999999996</v>
      </c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</row>
    <row r="592" spans="2:43" ht="18" customHeight="1">
      <c r="B592" s="102">
        <f t="shared" si="71"/>
        <v>3.5999999999999996</v>
      </c>
      <c r="C592" s="35">
        <f t="shared" si="64"/>
        <v>0.894</v>
      </c>
      <c r="D592" s="56">
        <f t="shared" si="65"/>
        <v>0.11515446964689688</v>
      </c>
      <c r="E592" s="56">
        <f t="shared" si="66"/>
        <v>0.031458560605883736</v>
      </c>
      <c r="F592" s="56">
        <f t="shared" si="67"/>
        <v>0.03253699171189096</v>
      </c>
      <c r="G592" s="36">
        <f t="shared" si="68"/>
        <v>4.5</v>
      </c>
      <c r="H592" s="35">
        <f t="shared" si="69"/>
        <v>-0.225</v>
      </c>
      <c r="I592" s="45">
        <f t="shared" si="70"/>
        <v>0.32999999999999996</v>
      </c>
      <c r="J592" s="50"/>
      <c r="K592" s="50"/>
      <c r="L592" s="50"/>
      <c r="M592" s="50"/>
      <c r="N592" s="50"/>
      <c r="O592" s="50"/>
      <c r="P592" s="50"/>
      <c r="Q592" s="50"/>
      <c r="R592" s="50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</row>
    <row r="593" spans="2:43" ht="18" customHeight="1">
      <c r="B593" s="102">
        <f t="shared" si="71"/>
        <v>3.9999999999999996</v>
      </c>
      <c r="C593" s="35">
        <f t="shared" si="64"/>
        <v>0.894</v>
      </c>
      <c r="D593" s="56">
        <f t="shared" si="65"/>
        <v>0.11239266863294771</v>
      </c>
      <c r="E593" s="56">
        <f t="shared" si="66"/>
        <v>0.05221573782566622</v>
      </c>
      <c r="F593" s="56">
        <f t="shared" si="67"/>
        <v>0.0361200157199929</v>
      </c>
      <c r="G593" s="36">
        <f t="shared" si="68"/>
        <v>4.5</v>
      </c>
      <c r="H593" s="35">
        <f t="shared" si="69"/>
        <v>-0.225</v>
      </c>
      <c r="I593" s="45">
        <f t="shared" si="70"/>
        <v>0.32999999999999996</v>
      </c>
      <c r="J593" s="50"/>
      <c r="K593" s="50"/>
      <c r="L593" s="50"/>
      <c r="M593" s="50"/>
      <c r="N593" s="50"/>
      <c r="O593" s="50"/>
      <c r="P593" s="50"/>
      <c r="Q593" s="50"/>
      <c r="R593" s="50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</row>
    <row r="594" spans="2:43" ht="18" customHeight="1">
      <c r="B594" s="102">
        <f t="shared" si="71"/>
        <v>4.3999999999999995</v>
      </c>
      <c r="C594" s="35">
        <f t="shared" si="64"/>
        <v>0.894</v>
      </c>
      <c r="D594" s="56">
        <f t="shared" si="65"/>
        <v>0.10773543050978313</v>
      </c>
      <c r="E594" s="56">
        <f t="shared" si="66"/>
        <v>0.07482576017633084</v>
      </c>
      <c r="F594" s="56">
        <f t="shared" si="67"/>
        <v>0.04008020015000032</v>
      </c>
      <c r="G594" s="36">
        <f t="shared" si="68"/>
        <v>4.5</v>
      </c>
      <c r="H594" s="35">
        <f t="shared" si="69"/>
        <v>-0.225</v>
      </c>
      <c r="I594" s="45">
        <f t="shared" si="70"/>
        <v>0.32999999999999996</v>
      </c>
      <c r="J594" s="50"/>
      <c r="K594" s="50"/>
      <c r="L594" s="50"/>
      <c r="M594" s="50"/>
      <c r="N594" s="50"/>
      <c r="O594" s="50"/>
      <c r="P594" s="50"/>
      <c r="Q594" s="50"/>
      <c r="R594" s="50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</row>
    <row r="595" spans="2:43" ht="18" customHeight="1">
      <c r="B595" s="102">
        <f t="shared" si="71"/>
        <v>4.8</v>
      </c>
      <c r="C595" s="35">
        <f t="shared" si="64"/>
        <v>0.894</v>
      </c>
      <c r="D595" s="56">
        <f t="shared" si="65"/>
        <v>0.10222385169750683</v>
      </c>
      <c r="E595" s="56">
        <f t="shared" si="66"/>
        <v>0.09824753123777387</v>
      </c>
      <c r="F595" s="56">
        <f t="shared" si="67"/>
        <v>0.044417545001913215</v>
      </c>
      <c r="G595" s="36">
        <f t="shared" si="68"/>
        <v>4.5</v>
      </c>
      <c r="H595" s="35">
        <f t="shared" si="69"/>
        <v>-0.225</v>
      </c>
      <c r="I595" s="45">
        <f t="shared" si="70"/>
        <v>0.32999999999999996</v>
      </c>
      <c r="J595" s="50"/>
      <c r="K595" s="50"/>
      <c r="L595" s="50"/>
      <c r="M595" s="50"/>
      <c r="N595" s="50"/>
      <c r="O595" s="50"/>
      <c r="P595" s="50"/>
      <c r="Q595" s="50"/>
      <c r="R595" s="50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</row>
    <row r="596" spans="2:43" ht="18" customHeight="1">
      <c r="B596" s="102">
        <f t="shared" si="71"/>
        <v>5.2</v>
      </c>
      <c r="C596" s="35">
        <f t="shared" si="64"/>
        <v>0.894</v>
      </c>
      <c r="D596" s="56">
        <f t="shared" si="65"/>
        <v>0.09689902861622333</v>
      </c>
      <c r="E596" s="56">
        <f t="shared" si="66"/>
        <v>0.12143995458989075</v>
      </c>
      <c r="F596" s="56">
        <f t="shared" si="67"/>
        <v>0.04913205027573158</v>
      </c>
      <c r="G596" s="36">
        <f t="shared" si="68"/>
        <v>4.5</v>
      </c>
      <c r="H596" s="35">
        <f t="shared" si="69"/>
        <v>-0.225</v>
      </c>
      <c r="I596" s="45">
        <f t="shared" si="70"/>
        <v>0.32999999999999996</v>
      </c>
      <c r="J596" s="50"/>
      <c r="K596" s="50"/>
      <c r="L596" s="50"/>
      <c r="M596" s="50"/>
      <c r="N596" s="50"/>
      <c r="O596" s="50"/>
      <c r="P596" s="50"/>
      <c r="Q596" s="50"/>
      <c r="R596" s="62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</row>
    <row r="597" spans="2:43" ht="18" customHeight="1">
      <c r="B597" s="102">
        <f t="shared" si="71"/>
        <v>5.6000000000000005</v>
      </c>
      <c r="C597" s="35">
        <f t="shared" si="64"/>
        <v>0.894</v>
      </c>
      <c r="D597" s="56">
        <f t="shared" si="65"/>
        <v>0.09280205768603661</v>
      </c>
      <c r="E597" s="56">
        <f t="shared" si="66"/>
        <v>0.1433619338125775</v>
      </c>
      <c r="F597" s="56">
        <f t="shared" si="67"/>
        <v>0.054223715971455415</v>
      </c>
      <c r="G597" s="36">
        <f t="shared" si="68"/>
        <v>4.5</v>
      </c>
      <c r="H597" s="35">
        <f t="shared" si="69"/>
        <v>-0.225</v>
      </c>
      <c r="I597" s="45">
        <f t="shared" si="70"/>
        <v>0.32999999999999996</v>
      </c>
      <c r="J597" s="50"/>
      <c r="K597" s="50"/>
      <c r="L597" s="50"/>
      <c r="M597" s="50"/>
      <c r="N597" s="50"/>
      <c r="O597" s="50"/>
      <c r="P597" s="50"/>
      <c r="Q597" s="50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</row>
    <row r="598" spans="2:43" ht="18" customHeight="1">
      <c r="B598" s="102">
        <f t="shared" si="71"/>
        <v>6.000000000000001</v>
      </c>
      <c r="C598" s="35">
        <f t="shared" si="64"/>
        <v>0.894</v>
      </c>
      <c r="D598" s="56">
        <f t="shared" si="65"/>
        <v>0.09097403532705109</v>
      </c>
      <c r="E598" s="56">
        <f t="shared" si="66"/>
        <v>0.16297237248572974</v>
      </c>
      <c r="F598" s="56">
        <f t="shared" si="67"/>
        <v>0.05969254208908471</v>
      </c>
      <c r="G598" s="36">
        <f t="shared" si="68"/>
        <v>4.5</v>
      </c>
      <c r="H598" s="35">
        <f t="shared" si="69"/>
        <v>-0.225</v>
      </c>
      <c r="I598" s="45">
        <f t="shared" si="70"/>
        <v>0.32999999999999996</v>
      </c>
      <c r="J598" s="50"/>
      <c r="K598" s="50"/>
      <c r="L598" s="50"/>
      <c r="M598" s="50"/>
      <c r="N598" s="50"/>
      <c r="O598" s="50"/>
      <c r="P598" s="50"/>
      <c r="Q598" s="50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</row>
    <row r="599" spans="2:18" ht="18" customHeight="1">
      <c r="B599" s="102">
        <f t="shared" si="71"/>
        <v>6.400000000000001</v>
      </c>
      <c r="C599" s="35">
        <f t="shared" si="64"/>
        <v>0.894</v>
      </c>
      <c r="D599" s="56">
        <f t="shared" si="65"/>
        <v>0.09245605795937083</v>
      </c>
      <c r="E599" s="56">
        <f t="shared" si="66"/>
        <v>0.17923017418924336</v>
      </c>
      <c r="F599" s="56">
        <f t="shared" si="67"/>
        <v>0.06553852862861949</v>
      </c>
      <c r="G599" s="36">
        <f t="shared" si="68"/>
        <v>4.5</v>
      </c>
      <c r="H599" s="35">
        <f t="shared" si="69"/>
        <v>-0.225</v>
      </c>
      <c r="I599" s="45">
        <f t="shared" si="70"/>
        <v>0.32999999999999996</v>
      </c>
      <c r="J599" s="50"/>
      <c r="K599" s="50"/>
      <c r="L599" s="50"/>
      <c r="M599" s="50"/>
      <c r="N599" s="50"/>
      <c r="O599" s="50"/>
      <c r="P599" s="50"/>
      <c r="Q599" s="50"/>
      <c r="R599" s="41"/>
    </row>
    <row r="600" spans="2:18" ht="18" customHeight="1">
      <c r="B600" s="102">
        <f t="shared" si="71"/>
        <v>6.800000000000002</v>
      </c>
      <c r="C600" s="35">
        <f t="shared" si="64"/>
        <v>0.894</v>
      </c>
      <c r="D600" s="56">
        <f t="shared" si="65"/>
        <v>0.09828922200309993</v>
      </c>
      <c r="E600" s="56">
        <f t="shared" si="66"/>
        <v>0.1910942425030143</v>
      </c>
      <c r="F600" s="56">
        <f t="shared" si="67"/>
        <v>0.0717616755900597</v>
      </c>
      <c r="G600" s="36">
        <f t="shared" si="68"/>
        <v>4.5</v>
      </c>
      <c r="H600" s="35">
        <f t="shared" si="69"/>
        <v>-0.225</v>
      </c>
      <c r="I600" s="45">
        <f t="shared" si="70"/>
        <v>0.32999999999999996</v>
      </c>
      <c r="J600" s="50"/>
      <c r="K600" s="50"/>
      <c r="L600" s="50"/>
      <c r="M600" s="50"/>
      <c r="N600" s="50"/>
      <c r="O600" s="50"/>
      <c r="P600" s="50"/>
      <c r="Q600" s="50"/>
      <c r="R600" s="41"/>
    </row>
    <row r="601" spans="2:18" ht="18" customHeight="1">
      <c r="B601" s="102">
        <f t="shared" si="71"/>
        <v>7.200000000000002</v>
      </c>
      <c r="C601" s="35">
        <f t="shared" si="64"/>
        <v>0.894</v>
      </c>
      <c r="D601" s="56">
        <f t="shared" si="65"/>
        <v>0.10951462387834164</v>
      </c>
      <c r="E601" s="56">
        <f t="shared" si="66"/>
        <v>0.19752348100693934</v>
      </c>
      <c r="F601" s="56">
        <f t="shared" si="67"/>
        <v>0.07836198297340542</v>
      </c>
      <c r="G601" s="36">
        <f t="shared" si="68"/>
        <v>4.5</v>
      </c>
      <c r="H601" s="35">
        <f t="shared" si="69"/>
        <v>-0.225</v>
      </c>
      <c r="I601" s="45">
        <f t="shared" si="70"/>
        <v>0.32999999999999996</v>
      </c>
      <c r="J601" s="50"/>
      <c r="K601" s="50"/>
      <c r="L601" s="50"/>
      <c r="M601" s="50"/>
      <c r="N601" s="50"/>
      <c r="O601" s="50"/>
      <c r="P601" s="50"/>
      <c r="Q601" s="50"/>
      <c r="R601" s="41"/>
    </row>
    <row r="602" spans="2:18" ht="18" customHeight="1">
      <c r="B602" s="102">
        <f t="shared" si="71"/>
        <v>7.600000000000002</v>
      </c>
      <c r="C602" s="35">
        <f t="shared" si="64"/>
        <v>0.894</v>
      </c>
      <c r="D602" s="56">
        <f t="shared" si="65"/>
        <v>0.1271733600052027</v>
      </c>
      <c r="E602" s="56">
        <f t="shared" si="66"/>
        <v>0.1974767932809117</v>
      </c>
      <c r="F602" s="56">
        <f t="shared" si="67"/>
        <v>0.08533945077865661</v>
      </c>
      <c r="G602" s="36">
        <f t="shared" si="68"/>
        <v>4.5</v>
      </c>
      <c r="H602" s="35">
        <f t="shared" si="69"/>
        <v>-0.225</v>
      </c>
      <c r="I602" s="45">
        <f t="shared" si="70"/>
        <v>0.32999999999999996</v>
      </c>
      <c r="J602" s="50"/>
      <c r="K602" s="50"/>
      <c r="L602" s="50"/>
      <c r="M602" s="50"/>
      <c r="N602" s="50"/>
      <c r="O602" s="50"/>
      <c r="P602" s="50"/>
      <c r="Q602" s="50"/>
      <c r="R602" s="41"/>
    </row>
    <row r="603" spans="2:17" ht="18" customHeight="1">
      <c r="B603" s="103">
        <f t="shared" si="71"/>
        <v>8.000000000000002</v>
      </c>
      <c r="C603" s="46">
        <f t="shared" si="64"/>
        <v>0.894</v>
      </c>
      <c r="D603" s="56">
        <f t="shared" si="65"/>
        <v>0.15230652680378406</v>
      </c>
      <c r="E603" s="56">
        <f t="shared" si="66"/>
        <v>0.1899130829048303</v>
      </c>
      <c r="F603" s="110">
        <f t="shared" si="67"/>
        <v>0.09269407900581324</v>
      </c>
      <c r="G603" s="100">
        <f t="shared" si="68"/>
        <v>4.5</v>
      </c>
      <c r="H603" s="46">
        <f t="shared" si="69"/>
        <v>-0.225</v>
      </c>
      <c r="I603" s="47">
        <f t="shared" si="70"/>
        <v>0.32999999999999996</v>
      </c>
      <c r="J603" s="50"/>
      <c r="K603" s="50"/>
      <c r="L603" s="50"/>
      <c r="M603" s="50"/>
      <c r="N603" s="50"/>
      <c r="O603" s="50"/>
      <c r="P603" s="50"/>
      <c r="Q603" s="50"/>
    </row>
    <row r="604" spans="3:7" ht="18" customHeight="1">
      <c r="C604" s="17" t="s">
        <v>164</v>
      </c>
      <c r="D604" s="111">
        <f>MAX(D583:D603)</f>
        <v>0.15230652680378406</v>
      </c>
      <c r="E604" s="111">
        <f>MAX(E583:E603)</f>
        <v>0.19752348100693934</v>
      </c>
      <c r="F604" s="255">
        <f>MAX(F583:F603)</f>
        <v>0.09269407900581324</v>
      </c>
      <c r="G604" s="253"/>
    </row>
    <row r="605" spans="2:17" ht="18" customHeight="1">
      <c r="B605" s="41"/>
      <c r="C605" s="112" t="s">
        <v>165</v>
      </c>
      <c r="D605" s="110">
        <f>MIN(D583:D603)</f>
        <v>0</v>
      </c>
      <c r="E605" s="110">
        <f>MIN(E583:E603)</f>
        <v>-0.012477637923158867</v>
      </c>
      <c r="F605" s="254">
        <f>MIN(F583:F603)</f>
        <v>0</v>
      </c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</row>
    <row r="606" spans="2:17" ht="18" customHeight="1">
      <c r="B606" s="41"/>
      <c r="C606" s="63"/>
      <c r="D606" s="96"/>
      <c r="E606" s="96"/>
      <c r="F606" s="96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</row>
    <row r="611" spans="2:7" ht="18" customHeight="1">
      <c r="B611" s="41"/>
      <c r="C611" s="41"/>
      <c r="D611" s="41"/>
      <c r="E611" s="41"/>
      <c r="F611" s="41"/>
      <c r="G611" s="41"/>
    </row>
    <row r="612" spans="2:6" ht="18" customHeight="1">
      <c r="B612" s="63"/>
      <c r="C612" s="41"/>
      <c r="D612" s="41"/>
      <c r="E612" s="41"/>
      <c r="F612" s="41"/>
    </row>
    <row r="613" spans="2:6" ht="18" customHeight="1">
      <c r="B613" s="41"/>
      <c r="C613" s="41"/>
      <c r="D613" s="41"/>
      <c r="E613" s="41"/>
      <c r="F613" s="41"/>
    </row>
    <row r="615" spans="2:17" ht="18" customHeight="1">
      <c r="B615" s="133" t="s">
        <v>166</v>
      </c>
      <c r="C615" s="133" t="s">
        <v>349</v>
      </c>
      <c r="D615" s="268">
        <f>MAX(D604:E605)</f>
        <v>0.19752348100693934</v>
      </c>
      <c r="E615" s="11" t="s">
        <v>253</v>
      </c>
      <c r="F615" s="3" t="str">
        <f>IF(D615&lt;=G615,"&lt;","&gt;")</f>
        <v>&lt;</v>
      </c>
      <c r="G615" s="62">
        <f>σca</f>
        <v>4.5</v>
      </c>
      <c r="H615" s="11" t="s">
        <v>253</v>
      </c>
      <c r="I615" s="3" t="str">
        <f>IF(D615&lt;=G615,"SAFE","OUT")</f>
        <v>SAFE</v>
      </c>
      <c r="J615" s="3"/>
      <c r="K615" s="3"/>
      <c r="L615" s="3"/>
      <c r="M615" s="3"/>
      <c r="N615" s="3"/>
      <c r="O615" s="3"/>
      <c r="P615" s="3"/>
      <c r="Q615" s="3"/>
    </row>
    <row r="616" spans="2:17" ht="18" customHeight="1">
      <c r="B616" s="133" t="s">
        <v>167</v>
      </c>
      <c r="C616" s="133" t="s">
        <v>350</v>
      </c>
      <c r="D616" s="268">
        <f>MIN(D604:E605)</f>
        <v>-0.012477637923158867</v>
      </c>
      <c r="E616" s="11" t="s">
        <v>253</v>
      </c>
      <c r="F616" s="3" t="str">
        <f>IF(D616&lt;=G616,"&lt;","&gt;")</f>
        <v>&gt;</v>
      </c>
      <c r="G616" s="96">
        <f>-σta</f>
        <v>-0.225</v>
      </c>
      <c r="H616" s="11" t="s">
        <v>253</v>
      </c>
      <c r="I616" s="3" t="str">
        <f>IF(D616&gt;=G616,"SAFE","OUT")</f>
        <v>SAFE</v>
      </c>
      <c r="J616" s="3"/>
      <c r="K616" s="3"/>
      <c r="L616" s="3"/>
      <c r="M616" s="3"/>
      <c r="N616" s="3"/>
      <c r="O616" s="3"/>
      <c r="P616" s="3"/>
      <c r="Q616" s="3"/>
    </row>
    <row r="617" spans="2:17" ht="18" customHeight="1">
      <c r="B617" s="133" t="s">
        <v>168</v>
      </c>
      <c r="C617" s="133" t="s">
        <v>351</v>
      </c>
      <c r="D617" s="268">
        <f>MAX(F604:F605)</f>
        <v>0.09269407900581324</v>
      </c>
      <c r="E617" s="11" t="s">
        <v>253</v>
      </c>
      <c r="F617" s="3" t="str">
        <f>IF(D617&lt;=G617,"&lt;","&gt;")</f>
        <v>&lt;</v>
      </c>
      <c r="G617" s="62">
        <f>τca</f>
        <v>0.32999999999999996</v>
      </c>
      <c r="H617" s="11" t="s">
        <v>253</v>
      </c>
      <c r="I617" s="3" t="str">
        <f>IF(D617&lt;=G617,"SAFE","OUT")</f>
        <v>SAFE</v>
      </c>
      <c r="J617" s="3"/>
      <c r="K617" s="3"/>
      <c r="L617" s="3"/>
      <c r="M617" s="3"/>
      <c r="N617" s="3"/>
      <c r="O617" s="3"/>
      <c r="P617" s="3"/>
      <c r="Q617" s="3"/>
    </row>
    <row r="619" ht="18" customHeight="1">
      <c r="B619" s="132" t="s">
        <v>464</v>
      </c>
    </row>
    <row r="620" ht="18" customHeight="1">
      <c r="B620" s="132" t="s">
        <v>378</v>
      </c>
    </row>
    <row r="631" spans="3:6" ht="18" customHeight="1">
      <c r="C631" s="154" t="s">
        <v>413</v>
      </c>
      <c r="D631" s="13" t="s">
        <v>414</v>
      </c>
      <c r="E631" s="3">
        <v>1000</v>
      </c>
      <c r="F631" s="11" t="s">
        <v>415</v>
      </c>
    </row>
    <row r="632" spans="3:6" ht="18" customHeight="1">
      <c r="C632" s="154" t="s">
        <v>416</v>
      </c>
      <c r="D632" s="13" t="s">
        <v>417</v>
      </c>
      <c r="E632" s="3">
        <f>E58</f>
      </c>
      <c r="F632" s="11" t="s">
        <v>418</v>
      </c>
    </row>
    <row r="633" spans="3:6" ht="18" customHeight="1">
      <c r="C633" s="154" t="s">
        <v>419</v>
      </c>
      <c r="D633" s="13" t="s">
        <v>429</v>
      </c>
      <c r="E633" s="3">
        <f>E56</f>
      </c>
      <c r="F633" s="11" t="s">
        <v>415</v>
      </c>
    </row>
    <row r="634" spans="3:6" ht="18" customHeight="1">
      <c r="C634" s="154" t="s">
        <v>420</v>
      </c>
      <c r="D634" s="13" t="s">
        <v>421</v>
      </c>
      <c r="E634" s="3" t="str">
        <f>IF(E633=10,71.33,IF(E633=13,126.7,IF(E633=16,198.6,IF(E633=19,286.5,IF(E633=22,387.1,IF(E633=25,506.7,IF(E633=29,642.4,IF(E633=32,794.2,"規格外"))))))))</f>
        <v>規格外</v>
      </c>
      <c r="F634" s="11" t="s">
        <v>422</v>
      </c>
    </row>
    <row r="635" spans="3:6" ht="18" customHeight="1">
      <c r="C635" s="154" t="s">
        <v>423</v>
      </c>
      <c r="D635" s="13" t="s">
        <v>424</v>
      </c>
      <c r="E635" s="3">
        <f>IF(AR68=1,0,1000/E57)</f>
        <v>0</v>
      </c>
      <c r="F635" s="43" t="s">
        <v>425</v>
      </c>
    </row>
    <row r="636" spans="3:6" ht="18" customHeight="1">
      <c r="C636" s="154" t="s">
        <v>426</v>
      </c>
      <c r="D636" s="13" t="s">
        <v>427</v>
      </c>
      <c r="E636" s="3">
        <f>IF(AR68=1,0,E634*E635)</f>
        <v>0</v>
      </c>
      <c r="F636" s="11" t="s">
        <v>428</v>
      </c>
    </row>
    <row r="637" spans="3:8" ht="18" customHeight="1">
      <c r="C637" s="43"/>
      <c r="F637" s="43"/>
      <c r="H637" s="155"/>
    </row>
    <row r="638" spans="19:43" ht="18" customHeight="1"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</row>
    <row r="639" spans="3:43" ht="18" customHeight="1">
      <c r="C639" s="43"/>
      <c r="E639" s="12"/>
      <c r="G639" s="132"/>
      <c r="H639" s="12"/>
      <c r="S639" s="251"/>
      <c r="T639" s="251"/>
      <c r="U639" s="251"/>
      <c r="V639" s="251"/>
      <c r="W639" s="251"/>
      <c r="X639" s="251"/>
      <c r="Y639" s="251"/>
      <c r="Z639" s="251"/>
      <c r="AA639" s="251"/>
      <c r="AB639" s="251"/>
      <c r="AC639" s="251"/>
      <c r="AD639" s="251"/>
      <c r="AE639" s="251"/>
      <c r="AF639" s="251"/>
      <c r="AG639" s="251"/>
      <c r="AH639" s="251"/>
      <c r="AI639" s="251"/>
      <c r="AJ639" s="251"/>
      <c r="AK639" s="251"/>
      <c r="AL639" s="251"/>
      <c r="AM639" s="251"/>
      <c r="AN639" s="251"/>
      <c r="AO639" s="251"/>
      <c r="AP639" s="251"/>
      <c r="AQ639" s="251"/>
    </row>
    <row r="640" spans="19:43" ht="18" customHeight="1"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</row>
    <row r="641" spans="3:43" ht="18" customHeight="1">
      <c r="C641" s="43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</row>
    <row r="642" spans="18:43" ht="18" customHeight="1">
      <c r="R642" s="62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</row>
    <row r="643" spans="5:43" ht="18" customHeight="1">
      <c r="E643" s="52"/>
      <c r="R643" s="251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</row>
    <row r="644" spans="18:43" ht="18" customHeight="1">
      <c r="R644" s="41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</row>
    <row r="645" spans="2:43" ht="18" customHeight="1">
      <c r="B645" s="11" t="str">
        <f>IF(AR68=1,"無筋コンクリートなので計算しない","")</f>
        <v>無筋コンクリートなので計算しない</v>
      </c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</row>
    <row r="646" spans="1:43" ht="18" customHeight="1">
      <c r="A646" s="292" t="s">
        <v>467</v>
      </c>
      <c r="B646" s="149" t="s">
        <v>149</v>
      </c>
      <c r="C646" s="175" t="s">
        <v>436</v>
      </c>
      <c r="D646" s="175" t="s">
        <v>438</v>
      </c>
      <c r="E646" s="175" t="s">
        <v>440</v>
      </c>
      <c r="F646" s="305" t="s">
        <v>441</v>
      </c>
      <c r="G646" s="306"/>
      <c r="H646" s="305" t="s">
        <v>442</v>
      </c>
      <c r="I646" s="307"/>
      <c r="J646" s="252"/>
      <c r="K646" s="252"/>
      <c r="L646" s="252"/>
      <c r="M646" s="252"/>
      <c r="N646" s="252"/>
      <c r="O646" s="252"/>
      <c r="P646" s="252"/>
      <c r="Q646" s="252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</row>
    <row r="647" spans="1:43" ht="18" customHeight="1">
      <c r="A647" s="304"/>
      <c r="B647" s="97" t="s">
        <v>311</v>
      </c>
      <c r="C647" s="97" t="s">
        <v>430</v>
      </c>
      <c r="D647" s="97" t="s">
        <v>431</v>
      </c>
      <c r="E647" s="308" t="s">
        <v>482</v>
      </c>
      <c r="F647" s="310" t="s">
        <v>432</v>
      </c>
      <c r="G647" s="310" t="s">
        <v>433</v>
      </c>
      <c r="H647" s="176" t="s">
        <v>434</v>
      </c>
      <c r="I647" s="177" t="s">
        <v>435</v>
      </c>
      <c r="J647" s="252"/>
      <c r="K647" s="252"/>
      <c r="L647" s="252"/>
      <c r="M647" s="252"/>
      <c r="N647" s="252"/>
      <c r="O647" s="252"/>
      <c r="P647" s="252"/>
      <c r="Q647" s="252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</row>
    <row r="648" spans="1:43" ht="18" customHeight="1">
      <c r="A648" s="99" t="s">
        <v>152</v>
      </c>
      <c r="B648" s="100" t="s">
        <v>152</v>
      </c>
      <c r="C648" s="100" t="s">
        <v>437</v>
      </c>
      <c r="D648" s="100" t="s">
        <v>439</v>
      </c>
      <c r="E648" s="309"/>
      <c r="F648" s="311"/>
      <c r="G648" s="311"/>
      <c r="H648" s="100" t="s">
        <v>443</v>
      </c>
      <c r="I648" s="101" t="s">
        <v>443</v>
      </c>
      <c r="J648" s="62"/>
      <c r="K648" s="62"/>
      <c r="L648" s="62"/>
      <c r="M648" s="62"/>
      <c r="N648" s="62"/>
      <c r="O648" s="62"/>
      <c r="P648" s="62"/>
      <c r="Q648" s="62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</row>
    <row r="649" spans="1:43" ht="18" customHeight="1">
      <c r="A649" s="102">
        <f aca="true" t="shared" si="72" ref="A649:B669">B583</f>
        <v>0</v>
      </c>
      <c r="B649" s="184">
        <f t="shared" si="72"/>
        <v>0.894</v>
      </c>
      <c r="C649" s="188">
        <f>IF($AR$68=1,0,G542)</f>
        <v>0</v>
      </c>
      <c r="D649" s="36">
        <f aca="true" t="shared" si="73" ref="D649:D669">IF($AR$68=1,B649*1000,B649*1000-$E$632)</f>
        <v>894</v>
      </c>
      <c r="E649" s="178">
        <f>15*$E$636/1000/D649</f>
        <v>0</v>
      </c>
      <c r="F649" s="178">
        <f>(E649^2+2*E649)^0.5-E649</f>
        <v>0</v>
      </c>
      <c r="G649" s="178">
        <f>1-F649/3</f>
        <v>1</v>
      </c>
      <c r="H649" s="35">
        <f>IF(C649=0,0,ABS(IF($AR$68=1,"***",2*C649*1000000/(F649*G649*1000*D649^2))))</f>
        <v>0</v>
      </c>
      <c r="I649" s="45">
        <f aca="true" t="shared" si="74" ref="I649:I669">IF(C649=0,0,ABS(IF($AR$68=1,"***",C649*1000000/($E$636*G649*D649))))</f>
        <v>0</v>
      </c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</row>
    <row r="650" spans="1:43" ht="18" customHeight="1">
      <c r="A650" s="102">
        <f t="shared" si="72"/>
        <v>0.4</v>
      </c>
      <c r="B650" s="184">
        <f t="shared" si="72"/>
        <v>0.894</v>
      </c>
      <c r="C650" s="184">
        <f aca="true" t="shared" si="75" ref="C650:C669">IF($AR$68=1,0,G543)</f>
        <v>0</v>
      </c>
      <c r="D650" s="36">
        <f t="shared" si="73"/>
        <v>894</v>
      </c>
      <c r="E650" s="178">
        <f aca="true" t="shared" si="76" ref="E650:E669">15*$E$636/1000/D650</f>
        <v>0</v>
      </c>
      <c r="F650" s="178">
        <f aca="true" t="shared" si="77" ref="F650:F669">(E650^2+2*E650)^0.5-E650</f>
        <v>0</v>
      </c>
      <c r="G650" s="178">
        <f aca="true" t="shared" si="78" ref="G650:G669">1-F650/3</f>
        <v>1</v>
      </c>
      <c r="H650" s="35">
        <f aca="true" t="shared" si="79" ref="H650:H662">IF(C650=0,0,ABS(IF($AR$68=1,"***",2*C650*1000000/(F650*G650*1000*D650^2))))</f>
        <v>0</v>
      </c>
      <c r="I650" s="45">
        <f t="shared" si="74"/>
        <v>0</v>
      </c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</row>
    <row r="651" spans="1:43" ht="18" customHeight="1">
      <c r="A651" s="102">
        <f t="shared" si="72"/>
        <v>0.8</v>
      </c>
      <c r="B651" s="184">
        <f t="shared" si="72"/>
        <v>0.894</v>
      </c>
      <c r="C651" s="184">
        <f t="shared" si="75"/>
        <v>0</v>
      </c>
      <c r="D651" s="36">
        <f t="shared" si="73"/>
        <v>894</v>
      </c>
      <c r="E651" s="178">
        <f t="shared" si="76"/>
        <v>0</v>
      </c>
      <c r="F651" s="178">
        <f t="shared" si="77"/>
        <v>0</v>
      </c>
      <c r="G651" s="178">
        <f t="shared" si="78"/>
        <v>1</v>
      </c>
      <c r="H651" s="35">
        <f t="shared" si="79"/>
        <v>0</v>
      </c>
      <c r="I651" s="45">
        <f t="shared" si="74"/>
        <v>0</v>
      </c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</row>
    <row r="652" spans="1:43" ht="18" customHeight="1">
      <c r="A652" s="102">
        <f t="shared" si="72"/>
        <v>1.2000000000000002</v>
      </c>
      <c r="B652" s="184">
        <f t="shared" si="72"/>
        <v>0.894</v>
      </c>
      <c r="C652" s="184">
        <f t="shared" si="75"/>
        <v>0</v>
      </c>
      <c r="D652" s="36">
        <f t="shared" si="73"/>
        <v>894</v>
      </c>
      <c r="E652" s="178">
        <f t="shared" si="76"/>
        <v>0</v>
      </c>
      <c r="F652" s="178">
        <f t="shared" si="77"/>
        <v>0</v>
      </c>
      <c r="G652" s="178">
        <f t="shared" si="78"/>
        <v>1</v>
      </c>
      <c r="H652" s="35">
        <f t="shared" si="79"/>
        <v>0</v>
      </c>
      <c r="I652" s="45">
        <f t="shared" si="74"/>
        <v>0</v>
      </c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</row>
    <row r="653" spans="1:43" ht="18" customHeight="1">
      <c r="A653" s="102">
        <f t="shared" si="72"/>
        <v>1.6</v>
      </c>
      <c r="B653" s="184">
        <f t="shared" si="72"/>
        <v>0.894</v>
      </c>
      <c r="C653" s="184">
        <f t="shared" si="75"/>
        <v>0</v>
      </c>
      <c r="D653" s="36">
        <f t="shared" si="73"/>
        <v>894</v>
      </c>
      <c r="E653" s="178">
        <f t="shared" si="76"/>
        <v>0</v>
      </c>
      <c r="F653" s="178">
        <f t="shared" si="77"/>
        <v>0</v>
      </c>
      <c r="G653" s="178">
        <f t="shared" si="78"/>
        <v>1</v>
      </c>
      <c r="H653" s="35">
        <f t="shared" si="79"/>
        <v>0</v>
      </c>
      <c r="I653" s="45">
        <f t="shared" si="74"/>
        <v>0</v>
      </c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</row>
    <row r="654" spans="1:43" ht="18" customHeight="1">
      <c r="A654" s="102">
        <f t="shared" si="72"/>
        <v>2</v>
      </c>
      <c r="B654" s="184">
        <f t="shared" si="72"/>
        <v>0.894</v>
      </c>
      <c r="C654" s="184">
        <f t="shared" si="75"/>
        <v>0</v>
      </c>
      <c r="D654" s="36">
        <f t="shared" si="73"/>
        <v>894</v>
      </c>
      <c r="E654" s="178">
        <f t="shared" si="76"/>
        <v>0</v>
      </c>
      <c r="F654" s="178">
        <f t="shared" si="77"/>
        <v>0</v>
      </c>
      <c r="G654" s="178">
        <f t="shared" si="78"/>
        <v>1</v>
      </c>
      <c r="H654" s="35">
        <f t="shared" si="79"/>
        <v>0</v>
      </c>
      <c r="I654" s="45">
        <f t="shared" si="74"/>
        <v>0</v>
      </c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</row>
    <row r="655" spans="1:46" ht="18" customHeight="1">
      <c r="A655" s="102">
        <f t="shared" si="72"/>
        <v>2.4</v>
      </c>
      <c r="B655" s="184">
        <f t="shared" si="72"/>
        <v>0.894</v>
      </c>
      <c r="C655" s="184">
        <f t="shared" si="75"/>
        <v>0</v>
      </c>
      <c r="D655" s="36">
        <f t="shared" si="73"/>
        <v>894</v>
      </c>
      <c r="E655" s="178">
        <f t="shared" si="76"/>
        <v>0</v>
      </c>
      <c r="F655" s="178">
        <f t="shared" si="77"/>
        <v>0</v>
      </c>
      <c r="G655" s="178">
        <f t="shared" si="78"/>
        <v>1</v>
      </c>
      <c r="H655" s="35">
        <f t="shared" si="79"/>
        <v>0</v>
      </c>
      <c r="I655" s="45">
        <f t="shared" si="74"/>
        <v>0</v>
      </c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41"/>
      <c r="AS655" s="41">
        <f>(C509+F509)/2*L</f>
        <v>49.602547301703574</v>
      </c>
      <c r="AT655" s="41"/>
    </row>
    <row r="656" spans="1:46" ht="18" customHeight="1">
      <c r="A656" s="102">
        <f t="shared" si="72"/>
        <v>2.8</v>
      </c>
      <c r="B656" s="184">
        <f t="shared" si="72"/>
        <v>0.894</v>
      </c>
      <c r="C656" s="184">
        <f t="shared" si="75"/>
        <v>0</v>
      </c>
      <c r="D656" s="36">
        <f t="shared" si="73"/>
        <v>894</v>
      </c>
      <c r="E656" s="178">
        <f t="shared" si="76"/>
        <v>0</v>
      </c>
      <c r="F656" s="178">
        <f t="shared" si="77"/>
        <v>0</v>
      </c>
      <c r="G656" s="178">
        <f t="shared" si="78"/>
        <v>1</v>
      </c>
      <c r="H656" s="35">
        <f t="shared" si="79"/>
        <v>0</v>
      </c>
      <c r="I656" s="45">
        <f t="shared" si="74"/>
        <v>0</v>
      </c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41"/>
      <c r="AS656" s="41"/>
      <c r="AT656" s="41"/>
    </row>
    <row r="657" spans="1:46" ht="18" customHeight="1">
      <c r="A657" s="102">
        <f t="shared" si="72"/>
        <v>3.1999999999999997</v>
      </c>
      <c r="B657" s="184">
        <f t="shared" si="72"/>
        <v>0.894</v>
      </c>
      <c r="C657" s="184">
        <f t="shared" si="75"/>
        <v>0</v>
      </c>
      <c r="D657" s="36">
        <f t="shared" si="73"/>
        <v>894</v>
      </c>
      <c r="E657" s="178">
        <f t="shared" si="76"/>
        <v>0</v>
      </c>
      <c r="F657" s="178">
        <f t="shared" si="77"/>
        <v>0</v>
      </c>
      <c r="G657" s="178">
        <f t="shared" si="78"/>
        <v>1</v>
      </c>
      <c r="H657" s="35">
        <f t="shared" si="79"/>
        <v>0</v>
      </c>
      <c r="I657" s="45">
        <f t="shared" si="74"/>
        <v>0</v>
      </c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41"/>
      <c r="AS657" s="41"/>
      <c r="AT657" s="41"/>
    </row>
    <row r="658" spans="1:46" ht="18" customHeight="1">
      <c r="A658" s="102">
        <f t="shared" si="72"/>
        <v>3.5999999999999996</v>
      </c>
      <c r="B658" s="184">
        <f t="shared" si="72"/>
        <v>0.894</v>
      </c>
      <c r="C658" s="184">
        <f t="shared" si="75"/>
        <v>0</v>
      </c>
      <c r="D658" s="36">
        <f t="shared" si="73"/>
        <v>894</v>
      </c>
      <c r="E658" s="178">
        <f t="shared" si="76"/>
        <v>0</v>
      </c>
      <c r="F658" s="178">
        <f t="shared" si="77"/>
        <v>0</v>
      </c>
      <c r="G658" s="178">
        <f t="shared" si="78"/>
        <v>1</v>
      </c>
      <c r="H658" s="35">
        <f t="shared" si="79"/>
        <v>0</v>
      </c>
      <c r="I658" s="45">
        <f t="shared" si="74"/>
        <v>0</v>
      </c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190"/>
      <c r="AS658" s="50"/>
      <c r="AT658" s="41"/>
    </row>
    <row r="659" spans="1:46" ht="18" customHeight="1">
      <c r="A659" s="102">
        <f t="shared" si="72"/>
        <v>3.9999999999999996</v>
      </c>
      <c r="B659" s="184">
        <f t="shared" si="72"/>
        <v>0.894</v>
      </c>
      <c r="C659" s="184">
        <f t="shared" si="75"/>
        <v>0</v>
      </c>
      <c r="D659" s="36">
        <f t="shared" si="73"/>
        <v>894</v>
      </c>
      <c r="E659" s="178">
        <f t="shared" si="76"/>
        <v>0</v>
      </c>
      <c r="F659" s="178">
        <f t="shared" si="77"/>
        <v>0</v>
      </c>
      <c r="G659" s="178">
        <f t="shared" si="78"/>
        <v>1</v>
      </c>
      <c r="H659" s="35">
        <f t="shared" si="79"/>
        <v>0</v>
      </c>
      <c r="I659" s="45">
        <f t="shared" si="74"/>
        <v>0</v>
      </c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190"/>
      <c r="AS659" s="50"/>
      <c r="AT659" s="41"/>
    </row>
    <row r="660" spans="1:46" ht="18" customHeight="1">
      <c r="A660" s="102">
        <f t="shared" si="72"/>
        <v>4.3999999999999995</v>
      </c>
      <c r="B660" s="184">
        <f t="shared" si="72"/>
        <v>0.894</v>
      </c>
      <c r="C660" s="184">
        <f t="shared" si="75"/>
        <v>0</v>
      </c>
      <c r="D660" s="36">
        <f t="shared" si="73"/>
        <v>894</v>
      </c>
      <c r="E660" s="178">
        <f t="shared" si="76"/>
        <v>0</v>
      </c>
      <c r="F660" s="178">
        <f t="shared" si="77"/>
        <v>0</v>
      </c>
      <c r="G660" s="178">
        <f t="shared" si="78"/>
        <v>1</v>
      </c>
      <c r="H660" s="35">
        <f t="shared" si="79"/>
        <v>0</v>
      </c>
      <c r="I660" s="45">
        <f t="shared" si="74"/>
        <v>0</v>
      </c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190"/>
      <c r="AS660" s="50"/>
      <c r="AT660" s="41"/>
    </row>
    <row r="661" spans="1:46" ht="18" customHeight="1">
      <c r="A661" s="102">
        <f t="shared" si="72"/>
        <v>4.8</v>
      </c>
      <c r="B661" s="184">
        <f t="shared" si="72"/>
        <v>0.894</v>
      </c>
      <c r="C661" s="184">
        <f t="shared" si="75"/>
        <v>0</v>
      </c>
      <c r="D661" s="36">
        <f t="shared" si="73"/>
        <v>894</v>
      </c>
      <c r="E661" s="178">
        <f t="shared" si="76"/>
        <v>0</v>
      </c>
      <c r="F661" s="178">
        <f t="shared" si="77"/>
        <v>0</v>
      </c>
      <c r="G661" s="178">
        <f t="shared" si="78"/>
        <v>1</v>
      </c>
      <c r="H661" s="35">
        <f t="shared" si="79"/>
        <v>0</v>
      </c>
      <c r="I661" s="45">
        <f t="shared" si="74"/>
        <v>0</v>
      </c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190"/>
      <c r="AS661" s="41"/>
      <c r="AT661" s="41"/>
    </row>
    <row r="662" spans="1:46" ht="18" customHeight="1">
      <c r="A662" s="102">
        <f t="shared" si="72"/>
        <v>5.2</v>
      </c>
      <c r="B662" s="184">
        <f t="shared" si="72"/>
        <v>0.894</v>
      </c>
      <c r="C662" s="184">
        <f t="shared" si="75"/>
        <v>0</v>
      </c>
      <c r="D662" s="36">
        <f t="shared" si="73"/>
        <v>894</v>
      </c>
      <c r="E662" s="178">
        <f t="shared" si="76"/>
        <v>0</v>
      </c>
      <c r="F662" s="178">
        <f t="shared" si="77"/>
        <v>0</v>
      </c>
      <c r="G662" s="178">
        <f t="shared" si="78"/>
        <v>1</v>
      </c>
      <c r="H662" s="35">
        <f t="shared" si="79"/>
        <v>0</v>
      </c>
      <c r="I662" s="45">
        <f t="shared" si="74"/>
        <v>0</v>
      </c>
      <c r="J662" s="50"/>
      <c r="K662" s="50"/>
      <c r="L662" s="50"/>
      <c r="M662" s="50"/>
      <c r="N662" s="50"/>
      <c r="O662" s="50"/>
      <c r="P662" s="50"/>
      <c r="Q662" s="50"/>
      <c r="R662" s="50"/>
      <c r="AR662" s="190"/>
      <c r="AS662" s="95"/>
      <c r="AT662" s="41"/>
    </row>
    <row r="663" spans="1:46" ht="18" customHeight="1">
      <c r="A663" s="102">
        <f t="shared" si="72"/>
        <v>5.6000000000000005</v>
      </c>
      <c r="B663" s="184">
        <f t="shared" si="72"/>
        <v>0.894</v>
      </c>
      <c r="C663" s="184">
        <f t="shared" si="75"/>
        <v>0</v>
      </c>
      <c r="D663" s="36">
        <f t="shared" si="73"/>
        <v>894</v>
      </c>
      <c r="E663" s="178">
        <f t="shared" si="76"/>
        <v>0</v>
      </c>
      <c r="F663" s="178">
        <f t="shared" si="77"/>
        <v>0</v>
      </c>
      <c r="G663" s="178">
        <f t="shared" si="78"/>
        <v>1</v>
      </c>
      <c r="H663" s="35">
        <f>IF(C663=0,0,ABS(IF($AR$68=1,"***",2*C663*1000000/(F663*G663*1000*D663^2))))</f>
        <v>0</v>
      </c>
      <c r="I663" s="45">
        <f t="shared" si="74"/>
        <v>0</v>
      </c>
      <c r="J663" s="50"/>
      <c r="K663" s="50"/>
      <c r="L663" s="50"/>
      <c r="M663" s="50"/>
      <c r="N663" s="50"/>
      <c r="O663" s="50"/>
      <c r="P663" s="50"/>
      <c r="Q663" s="50"/>
      <c r="R663" s="50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190"/>
      <c r="AS663" s="41"/>
      <c r="AT663" s="41"/>
    </row>
    <row r="664" spans="1:46" ht="18" customHeight="1">
      <c r="A664" s="102">
        <f t="shared" si="72"/>
        <v>6.000000000000001</v>
      </c>
      <c r="B664" s="184">
        <f t="shared" si="72"/>
        <v>0.894</v>
      </c>
      <c r="C664" s="184">
        <f t="shared" si="75"/>
        <v>0</v>
      </c>
      <c r="D664" s="36">
        <f t="shared" si="73"/>
        <v>894</v>
      </c>
      <c r="E664" s="178">
        <f>15*$E$636/1000/D664</f>
        <v>0</v>
      </c>
      <c r="F664" s="178">
        <f>(E664^2+2*E664)^0.5-E664</f>
        <v>0</v>
      </c>
      <c r="G664" s="178">
        <f>1-F664/3</f>
        <v>1</v>
      </c>
      <c r="H664" s="35">
        <f aca="true" t="shared" si="80" ref="H664:H669">IF(C664=0,0,ABS(IF($AR$68=1,"***",2*C664*1000000/(F664*G664*1000*D664^2))))</f>
        <v>0</v>
      </c>
      <c r="I664" s="45">
        <f t="shared" si="74"/>
        <v>0</v>
      </c>
      <c r="J664" s="50"/>
      <c r="K664" s="50"/>
      <c r="L664" s="50"/>
      <c r="M664" s="50"/>
      <c r="N664" s="50"/>
      <c r="O664" s="50"/>
      <c r="P664" s="50"/>
      <c r="Q664" s="50"/>
      <c r="R664" s="50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190"/>
      <c r="AS664" s="41"/>
      <c r="AT664" s="41"/>
    </row>
    <row r="665" spans="1:46" ht="18" customHeight="1">
      <c r="A665" s="102">
        <f t="shared" si="72"/>
        <v>6.400000000000001</v>
      </c>
      <c r="B665" s="184">
        <f t="shared" si="72"/>
        <v>0.894</v>
      </c>
      <c r="C665" s="184">
        <f t="shared" si="75"/>
        <v>0</v>
      </c>
      <c r="D665" s="36">
        <f t="shared" si="73"/>
        <v>894</v>
      </c>
      <c r="E665" s="178">
        <f t="shared" si="76"/>
        <v>0</v>
      </c>
      <c r="F665" s="178">
        <f t="shared" si="77"/>
        <v>0</v>
      </c>
      <c r="G665" s="178">
        <f t="shared" si="78"/>
        <v>1</v>
      </c>
      <c r="H665" s="35">
        <f t="shared" si="80"/>
        <v>0</v>
      </c>
      <c r="I665" s="45">
        <f t="shared" si="74"/>
        <v>0</v>
      </c>
      <c r="J665" s="50"/>
      <c r="K665" s="50"/>
      <c r="L665" s="50"/>
      <c r="M665" s="50"/>
      <c r="N665" s="50"/>
      <c r="O665" s="50"/>
      <c r="P665" s="50"/>
      <c r="Q665" s="50"/>
      <c r="R665" s="50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190"/>
      <c r="AS665" s="41"/>
      <c r="AT665" s="41"/>
    </row>
    <row r="666" spans="1:46" ht="18" customHeight="1">
      <c r="A666" s="102">
        <f t="shared" si="72"/>
        <v>6.800000000000002</v>
      </c>
      <c r="B666" s="184">
        <f t="shared" si="72"/>
        <v>0.894</v>
      </c>
      <c r="C666" s="184">
        <f>IF($AR$68=1,0,G559)</f>
        <v>0</v>
      </c>
      <c r="D666" s="36">
        <f t="shared" si="73"/>
        <v>894</v>
      </c>
      <c r="E666" s="178">
        <f t="shared" si="76"/>
        <v>0</v>
      </c>
      <c r="F666" s="178">
        <f t="shared" si="77"/>
        <v>0</v>
      </c>
      <c r="G666" s="178">
        <f t="shared" si="78"/>
        <v>1</v>
      </c>
      <c r="H666" s="35">
        <f t="shared" si="80"/>
        <v>0</v>
      </c>
      <c r="I666" s="45">
        <f t="shared" si="74"/>
        <v>0</v>
      </c>
      <c r="J666" s="50"/>
      <c r="K666" s="50"/>
      <c r="L666" s="50"/>
      <c r="M666" s="50"/>
      <c r="N666" s="50"/>
      <c r="O666" s="50"/>
      <c r="P666" s="50"/>
      <c r="Q666" s="50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190"/>
      <c r="AS666" s="41"/>
      <c r="AT666" s="41"/>
    </row>
    <row r="667" spans="1:46" ht="18" customHeight="1">
      <c r="A667" s="102">
        <f t="shared" si="72"/>
        <v>7.200000000000002</v>
      </c>
      <c r="B667" s="184">
        <f t="shared" si="72"/>
        <v>0.894</v>
      </c>
      <c r="C667" s="184">
        <f t="shared" si="75"/>
        <v>0</v>
      </c>
      <c r="D667" s="36">
        <f t="shared" si="73"/>
        <v>894</v>
      </c>
      <c r="E667" s="178">
        <f t="shared" si="76"/>
        <v>0</v>
      </c>
      <c r="F667" s="178">
        <f t="shared" si="77"/>
        <v>0</v>
      </c>
      <c r="G667" s="178">
        <f t="shared" si="78"/>
        <v>1</v>
      </c>
      <c r="H667" s="35">
        <f t="shared" si="80"/>
        <v>0</v>
      </c>
      <c r="I667" s="45">
        <f t="shared" si="74"/>
        <v>0</v>
      </c>
      <c r="J667" s="50"/>
      <c r="K667" s="50"/>
      <c r="L667" s="50"/>
      <c r="M667" s="50"/>
      <c r="N667" s="50"/>
      <c r="O667" s="50"/>
      <c r="P667" s="50"/>
      <c r="Q667" s="50"/>
      <c r="R667" s="41"/>
      <c r="AR667" s="190"/>
      <c r="AS667" s="41"/>
      <c r="AT667" s="41"/>
    </row>
    <row r="668" spans="1:46" ht="18" customHeight="1">
      <c r="A668" s="102">
        <f t="shared" si="72"/>
        <v>7.600000000000002</v>
      </c>
      <c r="B668" s="184">
        <f t="shared" si="72"/>
        <v>0.894</v>
      </c>
      <c r="C668" s="184">
        <f t="shared" si="75"/>
        <v>0</v>
      </c>
      <c r="D668" s="36">
        <f t="shared" si="73"/>
        <v>894</v>
      </c>
      <c r="E668" s="178">
        <f t="shared" si="76"/>
        <v>0</v>
      </c>
      <c r="F668" s="178">
        <f t="shared" si="77"/>
        <v>0</v>
      </c>
      <c r="G668" s="178">
        <f t="shared" si="78"/>
        <v>1</v>
      </c>
      <c r="H668" s="35">
        <f t="shared" si="80"/>
        <v>0</v>
      </c>
      <c r="I668" s="45">
        <f t="shared" si="74"/>
        <v>0</v>
      </c>
      <c r="J668" s="50"/>
      <c r="K668" s="50"/>
      <c r="L668" s="50"/>
      <c r="M668" s="50"/>
      <c r="N668" s="50"/>
      <c r="O668" s="50"/>
      <c r="P668" s="50"/>
      <c r="Q668" s="50"/>
      <c r="R668" s="41"/>
      <c r="AR668" s="190"/>
      <c r="AS668" s="41"/>
      <c r="AT668" s="41"/>
    </row>
    <row r="669" spans="1:46" ht="18" customHeight="1">
      <c r="A669" s="103">
        <f t="shared" si="72"/>
        <v>8.000000000000002</v>
      </c>
      <c r="B669" s="186">
        <f t="shared" si="72"/>
        <v>0.894</v>
      </c>
      <c r="C669" s="186">
        <f t="shared" si="75"/>
        <v>0</v>
      </c>
      <c r="D669" s="100">
        <f t="shared" si="73"/>
        <v>894</v>
      </c>
      <c r="E669" s="180">
        <f t="shared" si="76"/>
        <v>0</v>
      </c>
      <c r="F669" s="180">
        <f t="shared" si="77"/>
        <v>0</v>
      </c>
      <c r="G669" s="180">
        <f t="shared" si="78"/>
        <v>1</v>
      </c>
      <c r="H669" s="35">
        <f t="shared" si="80"/>
        <v>0</v>
      </c>
      <c r="I669" s="45">
        <f t="shared" si="74"/>
        <v>0</v>
      </c>
      <c r="J669" s="50"/>
      <c r="K669" s="50"/>
      <c r="L669" s="50"/>
      <c r="M669" s="50"/>
      <c r="N669" s="50"/>
      <c r="O669" s="50"/>
      <c r="P669" s="50"/>
      <c r="Q669" s="50"/>
      <c r="R669" s="41"/>
      <c r="AR669" s="41"/>
      <c r="AS669" s="41"/>
      <c r="AT669" s="41"/>
    </row>
    <row r="670" spans="1:18" ht="18" customHeight="1">
      <c r="A670" s="207"/>
      <c r="B670" s="42"/>
      <c r="C670" s="179"/>
      <c r="F670" s="65"/>
      <c r="G670" s="181" t="s">
        <v>444</v>
      </c>
      <c r="H670" s="57">
        <f>MAX(H649:H669)</f>
        <v>0</v>
      </c>
      <c r="I670" s="58">
        <f>MAX(I649:I669)</f>
        <v>0</v>
      </c>
      <c r="J670" s="50"/>
      <c r="K670" s="50"/>
      <c r="L670" s="50"/>
      <c r="M670" s="50"/>
      <c r="N670" s="50"/>
      <c r="O670" s="50"/>
      <c r="P670" s="50"/>
      <c r="Q670" s="50"/>
      <c r="R670" s="41"/>
    </row>
    <row r="671" spans="1:3" ht="18" customHeight="1">
      <c r="A671" s="207"/>
      <c r="B671" s="42"/>
      <c r="C671" s="179"/>
    </row>
    <row r="672" spans="2:17" ht="18" customHeight="1">
      <c r="B672" s="133" t="s">
        <v>448</v>
      </c>
      <c r="C672" s="133" t="s">
        <v>349</v>
      </c>
      <c r="D672" s="108">
        <f>H670</f>
        <v>0</v>
      </c>
      <c r="E672" s="11" t="s">
        <v>253</v>
      </c>
      <c r="F672" s="3" t="str">
        <f>IF(D672&lt;=G672,"&lt;","&gt;")</f>
        <v>&lt;</v>
      </c>
      <c r="G672" s="62">
        <f>σca</f>
        <v>4.5</v>
      </c>
      <c r="H672" s="11" t="s">
        <v>253</v>
      </c>
      <c r="I672" s="3" t="str">
        <f>IF(D672&lt;=G672,"SAFE","OUT")</f>
        <v>SAFE</v>
      </c>
      <c r="J672" s="3"/>
      <c r="K672" s="3"/>
      <c r="L672" s="3"/>
      <c r="M672" s="3"/>
      <c r="N672" s="3"/>
      <c r="O672" s="3"/>
      <c r="P672" s="3"/>
      <c r="Q672" s="3"/>
    </row>
    <row r="673" spans="2:17" ht="18" customHeight="1">
      <c r="B673" s="133" t="s">
        <v>449</v>
      </c>
      <c r="C673" s="133" t="s">
        <v>447</v>
      </c>
      <c r="D673" s="270">
        <f>I670</f>
        <v>0</v>
      </c>
      <c r="E673" s="11" t="s">
        <v>253</v>
      </c>
      <c r="F673" s="3" t="str">
        <f>IF(D673&lt;=G673,"&lt;","&gt;")</f>
        <v>&lt;</v>
      </c>
      <c r="G673" s="278">
        <f>σsa</f>
      </c>
      <c r="H673" s="11" t="s">
        <v>253</v>
      </c>
      <c r="I673" s="3" t="str">
        <f>IF(D673&lt;=G673,"SAFE","OUT")</f>
        <v>SAFE</v>
      </c>
      <c r="J673" s="3"/>
      <c r="K673" s="3"/>
      <c r="L673" s="3"/>
      <c r="M673" s="3"/>
      <c r="N673" s="3"/>
      <c r="O673" s="3"/>
      <c r="P673" s="3"/>
      <c r="Q673" s="3"/>
    </row>
    <row r="675" ht="18" customHeight="1">
      <c r="A675" s="199" t="s">
        <v>503</v>
      </c>
    </row>
    <row r="676" ht="18" customHeight="1">
      <c r="A676" s="199" t="s">
        <v>548</v>
      </c>
    </row>
    <row r="680" spans="19:43" ht="18" customHeight="1"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</row>
    <row r="681" spans="19:43" ht="18" customHeight="1"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</row>
    <row r="682" spans="19:43" ht="18" customHeight="1"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</row>
    <row r="684" ht="18" customHeight="1">
      <c r="R684" s="3"/>
    </row>
    <row r="685" ht="18" customHeight="1">
      <c r="R685" s="3"/>
    </row>
    <row r="686" ht="18" customHeight="1">
      <c r="R686" s="3"/>
    </row>
    <row r="689" spans="46:49" ht="18" customHeight="1">
      <c r="AT689" s="11" t="s">
        <v>337</v>
      </c>
      <c r="AU689" s="132" t="s">
        <v>338</v>
      </c>
      <c r="AV689" s="132" t="s">
        <v>409</v>
      </c>
      <c r="AW689" s="132" t="s">
        <v>339</v>
      </c>
    </row>
    <row r="690" spans="46:49" ht="18" customHeight="1">
      <c r="AT690" s="42">
        <f>C542</f>
        <v>0</v>
      </c>
      <c r="AU690" s="174">
        <f>E542</f>
        <v>0</v>
      </c>
      <c r="AV690" s="174">
        <f>F542</f>
        <v>0</v>
      </c>
      <c r="AW690" s="191">
        <f>G542</f>
        <v>0</v>
      </c>
    </row>
    <row r="691" spans="46:49" ht="18" customHeight="1">
      <c r="AT691" s="42">
        <f aca="true" t="shared" si="81" ref="AT691:AT705">C543</f>
        <v>0.4</v>
      </c>
      <c r="AU691" s="174">
        <f aca="true" t="shared" si="82" ref="AU691:AU705">E543</f>
        <v>6.156420797738198</v>
      </c>
      <c r="AV691" s="174">
        <f aca="true" t="shared" si="83" ref="AV691:AV706">F543</f>
        <v>4.286310498800348</v>
      </c>
      <c r="AW691" s="191">
        <f aca="true" t="shared" si="84" ref="AW691:AW706">G543</f>
        <v>1.1812010754810518</v>
      </c>
    </row>
    <row r="692" spans="46:49" ht="18" customHeight="1">
      <c r="AT692" s="42">
        <f t="shared" si="81"/>
        <v>0.8</v>
      </c>
      <c r="AU692" s="174">
        <f t="shared" si="82"/>
        <v>12.612669895903112</v>
      </c>
      <c r="AV692" s="174">
        <f t="shared" si="83"/>
        <v>8.27206858530076</v>
      </c>
      <c r="AW692" s="191">
        <f t="shared" si="84"/>
        <v>2.621525628141203</v>
      </c>
    </row>
    <row r="693" spans="46:49" ht="18" customHeight="1">
      <c r="AT693" s="42">
        <f t="shared" si="81"/>
        <v>1.2000000000000002</v>
      </c>
      <c r="AU693" s="174">
        <f t="shared" si="82"/>
        <v>19.368747294494746</v>
      </c>
      <c r="AV693" s="174">
        <f t="shared" si="83"/>
        <v>11.957274259501231</v>
      </c>
      <c r="AW693" s="191">
        <f t="shared" si="84"/>
        <v>4.140787032975136</v>
      </c>
    </row>
    <row r="694" spans="46:49" ht="18" customHeight="1">
      <c r="AT694" s="42">
        <f t="shared" si="81"/>
        <v>1.6</v>
      </c>
      <c r="AU694" s="174">
        <f t="shared" si="82"/>
        <v>26.424652993513085</v>
      </c>
      <c r="AV694" s="174">
        <f t="shared" si="83"/>
        <v>15.341927521401763</v>
      </c>
      <c r="AW694" s="191">
        <f t="shared" si="84"/>
        <v>5.558798664977527</v>
      </c>
    </row>
    <row r="695" spans="2:49" ht="18" customHeight="1">
      <c r="B695" s="132" t="s">
        <v>410</v>
      </c>
      <c r="AT695" s="42">
        <f t="shared" si="81"/>
        <v>2</v>
      </c>
      <c r="AU695" s="174">
        <f t="shared" si="82"/>
        <v>33.78038699295815</v>
      </c>
      <c r="AV695" s="174">
        <f t="shared" si="83"/>
        <v>18.426028371002353</v>
      </c>
      <c r="AW695" s="191">
        <f t="shared" si="84"/>
        <v>6.695373899143064</v>
      </c>
    </row>
    <row r="696" spans="3:49" ht="18" customHeight="1">
      <c r="C696" s="13" t="s">
        <v>352</v>
      </c>
      <c r="D696" s="108">
        <f>Hf</f>
        <v>0</v>
      </c>
      <c r="E696" s="11" t="s">
        <v>353</v>
      </c>
      <c r="F696" s="13" t="s">
        <v>354</v>
      </c>
      <c r="G696" s="108">
        <f>H-Hw</f>
        <v>0</v>
      </c>
      <c r="H696" s="11" t="s">
        <v>353</v>
      </c>
      <c r="AT696" s="42">
        <f t="shared" si="81"/>
        <v>2.4</v>
      </c>
      <c r="AU696" s="174">
        <f t="shared" si="82"/>
        <v>41.43594929282992</v>
      </c>
      <c r="AV696" s="174">
        <f t="shared" si="83"/>
        <v>21.209576808303005</v>
      </c>
      <c r="AW696" s="191">
        <f t="shared" si="84"/>
        <v>7.370326110466426</v>
      </c>
    </row>
    <row r="697" spans="3:49" ht="18" customHeight="1">
      <c r="C697" s="13" t="s">
        <v>355</v>
      </c>
      <c r="D697" s="108">
        <f>IF(D698=0,0,D696+(G696-D696)/D698*G698)</f>
        <v>0</v>
      </c>
      <c r="E697" s="11" t="s">
        <v>353</v>
      </c>
      <c r="F697" s="13" t="s">
        <v>356</v>
      </c>
      <c r="G697" s="108">
        <f>B</f>
        <v>0.8940000000000001</v>
      </c>
      <c r="H697" s="11" t="s">
        <v>353</v>
      </c>
      <c r="AT697" s="42">
        <f t="shared" si="81"/>
        <v>2.8</v>
      </c>
      <c r="AU697" s="174">
        <f t="shared" si="82"/>
        <v>49.39104235203291</v>
      </c>
      <c r="AV697" s="174">
        <f t="shared" si="83"/>
        <v>23.69316791549469</v>
      </c>
      <c r="AW697" s="191">
        <f t="shared" si="84"/>
        <v>7.403605959403755</v>
      </c>
    </row>
    <row r="698" spans="3:49" ht="18" customHeight="1">
      <c r="C698" s="13" t="s">
        <v>357</v>
      </c>
      <c r="D698" s="108">
        <f>bt</f>
        <v>0</v>
      </c>
      <c r="E698" s="11" t="s">
        <v>353</v>
      </c>
      <c r="F698" s="13" t="s">
        <v>358</v>
      </c>
      <c r="G698" s="108">
        <f>MAX(D698-G696/2,0)</f>
        <v>0</v>
      </c>
      <c r="H698" s="11" t="s">
        <v>353</v>
      </c>
      <c r="AT698" s="42">
        <f t="shared" si="81"/>
        <v>3.1999999999999997</v>
      </c>
      <c r="AU698" s="174">
        <f t="shared" si="82"/>
        <v>57.473052744670426</v>
      </c>
      <c r="AV698" s="174">
        <f t="shared" si="83"/>
        <v>26.222028544370858</v>
      </c>
      <c r="AW698" s="191">
        <f t="shared" si="84"/>
        <v>6.752506005386181</v>
      </c>
    </row>
    <row r="699" spans="2:49" ht="18" customHeight="1">
      <c r="B699" s="132" t="s">
        <v>359</v>
      </c>
      <c r="D699" s="3"/>
      <c r="AT699" s="42">
        <f t="shared" si="81"/>
        <v>3.5999999999999996</v>
      </c>
      <c r="AU699" s="174">
        <f t="shared" si="82"/>
        <v>65.53602452299293</v>
      </c>
      <c r="AV699" s="174">
        <f t="shared" si="83"/>
        <v>29.08807059043051</v>
      </c>
      <c r="AW699" s="191">
        <f t="shared" si="84"/>
        <v>5.5743986298585995</v>
      </c>
    </row>
    <row r="700" spans="3:49" ht="18" customHeight="1">
      <c r="C700" s="13" t="s">
        <v>360</v>
      </c>
      <c r="D700" s="108">
        <f>D696*γc</f>
        <v>0</v>
      </c>
      <c r="E700" s="11" t="s">
        <v>195</v>
      </c>
      <c r="AT700" s="42">
        <f t="shared" si="81"/>
        <v>3.9999999999999996</v>
      </c>
      <c r="AU700" s="174">
        <f t="shared" si="82"/>
        <v>73.57995768700043</v>
      </c>
      <c r="AV700" s="174">
        <f t="shared" si="83"/>
        <v>32.29129405367365</v>
      </c>
      <c r="AW700" s="191">
        <f t="shared" si="84"/>
        <v>4.007964122557368</v>
      </c>
    </row>
    <row r="701" spans="3:49" ht="18" customHeight="1">
      <c r="C701" s="13" t="s">
        <v>361</v>
      </c>
      <c r="D701" s="108">
        <f>G696*γc</f>
        <v>0</v>
      </c>
      <c r="E701" s="11" t="s">
        <v>195</v>
      </c>
      <c r="AT701" s="42">
        <f t="shared" si="81"/>
        <v>4.3999999999999995</v>
      </c>
      <c r="AU701" s="174">
        <f t="shared" si="82"/>
        <v>81.60485223669295</v>
      </c>
      <c r="AV701" s="174">
        <f t="shared" si="83"/>
        <v>35.83169893410029</v>
      </c>
      <c r="AW701" s="191">
        <f t="shared" si="84"/>
        <v>2.1918827732189214</v>
      </c>
    </row>
    <row r="702" spans="3:49" ht="18" customHeight="1">
      <c r="C702" s="13" t="s">
        <v>362</v>
      </c>
      <c r="D702" s="108">
        <f>γc*D697</f>
        <v>0</v>
      </c>
      <c r="E702" s="11" t="s">
        <v>195</v>
      </c>
      <c r="AT702" s="42">
        <f t="shared" si="81"/>
        <v>4.8</v>
      </c>
      <c r="AU702" s="174">
        <f t="shared" si="82"/>
        <v>89.61070817207047</v>
      </c>
      <c r="AV702" s="174">
        <f t="shared" si="83"/>
        <v>39.70928523171042</v>
      </c>
      <c r="AW702" s="191">
        <f t="shared" si="84"/>
        <v>0.26483487157959473</v>
      </c>
    </row>
    <row r="703" spans="2:49" ht="18" customHeight="1">
      <c r="B703" s="132" t="s">
        <v>411</v>
      </c>
      <c r="D703" s="3"/>
      <c r="AT703" s="42">
        <f t="shared" si="81"/>
        <v>5.2</v>
      </c>
      <c r="AU703" s="174">
        <f t="shared" si="82"/>
        <v>97.59752549313299</v>
      </c>
      <c r="AV703" s="174">
        <f t="shared" si="83"/>
        <v>43.924052946504034</v>
      </c>
      <c r="AW703" s="191">
        <f t="shared" si="84"/>
        <v>-1.6344992926241702</v>
      </c>
    </row>
    <row r="704" spans="3:49" ht="18" customHeight="1">
      <c r="C704" s="13" t="s">
        <v>460</v>
      </c>
      <c r="D704" s="268">
        <f>G344</f>
        <v>0.463</v>
      </c>
      <c r="E704" s="11" t="s">
        <v>483</v>
      </c>
      <c r="AT704" s="42">
        <f t="shared" si="81"/>
        <v>5.6000000000000005</v>
      </c>
      <c r="AU704" s="174">
        <f t="shared" si="82"/>
        <v>105.5653041998805</v>
      </c>
      <c r="AV704" s="174">
        <f t="shared" si="83"/>
        <v>48.47600207848114</v>
      </c>
      <c r="AW704" s="191">
        <f t="shared" si="84"/>
        <v>-3.3674394296560024</v>
      </c>
    </row>
    <row r="705" spans="3:49" ht="18" customHeight="1">
      <c r="C705" s="13" t="s">
        <v>194</v>
      </c>
      <c r="D705" s="108">
        <f>E320</f>
        <v>152.21054655191972</v>
      </c>
      <c r="E705" s="11" t="s">
        <v>195</v>
      </c>
      <c r="AT705" s="42">
        <f t="shared" si="81"/>
        <v>6.000000000000001</v>
      </c>
      <c r="AU705" s="174">
        <f t="shared" si="82"/>
        <v>113.51404429231303</v>
      </c>
      <c r="AV705" s="174">
        <f t="shared" si="83"/>
        <v>53.365132627641735</v>
      </c>
      <c r="AW705" s="191">
        <f t="shared" si="84"/>
        <v>-4.795305249779474</v>
      </c>
    </row>
    <row r="706" spans="3:49" ht="18" customHeight="1">
      <c r="C706" s="13" t="s">
        <v>196</v>
      </c>
      <c r="D706" s="108">
        <f>E321</f>
        <v>190.01088958527262</v>
      </c>
      <c r="E706" s="11" t="s">
        <v>195</v>
      </c>
      <c r="AT706" s="42">
        <f>C558</f>
        <v>6.400000000000001</v>
      </c>
      <c r="AU706" s="174">
        <f>E558</f>
        <v>121.44374577043055</v>
      </c>
      <c r="AV706" s="174">
        <f t="shared" si="83"/>
        <v>58.59144459398582</v>
      </c>
      <c r="AW706" s="191">
        <f t="shared" si="84"/>
        <v>-5.779416463258201</v>
      </c>
    </row>
    <row r="707" spans="3:49" ht="18" customHeight="1">
      <c r="C707" s="13" t="s">
        <v>197</v>
      </c>
      <c r="D707" s="108">
        <f>IF(3*D704&lt;B,D705/(3*D704)*(3*D704-D698),D705+(D706-D705)/B*D698)</f>
        <v>152.21054655191972</v>
      </c>
      <c r="E707" s="11" t="s">
        <v>195</v>
      </c>
      <c r="AT707" s="42">
        <f>C559</f>
        <v>6.800000000000002</v>
      </c>
      <c r="AU707" s="174">
        <f>E559</f>
        <v>129.35440863423307</v>
      </c>
      <c r="AV707" s="174">
        <f aca="true" t="shared" si="85" ref="AV707:AW710">F559</f>
        <v>64.15493797751338</v>
      </c>
      <c r="AW707" s="191">
        <f t="shared" si="85"/>
        <v>-6.181092780355797</v>
      </c>
    </row>
    <row r="708" spans="3:49" ht="18" customHeight="1">
      <c r="C708" s="13" t="s">
        <v>198</v>
      </c>
      <c r="D708" s="108">
        <f>IF(3*D704&lt;B,D705/(3*D704)*(3*D704-G698),D705+(D706-D705)/B*G698)</f>
        <v>152.21054655191972</v>
      </c>
      <c r="E708" s="11" t="s">
        <v>195</v>
      </c>
      <c r="AT708" s="42">
        <f>C560</f>
        <v>7.200000000000002</v>
      </c>
      <c r="AU708" s="174">
        <f>E560</f>
        <v>137.2460328837206</v>
      </c>
      <c r="AV708" s="174">
        <f t="shared" si="85"/>
        <v>70.05561277822444</v>
      </c>
      <c r="AW708" s="191">
        <f t="shared" si="85"/>
        <v>-5.861653911335992</v>
      </c>
    </row>
    <row r="709" spans="1:49" ht="18" customHeight="1">
      <c r="A709" s="199" t="s">
        <v>549</v>
      </c>
      <c r="AT709" s="42">
        <f>C561</f>
        <v>7.600000000000002</v>
      </c>
      <c r="AU709" s="174">
        <f>E561</f>
        <v>145.11861851889313</v>
      </c>
      <c r="AV709" s="174">
        <f t="shared" si="85"/>
        <v>76.29346899611902</v>
      </c>
      <c r="AW709" s="191">
        <f t="shared" si="85"/>
        <v>-4.682419566462045</v>
      </c>
    </row>
    <row r="710" spans="2:49" ht="18" customHeight="1">
      <c r="B710" s="132" t="s">
        <v>193</v>
      </c>
      <c r="AT710" s="42">
        <f>C562</f>
        <v>8.000000000000002</v>
      </c>
      <c r="AU710" s="174">
        <f>E562</f>
        <v>152.97216553975062</v>
      </c>
      <c r="AV710" s="174">
        <f t="shared" si="85"/>
        <v>82.86850663119704</v>
      </c>
      <c r="AW710" s="191">
        <f t="shared" si="85"/>
        <v>-2.5047094559979826</v>
      </c>
    </row>
    <row r="711" spans="19:49" ht="18" customHeight="1">
      <c r="S711" s="252"/>
      <c r="T711" s="252"/>
      <c r="U711" s="252"/>
      <c r="V711" s="252"/>
      <c r="W711" s="252"/>
      <c r="X711" s="252"/>
      <c r="Y711" s="252"/>
      <c r="Z711" s="252"/>
      <c r="AA711" s="252"/>
      <c r="AB711" s="252"/>
      <c r="AC711" s="252"/>
      <c r="AD711" s="252"/>
      <c r="AE711" s="252"/>
      <c r="AF711" s="252"/>
      <c r="AG711" s="252"/>
      <c r="AH711" s="252"/>
      <c r="AI711" s="252"/>
      <c r="AJ711" s="252"/>
      <c r="AK711" s="252"/>
      <c r="AL711" s="252"/>
      <c r="AM711" s="252"/>
      <c r="AN711" s="252"/>
      <c r="AO711" s="252"/>
      <c r="AP711" s="252"/>
      <c r="AQ711" s="252"/>
      <c r="AT711" s="42"/>
      <c r="AU711" s="174"/>
      <c r="AV711" s="174" t="s">
        <v>457</v>
      </c>
      <c r="AW711" s="174">
        <f>MAX(AW690:AW710)</f>
        <v>7.403605959403755</v>
      </c>
    </row>
    <row r="712" spans="5:49" ht="18" customHeight="1">
      <c r="E712" s="108">
        <f>G698/2*(D705+D708-D700-D702)</f>
        <v>0</v>
      </c>
      <c r="F712" s="11" t="s">
        <v>199</v>
      </c>
      <c r="S712" s="252"/>
      <c r="T712" s="252"/>
      <c r="U712" s="252"/>
      <c r="V712" s="252"/>
      <c r="W712" s="252"/>
      <c r="X712" s="252"/>
      <c r="Y712" s="252"/>
      <c r="Z712" s="252"/>
      <c r="AA712" s="252"/>
      <c r="AB712" s="252"/>
      <c r="AC712" s="252"/>
      <c r="AD712" s="252"/>
      <c r="AE712" s="252"/>
      <c r="AF712" s="252"/>
      <c r="AG712" s="252"/>
      <c r="AH712" s="252"/>
      <c r="AI712" s="252"/>
      <c r="AJ712" s="252"/>
      <c r="AK712" s="252"/>
      <c r="AL712" s="252"/>
      <c r="AM712" s="252"/>
      <c r="AN712" s="252"/>
      <c r="AO712" s="252"/>
      <c r="AP712" s="252"/>
      <c r="AQ712" s="252"/>
      <c r="AT712" s="42"/>
      <c r="AU712" s="174"/>
      <c r="AV712" s="174" t="s">
        <v>458</v>
      </c>
      <c r="AW712" s="191">
        <f>MIN(AW690:AW710)</f>
        <v>-6.181092780355797</v>
      </c>
    </row>
    <row r="713" spans="19:43" ht="18" customHeight="1"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</row>
    <row r="714" spans="2:43" ht="18" customHeight="1">
      <c r="B714" s="132" t="s">
        <v>200</v>
      </c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</row>
    <row r="715" spans="18:43" ht="18" customHeight="1">
      <c r="R715" s="252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</row>
    <row r="716" spans="6:43" ht="18" customHeight="1">
      <c r="F716" s="108">
        <f>D698^2/6*(2*(D705-D700)+D707-D701)</f>
        <v>0</v>
      </c>
      <c r="G716" s="11" t="s">
        <v>201</v>
      </c>
      <c r="R716" s="252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</row>
    <row r="717" spans="18:43" ht="18" customHeight="1">
      <c r="R717" s="62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</row>
    <row r="718" spans="1:43" ht="18" customHeight="1">
      <c r="A718" s="199" t="s">
        <v>550</v>
      </c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</row>
    <row r="719" spans="2:43" ht="18" customHeight="1">
      <c r="B719" s="132" t="s">
        <v>412</v>
      </c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</row>
    <row r="720" spans="2:43" ht="18" customHeight="1">
      <c r="B720" s="132" t="s">
        <v>379</v>
      </c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</row>
    <row r="721" spans="18:43" ht="18" customHeight="1"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</row>
    <row r="722" spans="4:43" ht="18" customHeight="1">
      <c r="D722" s="268">
        <f>IF(F716=0,0,6*F716*1000/(G696*1000)^2)</f>
        <v>0</v>
      </c>
      <c r="E722" s="11" t="s">
        <v>363</v>
      </c>
      <c r="F722" s="3" t="str">
        <f>IF(D722&lt;=G722,"&lt;","&gt;")</f>
        <v>&lt;</v>
      </c>
      <c r="G722" s="3">
        <f>σca</f>
        <v>4.5</v>
      </c>
      <c r="H722" s="11" t="s">
        <v>363</v>
      </c>
      <c r="I722" s="3" t="str">
        <f>IF(D722&lt;=G722,"SAFE","OUT")</f>
        <v>SAFE</v>
      </c>
      <c r="J722" s="3"/>
      <c r="K722" s="3"/>
      <c r="L722" s="3"/>
      <c r="M722" s="3"/>
      <c r="N722" s="3"/>
      <c r="O722" s="3"/>
      <c r="P722" s="3"/>
      <c r="Q722" s="3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</row>
    <row r="723" spans="4:43" ht="18" customHeight="1">
      <c r="D723" s="3"/>
      <c r="F723" s="3"/>
      <c r="G723" s="3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</row>
    <row r="724" spans="2:43" ht="18" customHeight="1">
      <c r="B724" s="132" t="s">
        <v>202</v>
      </c>
      <c r="D724" s="3"/>
      <c r="F724" s="3"/>
      <c r="G724" s="3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</row>
    <row r="725" spans="4:43" ht="18" customHeight="1">
      <c r="D725" s="3"/>
      <c r="F725" s="3"/>
      <c r="G725" s="3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</row>
    <row r="726" spans="4:43" ht="18" customHeight="1">
      <c r="D726" s="268">
        <f>IF(F716=0,0,-6*F716*1000/(G696*1000)^2)</f>
        <v>0</v>
      </c>
      <c r="E726" s="11" t="s">
        <v>364</v>
      </c>
      <c r="F726" s="3" t="str">
        <f>IF(D726&lt;=G726,"&lt;","&gt;")</f>
        <v>&gt;</v>
      </c>
      <c r="G726" s="3">
        <f>-σta</f>
        <v>-0.225</v>
      </c>
      <c r="H726" s="11" t="s">
        <v>364</v>
      </c>
      <c r="I726" s="3" t="str">
        <f>IF(D726&lt;=G726,"OUT","SAFE")</f>
        <v>SAFE</v>
      </c>
      <c r="J726" s="3"/>
      <c r="K726" s="3"/>
      <c r="L726" s="3"/>
      <c r="M726" s="3"/>
      <c r="N726" s="3"/>
      <c r="O726" s="3"/>
      <c r="P726" s="3"/>
      <c r="Q726" s="3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</row>
    <row r="727" spans="4:43" ht="18" customHeight="1">
      <c r="D727" s="3"/>
      <c r="F727" s="3"/>
      <c r="G727" s="3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</row>
    <row r="728" spans="2:43" ht="18" customHeight="1">
      <c r="B728" s="132" t="s">
        <v>365</v>
      </c>
      <c r="D728" s="3"/>
      <c r="F728" s="3"/>
      <c r="G728" s="3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</row>
    <row r="729" spans="4:43" ht="18" customHeight="1">
      <c r="D729" s="3"/>
      <c r="F729" s="3"/>
      <c r="G729" s="3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</row>
    <row r="730" spans="4:50" ht="18" customHeight="1">
      <c r="D730" s="268">
        <f>IF(G698=0,0,E712/(D697*1000))</f>
        <v>0</v>
      </c>
      <c r="E730" s="11" t="s">
        <v>366</v>
      </c>
      <c r="F730" s="3" t="str">
        <f>IF(D730&lt;=G730,"&lt;","&gt;")</f>
        <v>&lt;</v>
      </c>
      <c r="G730" s="3">
        <f>τca</f>
        <v>0.32999999999999996</v>
      </c>
      <c r="H730" s="11" t="s">
        <v>366</v>
      </c>
      <c r="I730" s="3" t="str">
        <f>IF(D730&lt;=G730,"SAFE","OUT")</f>
        <v>SAFE</v>
      </c>
      <c r="J730" s="3"/>
      <c r="K730" s="3"/>
      <c r="L730" s="3"/>
      <c r="M730" s="3"/>
      <c r="N730" s="3"/>
      <c r="O730" s="3"/>
      <c r="P730" s="3"/>
      <c r="Q730" s="3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S730" s="43" t="s">
        <v>446</v>
      </c>
      <c r="AU730" s="11" t="s">
        <v>345</v>
      </c>
      <c r="AV730" s="132" t="s">
        <v>346</v>
      </c>
      <c r="AW730" s="132" t="s">
        <v>347</v>
      </c>
      <c r="AX730" s="132" t="s">
        <v>348</v>
      </c>
    </row>
    <row r="731" spans="18:50" ht="18" customHeight="1"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S731" s="11">
        <f>IF(E583/H583&gt;=1,E583/H583,"")</f>
      </c>
      <c r="AU731" s="42">
        <f>B583</f>
        <v>0</v>
      </c>
      <c r="AV731" s="12">
        <f>D583</f>
        <v>0</v>
      </c>
      <c r="AW731" s="12">
        <f>E583</f>
        <v>0</v>
      </c>
      <c r="AX731" s="42">
        <f>H583</f>
        <v>-0.225</v>
      </c>
    </row>
    <row r="732" spans="18:50" ht="18" customHeight="1"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S732" s="11">
        <f aca="true" t="shared" si="86" ref="AS732:AS751">IF(E584/H584&gt;=1,E584/H584,"")</f>
      </c>
      <c r="AU732" s="42">
        <f aca="true" t="shared" si="87" ref="AU732:AU751">B584</f>
        <v>0.4</v>
      </c>
      <c r="AV732" s="12">
        <f aca="true" t="shared" si="88" ref="AV732:AV751">D584</f>
        <v>0.01575385323742206</v>
      </c>
      <c r="AW732" s="12">
        <f aca="true" t="shared" si="89" ref="AW732:AW751">E584</f>
        <v>-0.0019810997749205007</v>
      </c>
      <c r="AX732" s="42">
        <f aca="true" t="shared" si="90" ref="AX732:AX751">H584</f>
        <v>-0.225</v>
      </c>
    </row>
    <row r="733" spans="18:50" ht="18" customHeight="1"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S733" s="11">
        <f t="shared" si="86"/>
      </c>
      <c r="AU733" s="42">
        <f t="shared" si="87"/>
        <v>0.8</v>
      </c>
      <c r="AV733" s="12">
        <f t="shared" si="88"/>
        <v>0.033788368711850564</v>
      </c>
      <c r="AW733" s="12">
        <f t="shared" si="89"/>
        <v>-0.005572104962626604</v>
      </c>
      <c r="AX733" s="42">
        <f t="shared" si="90"/>
        <v>-0.225</v>
      </c>
    </row>
    <row r="734" spans="18:50" ht="18" customHeight="1"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S734" s="11">
        <f t="shared" si="86"/>
      </c>
      <c r="AU734" s="42">
        <f t="shared" si="87"/>
        <v>1.2000000000000002</v>
      </c>
      <c r="AV734" s="12">
        <f t="shared" si="88"/>
        <v>0.05275085491535556</v>
      </c>
      <c r="AW734" s="12">
        <f t="shared" si="89"/>
        <v>-0.009420324055188342</v>
      </c>
      <c r="AX734" s="42">
        <f t="shared" si="90"/>
        <v>-0.225</v>
      </c>
    </row>
    <row r="735" spans="18:50" ht="18" customHeight="1"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S735" s="11">
        <f t="shared" si="86"/>
      </c>
      <c r="AU735" s="42">
        <f t="shared" si="87"/>
        <v>1.6</v>
      </c>
      <c r="AV735" s="12">
        <f t="shared" si="88"/>
        <v>0.07128862034000703</v>
      </c>
      <c r="AW735" s="12">
        <f t="shared" si="89"/>
        <v>-0.01217306554467574</v>
      </c>
      <c r="AX735" s="42">
        <f t="shared" si="90"/>
        <v>-0.225</v>
      </c>
    </row>
    <row r="736" spans="18:50" ht="18" customHeight="1">
      <c r="R736" s="50"/>
      <c r="AS736" s="11">
        <f t="shared" si="86"/>
      </c>
      <c r="AU736" s="42">
        <f t="shared" si="87"/>
        <v>2</v>
      </c>
      <c r="AV736" s="12">
        <f t="shared" si="88"/>
        <v>0.08804897347787508</v>
      </c>
      <c r="AW736" s="12">
        <f t="shared" si="89"/>
        <v>-0.012477637923158867</v>
      </c>
      <c r="AX736" s="42">
        <f t="shared" si="90"/>
        <v>-0.225</v>
      </c>
    </row>
    <row r="737" spans="18:50" ht="18" customHeight="1">
      <c r="R737" s="50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S737" s="11">
        <f t="shared" si="86"/>
      </c>
      <c r="AU737" s="42">
        <f t="shared" si="87"/>
        <v>2.4</v>
      </c>
      <c r="AV737" s="12">
        <f t="shared" si="88"/>
        <v>0.1016792228210297</v>
      </c>
      <c r="AW737" s="12">
        <f t="shared" si="89"/>
        <v>-0.008981349682707737</v>
      </c>
      <c r="AX737" s="42">
        <f t="shared" si="90"/>
        <v>-0.225</v>
      </c>
    </row>
    <row r="738" spans="18:50" ht="18" customHeight="1">
      <c r="R738" s="50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S738" s="11">
        <f t="shared" si="86"/>
      </c>
      <c r="AU738" s="42">
        <f t="shared" si="87"/>
        <v>2.8</v>
      </c>
      <c r="AV738" s="12">
        <f t="shared" si="88"/>
        <v>0.11082737466673168</v>
      </c>
      <c r="AW738" s="12">
        <f t="shared" si="89"/>
        <v>-0.00033287276061777504</v>
      </c>
      <c r="AX738" s="42">
        <f t="shared" si="90"/>
        <v>-0.225</v>
      </c>
    </row>
    <row r="739" spans="18:50" ht="18" customHeight="1">
      <c r="R739" s="50"/>
      <c r="AS739" s="11">
        <f t="shared" si="86"/>
      </c>
      <c r="AU739" s="42">
        <f t="shared" si="87"/>
        <v>3.1999999999999997</v>
      </c>
      <c r="AV739" s="12">
        <f t="shared" si="88"/>
        <v>0.11497973713152616</v>
      </c>
      <c r="AW739" s="12">
        <f t="shared" si="89"/>
        <v>0.013595324937087767</v>
      </c>
      <c r="AX739" s="42">
        <f t="shared" si="90"/>
        <v>-0.225</v>
      </c>
    </row>
    <row r="740" spans="45:50" ht="18" customHeight="1">
      <c r="AS740" s="11">
        <f t="shared" si="86"/>
      </c>
      <c r="AU740" s="42">
        <f t="shared" si="87"/>
        <v>3.5999999999999996</v>
      </c>
      <c r="AV740" s="12">
        <f t="shared" si="88"/>
        <v>0.11515446964689688</v>
      </c>
      <c r="AW740" s="12">
        <f t="shared" si="89"/>
        <v>0.031458560605883736</v>
      </c>
      <c r="AX740" s="42">
        <f t="shared" si="90"/>
        <v>-0.225</v>
      </c>
    </row>
    <row r="741" spans="18:50" ht="18" customHeight="1">
      <c r="R741" s="3"/>
      <c r="AS741" s="11">
        <f t="shared" si="86"/>
      </c>
      <c r="AU741" s="42">
        <f t="shared" si="87"/>
        <v>3.9999999999999996</v>
      </c>
      <c r="AV741" s="12">
        <f t="shared" si="88"/>
        <v>0.11239266863294771</v>
      </c>
      <c r="AW741" s="12">
        <f t="shared" si="89"/>
        <v>0.05221573782566622</v>
      </c>
      <c r="AX741" s="42">
        <f t="shared" si="90"/>
        <v>-0.225</v>
      </c>
    </row>
    <row r="742" spans="18:50" ht="18" customHeight="1">
      <c r="R742" s="3"/>
      <c r="AS742" s="11">
        <f t="shared" si="86"/>
      </c>
      <c r="AU742" s="42">
        <f t="shared" si="87"/>
        <v>4.3999999999999995</v>
      </c>
      <c r="AV742" s="12">
        <f t="shared" si="88"/>
        <v>0.10773543050978313</v>
      </c>
      <c r="AW742" s="12">
        <f t="shared" si="89"/>
        <v>0.07482576017633084</v>
      </c>
      <c r="AX742" s="42">
        <f t="shared" si="90"/>
        <v>-0.225</v>
      </c>
    </row>
    <row r="743" spans="45:50" ht="18" customHeight="1">
      <c r="AS743" s="11">
        <f t="shared" si="86"/>
      </c>
      <c r="AU743" s="42">
        <f t="shared" si="87"/>
        <v>4.8</v>
      </c>
      <c r="AV743" s="12">
        <f t="shared" si="88"/>
        <v>0.10222385169750683</v>
      </c>
      <c r="AW743" s="12">
        <f t="shared" si="89"/>
        <v>0.09824753123777387</v>
      </c>
      <c r="AX743" s="42">
        <f t="shared" si="90"/>
        <v>-0.225</v>
      </c>
    </row>
    <row r="744" spans="45:50" ht="18" customHeight="1">
      <c r="AS744" s="11">
        <f t="shared" si="86"/>
      </c>
      <c r="AU744" s="42">
        <f t="shared" si="87"/>
        <v>5.2</v>
      </c>
      <c r="AV744" s="12">
        <f t="shared" si="88"/>
        <v>0.09689902861622333</v>
      </c>
      <c r="AW744" s="12">
        <f t="shared" si="89"/>
        <v>0.12143995458989075</v>
      </c>
      <c r="AX744" s="42">
        <f t="shared" si="90"/>
        <v>-0.225</v>
      </c>
    </row>
    <row r="745" spans="45:50" ht="18" customHeight="1">
      <c r="AS745" s="11">
        <f t="shared" si="86"/>
      </c>
      <c r="AU745" s="42">
        <f t="shared" si="87"/>
        <v>5.6000000000000005</v>
      </c>
      <c r="AV745" s="12">
        <f t="shared" si="88"/>
        <v>0.09280205768603661</v>
      </c>
      <c r="AW745" s="12">
        <f t="shared" si="89"/>
        <v>0.1433619338125775</v>
      </c>
      <c r="AX745" s="42">
        <f t="shared" si="90"/>
        <v>-0.225</v>
      </c>
    </row>
    <row r="746" spans="45:50" ht="18" customHeight="1">
      <c r="AS746" s="11">
        <f t="shared" si="86"/>
      </c>
      <c r="AU746" s="42">
        <f t="shared" si="87"/>
        <v>6.000000000000001</v>
      </c>
      <c r="AV746" s="12">
        <f t="shared" si="88"/>
        <v>0.09097403532705109</v>
      </c>
      <c r="AW746" s="12">
        <f t="shared" si="89"/>
        <v>0.16297237248572974</v>
      </c>
      <c r="AX746" s="42">
        <f t="shared" si="90"/>
        <v>-0.225</v>
      </c>
    </row>
    <row r="747" spans="45:50" ht="18" customHeight="1">
      <c r="AS747" s="11">
        <f t="shared" si="86"/>
      </c>
      <c r="AU747" s="42">
        <f t="shared" si="87"/>
        <v>6.400000000000001</v>
      </c>
      <c r="AV747" s="12">
        <f t="shared" si="88"/>
        <v>0.09245605795937083</v>
      </c>
      <c r="AW747" s="12">
        <f t="shared" si="89"/>
        <v>0.17923017418924336</v>
      </c>
      <c r="AX747" s="42">
        <f t="shared" si="90"/>
        <v>-0.225</v>
      </c>
    </row>
    <row r="748" spans="45:50" ht="18" customHeight="1">
      <c r="AS748" s="11">
        <f t="shared" si="86"/>
      </c>
      <c r="AU748" s="42">
        <f t="shared" si="87"/>
        <v>6.800000000000002</v>
      </c>
      <c r="AV748" s="12">
        <f t="shared" si="88"/>
        <v>0.09828922200309993</v>
      </c>
      <c r="AW748" s="12">
        <f t="shared" si="89"/>
        <v>0.1910942425030143</v>
      </c>
      <c r="AX748" s="42">
        <f t="shared" si="90"/>
        <v>-0.225</v>
      </c>
    </row>
    <row r="749" spans="45:50" ht="18" customHeight="1">
      <c r="AS749" s="11">
        <f t="shared" si="86"/>
      </c>
      <c r="AU749" s="42">
        <f t="shared" si="87"/>
        <v>7.200000000000002</v>
      </c>
      <c r="AV749" s="12">
        <f t="shared" si="88"/>
        <v>0.10951462387834164</v>
      </c>
      <c r="AW749" s="12">
        <f t="shared" si="89"/>
        <v>0.19752348100693934</v>
      </c>
      <c r="AX749" s="42">
        <f t="shared" si="90"/>
        <v>-0.225</v>
      </c>
    </row>
    <row r="750" spans="45:50" ht="18" customHeight="1">
      <c r="AS750" s="11">
        <f t="shared" si="86"/>
      </c>
      <c r="AU750" s="42">
        <f t="shared" si="87"/>
        <v>7.600000000000002</v>
      </c>
      <c r="AV750" s="12">
        <f t="shared" si="88"/>
        <v>0.1271733600052027</v>
      </c>
      <c r="AW750" s="12">
        <f t="shared" si="89"/>
        <v>0.1974767932809117</v>
      </c>
      <c r="AX750" s="42">
        <f t="shared" si="90"/>
        <v>-0.225</v>
      </c>
    </row>
    <row r="751" spans="45:50" ht="18" customHeight="1">
      <c r="AS751" s="11">
        <f t="shared" si="86"/>
      </c>
      <c r="AU751" s="42">
        <f t="shared" si="87"/>
        <v>8.000000000000002</v>
      </c>
      <c r="AV751" s="12">
        <f t="shared" si="88"/>
        <v>0.15230652680378406</v>
      </c>
      <c r="AW751" s="12">
        <f t="shared" si="89"/>
        <v>0.1899130829048303</v>
      </c>
      <c r="AX751" s="42">
        <f t="shared" si="90"/>
        <v>-0.225</v>
      </c>
    </row>
    <row r="752" spans="44:45" ht="18" customHeight="1">
      <c r="AR752" s="17" t="s">
        <v>445</v>
      </c>
      <c r="AS752" s="11">
        <f>MIN(AS731:AS751)</f>
        <v>0</v>
      </c>
    </row>
    <row r="770" ht="18" customHeight="1">
      <c r="AS770" s="43"/>
    </row>
    <row r="771" ht="18" customHeight="1">
      <c r="AS771" s="43"/>
    </row>
    <row r="772" ht="18" customHeight="1">
      <c r="AS772" s="17"/>
    </row>
    <row r="790" spans="19:43" ht="18" customHeight="1"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</row>
    <row r="794" spans="18:43" ht="18" customHeight="1"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</row>
    <row r="798" spans="18:43" ht="18" customHeight="1"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</row>
    <row r="802" ht="18" customHeight="1">
      <c r="R802" s="3"/>
    </row>
  </sheetData>
  <sheetProtection sheet="1" objects="1" scenarios="1"/>
  <mergeCells count="18">
    <mergeCell ref="A646:A647"/>
    <mergeCell ref="F646:G646"/>
    <mergeCell ref="H646:I646"/>
    <mergeCell ref="E647:E648"/>
    <mergeCell ref="F647:F648"/>
    <mergeCell ref="G647:G648"/>
    <mergeCell ref="B193:B194"/>
    <mergeCell ref="C306:E306"/>
    <mergeCell ref="E193:F193"/>
    <mergeCell ref="G193:H193"/>
    <mergeCell ref="C401:C402"/>
    <mergeCell ref="C436:C437"/>
    <mergeCell ref="C468:C469"/>
    <mergeCell ref="C539:C540"/>
    <mergeCell ref="B580:B581"/>
    <mergeCell ref="G580:I580"/>
    <mergeCell ref="A510:A511"/>
    <mergeCell ref="D510:E510"/>
  </mergeCells>
  <conditionalFormatting sqref="D583:D603">
    <cfRule type="cellIs" priority="1" dxfId="0" operator="greaterThan" stopIfTrue="1">
      <formula>$G$583</formula>
    </cfRule>
  </conditionalFormatting>
  <conditionalFormatting sqref="E583:E603">
    <cfRule type="cellIs" priority="2" dxfId="0" operator="lessThan" stopIfTrue="1">
      <formula>$H$583</formula>
    </cfRule>
  </conditionalFormatting>
  <conditionalFormatting sqref="F583:F603">
    <cfRule type="cellIs" priority="3" dxfId="0" operator="greaterThan" stopIfTrue="1">
      <formula>$I$583</formula>
    </cfRule>
  </conditionalFormatting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Header>&amp;C&amp;9もたれ式擁壁</oddHeader>
    <oddFooter>&amp;C&amp;P</oddFooter>
  </headerFooter>
  <rowBreaks count="12" manualBreakCount="12">
    <brk id="39" max="8" man="1"/>
    <brk id="80" max="8" man="1"/>
    <brk id="235" max="8" man="1"/>
    <brk id="317" max="8" man="1"/>
    <brk id="346" max="8" man="1"/>
    <brk id="382" max="8" man="1"/>
    <brk id="460" max="8" man="1"/>
    <brk id="492" max="8" man="1"/>
    <brk id="572" max="8" man="1"/>
    <brk id="644" max="8" man="1"/>
    <brk id="674" max="8" man="1"/>
    <brk id="70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F22"/>
  <sheetViews>
    <sheetView workbookViewId="0" topLeftCell="A1">
      <selection activeCell="F4" sqref="F4"/>
    </sheetView>
  </sheetViews>
  <sheetFormatPr defaultColWidth="8.796875" defaultRowHeight="14.25"/>
  <sheetData>
    <row r="3" spans="1:5" ht="15">
      <c r="A3" t="s">
        <v>0</v>
      </c>
      <c r="B3" s="1" t="s">
        <v>1</v>
      </c>
      <c r="C3" s="2" t="s">
        <v>2</v>
      </c>
      <c r="D3" s="2" t="s">
        <v>3</v>
      </c>
      <c r="E3" s="3"/>
    </row>
    <row r="4" spans="1:6" ht="15">
      <c r="A4">
        <v>1</v>
      </c>
      <c r="B4" s="5" t="s">
        <v>4</v>
      </c>
      <c r="C4" s="3">
        <v>30</v>
      </c>
      <c r="D4" s="3">
        <v>0.6</v>
      </c>
      <c r="E4" s="3"/>
      <c r="F4" s="6"/>
    </row>
    <row r="5" spans="1:6" ht="15">
      <c r="A5">
        <v>2</v>
      </c>
      <c r="B5" s="5" t="s">
        <v>5</v>
      </c>
      <c r="C5" s="3">
        <v>30</v>
      </c>
      <c r="D5" s="3">
        <v>0.6</v>
      </c>
      <c r="E5" s="3"/>
      <c r="F5" s="6"/>
    </row>
    <row r="6" spans="1:6" ht="15">
      <c r="A6">
        <v>3</v>
      </c>
      <c r="B6" s="5" t="s">
        <v>6</v>
      </c>
      <c r="C6" s="3">
        <v>50</v>
      </c>
      <c r="D6" s="3">
        <v>0.6</v>
      </c>
      <c r="E6" s="3"/>
      <c r="F6" s="6"/>
    </row>
    <row r="7" spans="1:6" ht="15">
      <c r="A7">
        <v>4</v>
      </c>
      <c r="B7" s="5" t="s">
        <v>7</v>
      </c>
      <c r="C7" s="3">
        <v>50</v>
      </c>
      <c r="D7" s="3">
        <v>0.675</v>
      </c>
      <c r="E7" s="3"/>
      <c r="F7" s="6"/>
    </row>
    <row r="8" spans="1:6" ht="15">
      <c r="A8">
        <v>5</v>
      </c>
      <c r="B8" s="5" t="s">
        <v>8</v>
      </c>
      <c r="C8" s="3">
        <v>55</v>
      </c>
      <c r="D8" s="3">
        <v>0.76</v>
      </c>
      <c r="E8" s="3"/>
      <c r="F8" s="6"/>
    </row>
    <row r="9" spans="1:6" ht="15">
      <c r="A9">
        <v>6</v>
      </c>
      <c r="B9" s="5" t="s">
        <v>9</v>
      </c>
      <c r="C9" s="3">
        <v>55</v>
      </c>
      <c r="D9" s="3">
        <v>0.76</v>
      </c>
      <c r="E9" s="3"/>
      <c r="F9" s="6"/>
    </row>
    <row r="10" spans="1:6" ht="15">
      <c r="A10">
        <v>7</v>
      </c>
      <c r="B10" s="5" t="s">
        <v>10</v>
      </c>
      <c r="C10" s="3">
        <v>55</v>
      </c>
      <c r="D10" s="3">
        <v>0.76</v>
      </c>
      <c r="E10" s="3"/>
      <c r="F10" s="6"/>
    </row>
    <row r="11" spans="1:6" ht="15">
      <c r="A11">
        <v>8</v>
      </c>
      <c r="B11" s="7" t="s">
        <v>11</v>
      </c>
      <c r="C11" s="3">
        <v>0</v>
      </c>
      <c r="D11" s="3">
        <v>0</v>
      </c>
      <c r="E11" s="3"/>
      <c r="F11" s="6"/>
    </row>
    <row r="12" spans="2:6" ht="15">
      <c r="B12" s="4">
        <v>8</v>
      </c>
      <c r="C12" s="3"/>
      <c r="D12" s="3"/>
      <c r="E12" s="3"/>
      <c r="F12" s="6"/>
    </row>
    <row r="13" spans="2:6" ht="15">
      <c r="B13" s="8" t="s">
        <v>12</v>
      </c>
      <c r="C13" s="9" t="str">
        <f>VLOOKUP($B$12,$A$4:$D$11,2,FALSE)</f>
        <v>なし</v>
      </c>
      <c r="F13" s="6"/>
    </row>
    <row r="14" spans="2:6" ht="15">
      <c r="B14" s="8" t="s">
        <v>2</v>
      </c>
      <c r="C14" s="9">
        <f>VLOOKUP($B$12,$A$4:$D$11,3,FALSE)</f>
        <v>0</v>
      </c>
      <c r="D14" s="10" t="s">
        <v>13</v>
      </c>
      <c r="F14" s="6"/>
    </row>
    <row r="15" spans="2:6" ht="15">
      <c r="B15" s="8" t="s">
        <v>14</v>
      </c>
      <c r="C15" s="9">
        <f>VLOOKUP($B$12,$A$4:$D$11,4,FALSE)</f>
        <v>0</v>
      </c>
      <c r="D15" s="10" t="s">
        <v>15</v>
      </c>
      <c r="F15" s="6"/>
    </row>
    <row r="18" spans="1:2" ht="13.5">
      <c r="A18" t="s">
        <v>0</v>
      </c>
      <c r="B18" s="1" t="s">
        <v>1</v>
      </c>
    </row>
    <row r="19" spans="1:2" ht="13.5">
      <c r="A19">
        <v>1</v>
      </c>
      <c r="B19" t="s">
        <v>451</v>
      </c>
    </row>
    <row r="20" spans="1:2" ht="13.5">
      <c r="A20">
        <v>2</v>
      </c>
      <c r="B20" t="s">
        <v>452</v>
      </c>
    </row>
    <row r="21" ht="13.5">
      <c r="B21" s="182">
        <v>1</v>
      </c>
    </row>
    <row r="22" ht="13.5">
      <c r="B22" t="str">
        <f>IF(B21=1,B19,B20)</f>
        <v>無筋コンクリート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NTUser</dc:creator>
  <cp:keywords/>
  <dc:description/>
  <cp:lastModifiedBy>DT-189</cp:lastModifiedBy>
  <cp:lastPrinted>2004-07-24T00:28:04Z</cp:lastPrinted>
  <dcterms:created xsi:type="dcterms:W3CDTF">2000-04-13T08:56:30Z</dcterms:created>
  <dcterms:modified xsi:type="dcterms:W3CDTF">2008-01-22T05:52:11Z</dcterms:modified>
  <cp:category/>
  <cp:version/>
  <cp:contentType/>
  <cp:contentStatus/>
</cp:coreProperties>
</file>