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195" windowWidth="7395" windowHeight="8730" activeTab="0"/>
  </bookViews>
  <sheets>
    <sheet name="入力" sheetId="1" r:id="rId1"/>
    <sheet name="切土部擁壁" sheetId="2" r:id="rId2"/>
  </sheets>
  <definedNames>
    <definedName name="∑H">'切土部擁壁'!$D$242</definedName>
    <definedName name="∑V">'切土部擁壁'!$C$242</definedName>
    <definedName name="B">'切土部擁壁'!$C$9</definedName>
    <definedName name="Bt">'切土部擁壁'!$C$8</definedName>
    <definedName name="bu">'切土部擁壁'!$C$7</definedName>
    <definedName name="d">'切土部擁壁'!$H$9</definedName>
    <definedName name="dd">'切土部擁壁'!$G$244</definedName>
    <definedName name="e">'切土部擁壁'!$G$247</definedName>
    <definedName name="H">'切土部擁壁'!$C$4</definedName>
    <definedName name="Hf">'切土部擁壁'!$C$6</definedName>
    <definedName name="Hw">'切土部擁壁'!$C$5</definedName>
    <definedName name="m">'切土部擁壁'!$H$7</definedName>
    <definedName name="nf">'切土部擁壁'!$H$4</definedName>
    <definedName name="nm">'切土部擁壁'!$H$6</definedName>
    <definedName name="nr">'切土部擁壁'!$H$5</definedName>
    <definedName name="PAH">'切土部擁壁'!$G$234</definedName>
    <definedName name="PAV">'切土部擁壁'!$G$232</definedName>
    <definedName name="Pmax">'切土部擁壁'!$CH$150</definedName>
    <definedName name="_xlnm.Print_Area" localSheetId="1">'切土部擁壁'!$A$1:$I$306</definedName>
    <definedName name="_xlnm.Print_Area" localSheetId="0">'入力'!$A$1:$M$27</definedName>
    <definedName name="qd">'切土部擁壁'!$D$34</definedName>
    <definedName name="solver_adj" localSheetId="1" hidden="1">'切土部擁壁'!$CI$52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'切土部擁壁'!$CI$52</definedName>
    <definedName name="solver_lhs2" localSheetId="1" hidden="1">'切土部擁壁'!$CI$52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'切土部擁壁'!$CS$52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'切土部擁壁'!$D$28</definedName>
    <definedName name="solver_rhs2" localSheetId="1" hidden="1">89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89</definedName>
    <definedName name="solver_tol" localSheetId="1" hidden="1">0.05</definedName>
    <definedName name="solver_typ" localSheetId="1" hidden="1">1</definedName>
    <definedName name="solver_val" localSheetId="1" hidden="1">0</definedName>
    <definedName name="X">'切土部擁壁'!$CJ$47</definedName>
    <definedName name="xA">'切土部擁壁'!$F$236</definedName>
    <definedName name="Y">'切土部擁壁'!$CM$47</definedName>
    <definedName name="yA">'切土部擁壁'!$F$237</definedName>
    <definedName name="α">'切土部擁壁'!$R$182</definedName>
    <definedName name="β">'切土部擁壁'!$R$184</definedName>
    <definedName name="γ">'切土部擁壁'!$D$27</definedName>
    <definedName name="γc">'切土部擁壁'!$D$39</definedName>
    <definedName name="δ1">'切土部擁壁'!$R$181</definedName>
    <definedName name="δ2">'切土部擁壁'!$R$185</definedName>
    <definedName name="ε">'切土部擁壁'!$R$183</definedName>
    <definedName name="η">'切土部擁壁'!$CL$52</definedName>
    <definedName name="μ">'切土部擁壁'!$D$35</definedName>
    <definedName name="ξ">'切土部擁壁'!$CK$52</definedName>
    <definedName name="φ">'切土部擁壁'!$R$179</definedName>
    <definedName name="φB">'切土部擁壁'!$R$180</definedName>
    <definedName name="φd">'切土部擁壁'!$AS$13</definedName>
    <definedName name="ωo">'切土部擁壁'!$CJ$48</definedName>
  </definedNames>
  <calcPr fullCalcOnLoad="1"/>
</workbook>
</file>

<file path=xl/sharedStrings.xml><?xml version="1.0" encoding="utf-8"?>
<sst xmlns="http://schemas.openxmlformats.org/spreadsheetml/2006/main" count="360" uniqueCount="299">
  <si>
    <t>擁壁</t>
  </si>
  <si>
    <t>地山</t>
  </si>
  <si>
    <t>盛土</t>
  </si>
  <si>
    <t>すべり面</t>
  </si>
  <si>
    <t>m</t>
  </si>
  <si>
    <t>rad</t>
  </si>
  <si>
    <t>deg</t>
  </si>
  <si>
    <t>X=</t>
  </si>
  <si>
    <t>Y=</t>
  </si>
  <si>
    <t>KA=</t>
  </si>
  <si>
    <t>PA=</t>
  </si>
  <si>
    <t>ξ</t>
  </si>
  <si>
    <t>η</t>
  </si>
  <si>
    <t>h</t>
  </si>
  <si>
    <t>f</t>
  </si>
  <si>
    <t>W1</t>
  </si>
  <si>
    <t>W2</t>
  </si>
  <si>
    <t>X</t>
  </si>
  <si>
    <t>θ</t>
  </si>
  <si>
    <t>P</t>
  </si>
  <si>
    <t>Pmax=</t>
  </si>
  <si>
    <r>
      <t>α</t>
    </r>
    <r>
      <rPr>
        <sz val="11"/>
        <rFont val="Times New Roman"/>
        <family val="1"/>
      </rPr>
      <t>=</t>
    </r>
  </si>
  <si>
    <r>
      <t>ε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</si>
  <si>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</si>
  <si>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</si>
  <si>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o=</t>
    </r>
  </si>
  <si>
    <r>
      <t>ω</t>
    </r>
    <r>
      <rPr>
        <sz val="11"/>
        <rFont val="Times New Roman"/>
        <family val="1"/>
      </rPr>
      <t>deg</t>
    </r>
  </si>
  <si>
    <r>
      <t>ω</t>
    </r>
    <r>
      <rPr>
        <sz val="11"/>
        <rFont val="Times New Roman"/>
        <family val="1"/>
      </rPr>
      <t>rad</t>
    </r>
  </si>
  <si>
    <t>擁壁高</t>
  </si>
  <si>
    <t>地山までの距離</t>
  </si>
  <si>
    <t>地山勾配</t>
  </si>
  <si>
    <t>盛土勾配</t>
  </si>
  <si>
    <r>
      <t>d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</si>
  <si>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</si>
  <si>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t>◆インプットデータ</t>
  </si>
  <si>
    <t>楔１</t>
  </si>
  <si>
    <t>外部摩擦角</t>
  </si>
  <si>
    <t>度</t>
  </si>
  <si>
    <t>天端幅</t>
  </si>
  <si>
    <t>m</t>
  </si>
  <si>
    <t>壁前面勾配</t>
  </si>
  <si>
    <t>壁背面勾配</t>
  </si>
  <si>
    <r>
      <t>(1)</t>
    </r>
    <r>
      <rPr>
        <sz val="11"/>
        <rFont val="ＭＳ Ｐ明朝"/>
        <family val="1"/>
      </rPr>
      <t>形状寸法</t>
    </r>
  </si>
  <si>
    <r>
      <t>(3)</t>
    </r>
    <r>
      <rPr>
        <sz val="11"/>
        <rFont val="ＭＳ Ｐ明朝"/>
        <family val="1"/>
      </rPr>
      <t>土圧計算法</t>
    </r>
  </si>
  <si>
    <t>単位体積重量</t>
  </si>
  <si>
    <t>土圧作用位置</t>
  </si>
  <si>
    <r>
      <t>(4)</t>
    </r>
    <r>
      <rPr>
        <sz val="11"/>
        <rFont val="ＭＳ Ｐ明朝"/>
        <family val="1"/>
      </rPr>
      <t>支持地盤</t>
    </r>
  </si>
  <si>
    <t>極限支持力度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</si>
  <si>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</si>
  <si>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t>μ=</t>
  </si>
  <si>
    <r>
      <t>kN/m</t>
    </r>
    <r>
      <rPr>
        <vertAlign val="superscript"/>
        <sz val="11"/>
        <rFont val="ＭＳ Ｐ明朝"/>
        <family val="1"/>
      </rPr>
      <t>2</t>
    </r>
  </si>
  <si>
    <t>荷　重</t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</si>
  <si>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</si>
  <si>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</si>
  <si>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</si>
  <si>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</si>
  <si>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</si>
  <si>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</si>
  <si>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t>自　重</t>
  </si>
  <si>
    <t>土　圧</t>
  </si>
  <si>
    <t>∑</t>
  </si>
  <si>
    <t>合力作用位置</t>
  </si>
  <si>
    <t>合力の偏心量</t>
  </si>
  <si>
    <r>
      <t>地盤反力度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</si>
  <si>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</si>
  <si>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</si>
  <si>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底版幅</t>
  </si>
  <si>
    <t>鉛直力</t>
  </si>
  <si>
    <t>極限支持力度</t>
  </si>
  <si>
    <t>安全率</t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</si>
  <si>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</si>
  <si>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</si>
  <si>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</si>
  <si>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t>◆安定計算結果</t>
  </si>
  <si>
    <t>照査項目</t>
  </si>
  <si>
    <t>転倒の危険率</t>
  </si>
  <si>
    <t>滑動の安全率</t>
  </si>
  <si>
    <t>地盤支持の安全率</t>
  </si>
  <si>
    <t>計算値</t>
  </si>
  <si>
    <t>規定値</t>
  </si>
  <si>
    <t>判定</t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</si>
  <si>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</si>
  <si>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=1:</t>
    </r>
  </si>
  <si>
    <r>
      <t>(2)</t>
    </r>
    <r>
      <rPr>
        <sz val="11"/>
        <rFont val="ＭＳ Ｐ明朝"/>
        <family val="1"/>
      </rPr>
      <t>裏込土</t>
    </r>
  </si>
  <si>
    <t>礫質土</t>
  </si>
  <si>
    <t>仕上げ状態</t>
  </si>
  <si>
    <r>
      <t>(3)</t>
    </r>
    <r>
      <rPr>
        <sz val="11"/>
        <rFont val="ＭＳ Ｐ明朝"/>
        <family val="1"/>
      </rPr>
      <t>切土面の仕上げ</t>
    </r>
  </si>
  <si>
    <t>仕上げ</t>
  </si>
  <si>
    <t>底面摩擦係数</t>
  </si>
  <si>
    <t>堅壁高</t>
  </si>
  <si>
    <t>底版厚</t>
  </si>
  <si>
    <t>底版幅</t>
  </si>
  <si>
    <r>
      <t>B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</si>
  <si>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</si>
  <si>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</si>
  <si>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t>つま先長</t>
  </si>
  <si>
    <r>
      <t>B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</si>
  <si>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t>No.</t>
  </si>
  <si>
    <t>A</t>
  </si>
  <si>
    <r>
      <t>G</t>
    </r>
    <r>
      <rPr>
        <i/>
        <vertAlign val="subscript"/>
        <sz val="11"/>
        <rFont val="Times New Roman"/>
        <family val="1"/>
      </rPr>
      <t>y</t>
    </r>
  </si>
  <si>
    <r>
      <t>G</t>
    </r>
    <r>
      <rPr>
        <i/>
        <vertAlign val="subscript"/>
        <sz val="11"/>
        <rFont val="Times New Roman"/>
        <family val="1"/>
      </rPr>
      <t>x</t>
    </r>
  </si>
  <si>
    <t>反力縮尺</t>
  </si>
  <si>
    <t>荷重状態図</t>
  </si>
  <si>
    <r>
      <t>P</t>
    </r>
    <r>
      <rPr>
        <sz val="11"/>
        <rFont val="ＭＳ 明朝"/>
        <family val="1"/>
      </rPr>
      <t>-ω関係図</t>
    </r>
  </si>
  <si>
    <r>
      <t>f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</si>
  <si>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s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</si>
  <si>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g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</si>
  <si>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t>1:S=1:</t>
  </si>
  <si>
    <t>1:S=1:</t>
  </si>
  <si>
    <t>自重</t>
  </si>
  <si>
    <t>土圧</t>
  </si>
  <si>
    <t>合力</t>
  </si>
  <si>
    <t>地盤反力</t>
  </si>
  <si>
    <t>h=</t>
  </si>
  <si>
    <t>m</t>
  </si>
  <si>
    <t>ω</t>
  </si>
  <si>
    <t>計算法</t>
  </si>
  <si>
    <t>土質</t>
  </si>
  <si>
    <t>γ</t>
  </si>
  <si>
    <t>φ</t>
  </si>
  <si>
    <t>単位体積重量</t>
  </si>
  <si>
    <t>kN/m3</t>
  </si>
  <si>
    <t>δ</t>
  </si>
  <si>
    <t>試行くさび法</t>
  </si>
  <si>
    <t>比較的平面</t>
  </si>
  <si>
    <t>内部摩擦角</t>
  </si>
  <si>
    <t>deg</t>
  </si>
  <si>
    <t>rad</t>
  </si>
  <si>
    <t>PA</t>
  </si>
  <si>
    <t>砂質土</t>
  </si>
  <si>
    <t>粗・段切り</t>
  </si>
  <si>
    <t>deg</t>
  </si>
  <si>
    <t>rad</t>
  </si>
  <si>
    <t>R1=</t>
  </si>
  <si>
    <t>粘性土</t>
  </si>
  <si>
    <t>盛土傾斜角</t>
  </si>
  <si>
    <t>deg</t>
  </si>
  <si>
    <t>rad</t>
  </si>
  <si>
    <t>PAH=</t>
  </si>
  <si>
    <t>m</t>
  </si>
  <si>
    <t>土圧計算法</t>
  </si>
  <si>
    <t>仕上げ</t>
  </si>
  <si>
    <t>地山傾斜角</t>
  </si>
  <si>
    <t>deg</t>
  </si>
  <si>
    <t>rad</t>
  </si>
  <si>
    <t>m</t>
  </si>
  <si>
    <t>土質</t>
  </si>
  <si>
    <t>γ</t>
  </si>
  <si>
    <t>W1=</t>
  </si>
  <si>
    <t>kN/m</t>
  </si>
  <si>
    <t>φ</t>
  </si>
  <si>
    <t>壁背面勾配</t>
  </si>
  <si>
    <t>PAH</t>
  </si>
  <si>
    <t>W2</t>
  </si>
  <si>
    <t>R1</t>
  </si>
  <si>
    <t>X</t>
  </si>
  <si>
    <t>盛土角度</t>
  </si>
  <si>
    <t>地山までの距離</t>
  </si>
  <si>
    <t>S=</t>
  </si>
  <si>
    <t>x</t>
  </si>
  <si>
    <t>土　　質</t>
  </si>
  <si>
    <t>内部摩擦角</t>
  </si>
  <si>
    <t>極限支持力度</t>
  </si>
  <si>
    <t>摩擦係数</t>
  </si>
  <si>
    <t>座標値法によって計算する．</t>
  </si>
  <si>
    <t>重量</t>
  </si>
  <si>
    <t>kN/m</t>
  </si>
  <si>
    <t>重心位置</t>
  </si>
  <si>
    <t>kN/m</t>
  </si>
  <si>
    <t>X</t>
  </si>
  <si>
    <t>以上の計算より，</t>
  </si>
  <si>
    <t>◆計算式</t>
  </si>
  <si>
    <t>盛土せん断抵抗角</t>
  </si>
  <si>
    <t>盛土と地山の摩擦角</t>
  </si>
  <si>
    <t>内部土圧の傾斜角</t>
  </si>
  <si>
    <t>壁面傾斜角</t>
  </si>
  <si>
    <t>地山傾斜角</t>
  </si>
  <si>
    <t>盛土傾斜角</t>
  </si>
  <si>
    <t>壁面摩擦角</t>
  </si>
  <si>
    <t>主働土圧合力</t>
  </si>
  <si>
    <t>kN/m</t>
  </si>
  <si>
    <t>主働土圧係数</t>
  </si>
  <si>
    <t>主働すべり角</t>
  </si>
  <si>
    <t>deg</t>
  </si>
  <si>
    <t>土圧の鉛直成分</t>
  </si>
  <si>
    <t>kN/m</t>
  </si>
  <si>
    <t>土圧の水平成分</t>
  </si>
  <si>
    <t>m</t>
  </si>
  <si>
    <t>B=</t>
  </si>
  <si>
    <t>危険率</t>
  </si>
  <si>
    <t>水平力</t>
  </si>
  <si>
    <t>摩擦係数</t>
  </si>
  <si>
    <t>安全率</t>
  </si>
  <si>
    <t>荷重縮尺</t>
  </si>
  <si>
    <t>仮想壁面高</t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</si>
  <si>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(deg)</t>
    </r>
  </si>
  <si>
    <r>
      <t>φ</t>
    </r>
    <r>
      <rPr>
        <sz val="11"/>
        <rFont val="Times New Roman"/>
        <family val="1"/>
      </rPr>
      <t>b</t>
    </r>
  </si>
  <si>
    <r>
      <t>γ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</si>
  <si>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</si>
  <si>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</si>
  <si>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</si>
  <si>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t>改良試行くさび法</t>
  </si>
  <si>
    <r>
      <t>φ</t>
    </r>
    <r>
      <rPr>
        <sz val="11"/>
        <rFont val="Times New Roman"/>
        <family val="1"/>
      </rPr>
      <t>B=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</si>
  <si>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</si>
  <si>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</si>
  <si>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</si>
  <si>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>ε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</si>
  <si>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</si>
  <si>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1</t>
    </r>
  </si>
  <si>
    <r>
      <t>φ</t>
    </r>
    <r>
      <rPr>
        <sz val="11"/>
        <rFont val="Times New Roman"/>
        <family val="1"/>
      </rPr>
      <t>b</t>
    </r>
  </si>
  <si>
    <r>
      <t>B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</si>
  <si>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</si>
  <si>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</si>
  <si>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r>
      <t>ω</t>
    </r>
    <r>
      <rPr>
        <sz val="11"/>
        <rFont val="Times New Roman"/>
        <family val="1"/>
      </rPr>
      <t>deg</t>
    </r>
  </si>
  <si>
    <r>
      <t>ω</t>
    </r>
    <r>
      <rPr>
        <sz val="11"/>
        <rFont val="Times New Roman"/>
        <family val="1"/>
      </rPr>
      <t>rad</t>
    </r>
  </si>
  <si>
    <r>
      <t>δ</t>
    </r>
    <r>
      <rPr>
        <sz val="11"/>
        <rFont val="Times New Roman"/>
        <family val="1"/>
      </rPr>
      <t>rad</t>
    </r>
  </si>
  <si>
    <r>
      <t>δ</t>
    </r>
    <r>
      <rPr>
        <sz val="11"/>
        <rFont val="Times New Roman"/>
        <family val="1"/>
      </rPr>
      <t>deg</t>
    </r>
  </si>
  <si>
    <r>
      <t>Xcos</t>
    </r>
    <r>
      <rPr>
        <sz val="11"/>
        <rFont val="ＭＳ 明朝"/>
        <family val="1"/>
      </rPr>
      <t>δ</t>
    </r>
    <r>
      <rPr>
        <vertAlign val="subscript"/>
        <sz val="11"/>
        <rFont val="Times New Roman"/>
        <family val="1"/>
      </rPr>
      <t>1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</si>
  <si>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</si>
  <si>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</si>
  <si>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d</t>
    </r>
    <r>
      <rPr>
        <sz val="11"/>
        <rFont val="Times New Roman"/>
        <family val="1"/>
      </rPr>
      <t>=</t>
    </r>
  </si>
  <si>
    <r>
      <t>楔</t>
    </r>
    <r>
      <rPr>
        <sz val="11"/>
        <rFont val="Times New Roman"/>
        <family val="1"/>
      </rPr>
      <t>2</t>
    </r>
  </si>
  <si>
    <t>単位体積重量</t>
  </si>
  <si>
    <r>
      <t>kN/m</t>
    </r>
    <r>
      <rPr>
        <vertAlign val="superscript"/>
        <sz val="11"/>
        <rFont val="Times New Roman"/>
        <family val="1"/>
      </rPr>
      <t>3</t>
    </r>
  </si>
  <si>
    <t>地山境界摩擦角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</si>
  <si>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</si>
  <si>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</si>
  <si>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設計基準強度</t>
  </si>
  <si>
    <r>
      <t>N/mm</t>
    </r>
    <r>
      <rPr>
        <vertAlign val="superscript"/>
        <sz val="11"/>
        <rFont val="Times New Roman"/>
        <family val="1"/>
      </rPr>
      <t>2</t>
    </r>
  </si>
  <si>
    <r>
      <t>◆試行くさび法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道路土工－擁壁工指針の方法</t>
    </r>
    <r>
      <rPr>
        <sz val="11"/>
        <rFont val="Times New Roman"/>
        <family val="1"/>
      </rPr>
      <t>)</t>
    </r>
  </si>
  <si>
    <r>
      <t>◆改良試行くさび法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右城の方法</t>
    </r>
    <r>
      <rPr>
        <sz val="11"/>
        <rFont val="Times New Roman"/>
        <family val="1"/>
      </rPr>
      <t>)</t>
    </r>
  </si>
  <si>
    <r>
      <t>　内力</t>
    </r>
    <r>
      <rPr>
        <i/>
        <sz val="11"/>
        <rFont val="Times New Roman"/>
        <family val="1"/>
      </rPr>
      <t>X</t>
    </r>
    <r>
      <rPr>
        <sz val="11"/>
        <rFont val="ＭＳ 明朝"/>
        <family val="1"/>
      </rPr>
      <t>の傾斜角</t>
    </r>
    <r>
      <rPr>
        <i/>
        <sz val="11"/>
        <rFont val="Times New Roman"/>
        <family val="1"/>
      </rPr>
      <t>d</t>
    </r>
    <r>
      <rPr>
        <vertAlign val="subscript"/>
        <sz val="11"/>
        <rFont val="Times New Roman"/>
        <family val="1"/>
      </rPr>
      <t>1</t>
    </r>
    <r>
      <rPr>
        <sz val="11"/>
        <rFont val="ＭＳ 明朝"/>
        <family val="1"/>
      </rPr>
      <t>は，くさびの高さ</t>
    </r>
    <r>
      <rPr>
        <i/>
        <sz val="11"/>
        <rFont val="Times New Roman"/>
        <family val="1"/>
      </rPr>
      <t>h</t>
    </r>
    <r>
      <rPr>
        <sz val="11"/>
        <rFont val="ＭＳ 明朝"/>
        <family val="1"/>
      </rPr>
      <t>と無関係になるので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=1</t>
    </r>
    <r>
      <rPr>
        <sz val="11"/>
        <rFont val="ＭＳ 明朝"/>
        <family val="1"/>
      </rPr>
      <t>として計算する．</t>
    </r>
  </si>
  <si>
    <r>
      <t>W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</si>
  <si>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l</t>
    </r>
  </si>
  <si>
    <r>
      <t>R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l</t>
    </r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</si>
  <si>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(deg)</t>
    </r>
  </si>
  <si>
    <r>
      <t>X</t>
    </r>
    <r>
      <rPr>
        <sz val="11"/>
        <rFont val="Times New Roman"/>
        <family val="1"/>
      </rPr>
      <t>cos</t>
    </r>
    <r>
      <rPr>
        <sz val="11"/>
        <rFont val="ＭＳ 明朝"/>
        <family val="1"/>
      </rPr>
      <t>δ</t>
    </r>
    <r>
      <rPr>
        <vertAlign val="subscript"/>
        <sz val="11"/>
        <rFont val="ＭＳ 明朝"/>
        <family val="1"/>
      </rPr>
      <t>１</t>
    </r>
  </si>
  <si>
    <r>
      <t>φ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</si>
  <si>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</si>
  <si>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</si>
  <si>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</si>
  <si>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W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</si>
  <si>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(kN/m)</t>
    </r>
  </si>
  <si>
    <r>
      <t>W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(kN/m)</t>
    </r>
  </si>
  <si>
    <r>
      <t>P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</si>
  <si>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</si>
  <si>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</si>
  <si>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</si>
  <si>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</si>
  <si>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</si>
  <si>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</si>
  <si>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</si>
  <si>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</si>
  <si>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</si>
  <si>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</si>
  <si>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t>最大地盤反力度</t>
  </si>
  <si>
    <r>
      <t>kN/m</t>
    </r>
    <r>
      <rPr>
        <vertAlign val="superscript"/>
        <sz val="11"/>
        <rFont val="Times New Roman"/>
        <family val="1"/>
      </rPr>
      <t>2</t>
    </r>
  </si>
  <si>
    <r>
      <t>g</t>
    </r>
    <r>
      <rPr>
        <sz val="11"/>
        <rFont val="Symbol"/>
        <family val="1"/>
      </rPr>
      <t>=</t>
    </r>
  </si>
  <si>
    <r>
      <t>f</t>
    </r>
    <r>
      <rPr>
        <sz val="11"/>
        <rFont val="Symbol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</si>
  <si>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</si>
  <si>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</si>
  <si>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d</t>
    </r>
    <r>
      <rPr>
        <vertAlign val="subscript"/>
        <sz val="11"/>
        <rFont val="Symbol"/>
        <family val="1"/>
      </rPr>
      <t>1</t>
    </r>
    <r>
      <rPr>
        <sz val="11"/>
        <rFont val="Symbol"/>
        <family val="1"/>
      </rPr>
      <t>=</t>
    </r>
  </si>
  <si>
    <r>
      <t>d</t>
    </r>
    <r>
      <rPr>
        <vertAlign val="subscript"/>
        <sz val="11"/>
        <rFont val="Symbol"/>
        <family val="1"/>
      </rPr>
      <t>1</t>
    </r>
    <r>
      <rPr>
        <sz val="11"/>
        <rFont val="Symbol"/>
        <family val="1"/>
      </rPr>
      <t>=</t>
    </r>
  </si>
  <si>
    <t>度</t>
  </si>
  <si>
    <r>
      <t>ω</t>
    </r>
    <r>
      <rPr>
        <vertAlign val="subscript"/>
        <sz val="11"/>
        <rFont val="ＭＳ 明朝"/>
        <family val="1"/>
      </rPr>
      <t>1</t>
    </r>
    <r>
      <rPr>
        <sz val="11"/>
        <rFont val="Times New Roman"/>
        <family val="1"/>
      </rPr>
      <t>(deg)</t>
    </r>
  </si>
  <si>
    <r>
      <t>μ</t>
    </r>
    <r>
      <rPr>
        <sz val="11"/>
        <rFont val="Times New Roman"/>
        <family val="1"/>
      </rPr>
      <t>=</t>
    </r>
  </si>
  <si>
    <t>kN/m</t>
  </si>
  <si>
    <r>
      <t>b</t>
    </r>
    <r>
      <rPr>
        <sz val="11"/>
        <rFont val="Times New Roman"/>
        <family val="1"/>
      </rPr>
      <t>=</t>
    </r>
  </si>
  <si>
    <t>－</t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</si>
  <si>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</si>
  <si>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>Fs=</t>
    </r>
    <r>
      <rPr>
        <sz val="11"/>
        <rFont val="ＭＳ 明朝"/>
        <family val="1"/>
      </rPr>
      <t>∑</t>
    </r>
    <r>
      <rPr>
        <i/>
        <sz val="11"/>
        <rFont val="Times New Roman"/>
        <family val="1"/>
      </rPr>
      <t>V</t>
    </r>
    <r>
      <rPr>
        <sz val="11"/>
        <rFont val="ＭＳ 明朝"/>
        <family val="1"/>
      </rPr>
      <t>･μ</t>
    </r>
    <r>
      <rPr>
        <sz val="11"/>
        <rFont val="Times New Roman"/>
        <family val="1"/>
      </rPr>
      <t>/</t>
    </r>
    <r>
      <rPr>
        <sz val="11"/>
        <rFont val="ＭＳ 明朝"/>
        <family val="1"/>
      </rP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</si>
  <si>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</t>
    </r>
    <r>
      <rPr>
        <i/>
        <sz val="11"/>
        <rFont val="Times New Roman"/>
        <family val="1"/>
      </rPr>
      <t xml:space="preserve">H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</si>
  <si>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sin(</t>
    </r>
    <r>
      <rPr>
        <sz val="11"/>
        <rFont val="ＭＳ 明朝"/>
        <family val="1"/>
      </rPr>
      <t>δ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)=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</si>
  <si>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cos(</t>
    </r>
    <r>
      <rPr>
        <sz val="11"/>
        <rFont val="ＭＳ 明朝"/>
        <family val="1"/>
      </rPr>
      <t>δ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)=</t>
    </r>
  </si>
  <si>
    <t>１．　設計条件</t>
  </si>
  <si>
    <t>(1)　形状寸法</t>
  </si>
  <si>
    <t>底版厚</t>
  </si>
  <si>
    <t>天端幅</t>
  </si>
  <si>
    <t>つま先長</t>
  </si>
  <si>
    <t>底版幅</t>
  </si>
  <si>
    <t>(2)　裏 込 土</t>
  </si>
  <si>
    <t>(3)　切 土 面</t>
  </si>
  <si>
    <t>(4)　土圧計算法</t>
  </si>
  <si>
    <t>(5)　支持地盤</t>
  </si>
  <si>
    <t>(6)　コンクリート</t>
  </si>
  <si>
    <t>２．　荷　　重</t>
  </si>
  <si>
    <t>(1)　自　　重</t>
  </si>
  <si>
    <t>(2)　主働土圧</t>
  </si>
  <si>
    <t>a)　仮想背面における内部土圧の傾斜角</t>
  </si>
  <si>
    <t>b)　壁面に作用する主働土圧</t>
  </si>
  <si>
    <t>c)　計算条件</t>
  </si>
  <si>
    <t>d)　計算結果</t>
  </si>
  <si>
    <t>(3)　荷重の集計</t>
  </si>
  <si>
    <t>３．　安定計算</t>
  </si>
  <si>
    <t>(1)　転倒に対する照査</t>
  </si>
  <si>
    <t>(2)　滑動に対する照査</t>
  </si>
  <si>
    <t>(3)　支持力に対する照査</t>
  </si>
  <si>
    <t>擁壁高</t>
  </si>
  <si>
    <t>堅壁高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</si>
</sst>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[&lt;=999]000;000\-00"/>
    <numFmt numFmtId="180" formatCode="0.000000"/>
    <numFmt numFmtId="181" formatCode="0.00000"/>
    <numFmt numFmtId="182" formatCode="0.0000"/>
    <numFmt numFmtId="183" formatCode="0.0"/>
    <numFmt numFmtId="184" formatCode="0.000"/>
    <numFmt numFmtId="185" formatCode="0.000_);[Red]\(0.000\)"/>
    <numFmt numFmtId="186" formatCode="0.0_);[Red]\(0.0\)"/>
    <numFmt numFmtId="187" formatCode="0.00_);[Red]\(0.00\)"/>
    <numFmt numFmtId="188" formatCode="0.00000000"/>
    <numFmt numFmtId="189" formatCode="0.000000000"/>
    <numFmt numFmtId="190" formatCode="0.0000000"/>
    <numFmt numFmtId="191" formatCode="0_);[Red]\(0\)"/>
  </numFmts>
  <fonts count="3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vertAlign val="subscript"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0"/>
      <name val="ＭＳ 明朝"/>
      <family val="1"/>
    </font>
    <font>
      <vertAlign val="subscript"/>
      <sz val="11"/>
      <name val="ＭＳ 明朝"/>
      <family val="1"/>
    </font>
    <font>
      <sz val="8.5"/>
      <name val="Times New Roman"/>
      <family val="1"/>
    </font>
    <font>
      <sz val="8.25"/>
      <name val="ＭＳ 明朝"/>
      <family val="1"/>
    </font>
    <font>
      <sz val="8.5"/>
      <name val="ＭＳ 明朝"/>
      <family val="1"/>
    </font>
    <font>
      <vertAlign val="subscript"/>
      <sz val="8.5"/>
      <name val="ＭＳ 明朝"/>
      <family val="1"/>
    </font>
    <font>
      <vertAlign val="superscript"/>
      <sz val="11"/>
      <name val="ＭＳ Ｐ明朝"/>
      <family val="1"/>
    </font>
    <font>
      <sz val="5"/>
      <name val="ＭＳ Ｐゴシック"/>
      <family val="3"/>
    </font>
    <font>
      <sz val="2.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明朝"/>
      <family val="1"/>
    </font>
    <font>
      <sz val="10.25"/>
      <name val="ＭＳ 明朝"/>
      <family val="1"/>
    </font>
    <font>
      <i/>
      <sz val="10.25"/>
      <name val="Times New Roman"/>
      <family val="1"/>
    </font>
    <font>
      <sz val="10.25"/>
      <name val="Times New Roman"/>
      <family val="1"/>
    </font>
    <font>
      <sz val="5.75"/>
      <name val="ＭＳ 明朝"/>
      <family val="1"/>
    </font>
    <font>
      <i/>
      <sz val="11"/>
      <name val="Symbol"/>
      <family val="1"/>
    </font>
    <font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Symbol"/>
      <family val="1"/>
    </font>
    <font>
      <i/>
      <sz val="11"/>
      <name val="ＭＳ Ｐ明朝"/>
      <family val="1"/>
    </font>
    <font>
      <u val="single"/>
      <sz val="10.25"/>
      <color indexed="12"/>
      <name val="ＭＳ Ｐゴシック"/>
      <family val="3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 quotePrefix="1">
      <alignment horizontal="center" vertical="center"/>
    </xf>
    <xf numFmtId="0" fontId="11" fillId="0" borderId="3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83" fontId="6" fillId="0" borderId="4" xfId="0" applyNumberFormat="1" applyFont="1" applyFill="1" applyBorder="1" applyAlignment="1">
      <alignment horizontal="center" vertical="center"/>
    </xf>
    <xf numFmtId="183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18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84" fontId="6" fillId="2" borderId="0" xfId="0" applyNumberFormat="1" applyFont="1" applyFill="1" applyBorder="1" applyAlignment="1">
      <alignment horizontal="center" vertical="center"/>
    </xf>
    <xf numFmtId="184" fontId="6" fillId="2" borderId="0" xfId="0" applyNumberFormat="1" applyFont="1" applyFill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Alignment="1">
      <alignment horizontal="left" vertical="center"/>
    </xf>
    <xf numFmtId="0" fontId="15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83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right" vertical="center"/>
    </xf>
    <xf numFmtId="183" fontId="6" fillId="3" borderId="4" xfId="0" applyNumberFormat="1" applyFont="1" applyFill="1" applyBorder="1" applyAlignment="1">
      <alignment horizontal="center" vertical="center"/>
    </xf>
    <xf numFmtId="184" fontId="6" fillId="3" borderId="5" xfId="0" applyNumberFormat="1" applyFont="1" applyFill="1" applyBorder="1" applyAlignment="1">
      <alignment horizontal="center" vertical="center"/>
    </xf>
    <xf numFmtId="184" fontId="6" fillId="3" borderId="6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21"/>
          <c:w val="0.88425"/>
          <c:h val="0.853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'切土部擁壁'!$C$189:$C$209</c:f>
              <c:numCache>
                <c:ptCount val="21"/>
                <c:pt idx="0">
                  <c:v>42</c:v>
                </c:pt>
                <c:pt idx="1">
                  <c:v>42.5</c:v>
                </c:pt>
                <c:pt idx="2">
                  <c:v>43</c:v>
                </c:pt>
                <c:pt idx="3">
                  <c:v>43.5</c:v>
                </c:pt>
                <c:pt idx="4">
                  <c:v>44</c:v>
                </c:pt>
                <c:pt idx="5">
                  <c:v>44.5</c:v>
                </c:pt>
                <c:pt idx="6">
                  <c:v>45</c:v>
                </c:pt>
                <c:pt idx="7">
                  <c:v>45.5</c:v>
                </c:pt>
                <c:pt idx="8">
                  <c:v>46</c:v>
                </c:pt>
                <c:pt idx="9">
                  <c:v>46.5</c:v>
                </c:pt>
                <c:pt idx="10">
                  <c:v>47</c:v>
                </c:pt>
                <c:pt idx="11">
                  <c:v>47.5</c:v>
                </c:pt>
                <c:pt idx="12">
                  <c:v>48</c:v>
                </c:pt>
                <c:pt idx="13">
                  <c:v>48.5</c:v>
                </c:pt>
                <c:pt idx="14">
                  <c:v>49</c:v>
                </c:pt>
                <c:pt idx="15">
                  <c:v>49.5</c:v>
                </c:pt>
                <c:pt idx="16">
                  <c:v>50</c:v>
                </c:pt>
                <c:pt idx="17">
                  <c:v>50.5</c:v>
                </c:pt>
                <c:pt idx="18">
                  <c:v>51</c:v>
                </c:pt>
                <c:pt idx="19">
                  <c:v>51.5</c:v>
                </c:pt>
                <c:pt idx="20">
                  <c:v>52</c:v>
                </c:pt>
              </c:numCache>
            </c:numRef>
          </c:cat>
          <c:val>
            <c:numRef>
              <c:f>'切土部擁壁'!$G$189:$G$209</c:f>
              <c:numCache>
                <c:ptCount val="21"/>
                <c:pt idx="0">
                  <c:v>52.99734724620057</c:v>
                </c:pt>
                <c:pt idx="1">
                  <c:v>53.10574881229175</c:v>
                </c:pt>
                <c:pt idx="2">
                  <c:v>53.207247382023525</c:v>
                </c:pt>
                <c:pt idx="3">
                  <c:v>53.3012044364268</c:v>
                </c:pt>
                <c:pt idx="4">
                  <c:v>53.38689206559492</c:v>
                </c:pt>
                <c:pt idx="5">
                  <c:v>53.463477605896706</c:v>
                </c:pt>
                <c:pt idx="6">
                  <c:v>53.53000498930781</c:v>
                </c:pt>
                <c:pt idx="7">
                  <c:v>53.585371954731265</c:v>
                </c:pt>
                <c:pt idx="8">
                  <c:v>53.6283020103172</c:v>
                </c:pt>
                <c:pt idx="9">
                  <c:v>53.6573096812952</c:v>
                </c:pt>
                <c:pt idx="10">
                  <c:v>53.67065709079993</c:v>
                </c:pt>
                <c:pt idx="11">
                  <c:v>53.666299244155766</c:v>
                </c:pt>
                <c:pt idx="12">
                  <c:v>53.641814434024894</c:v>
                </c:pt>
                <c:pt idx="13">
                  <c:v>53.59431482370585</c:v>
                </c:pt>
                <c:pt idx="14">
                  <c:v>53.52033029591689</c:v>
                </c:pt>
                <c:pt idx="15">
                  <c:v>53.415655754848</c:v>
                </c:pt>
                <c:pt idx="16">
                  <c:v>53.275147725762274</c:v>
                </c:pt>
                <c:pt idx="17">
                  <c:v>53.092449463179506</c:v>
                </c:pt>
                <c:pt idx="18">
                  <c:v>52.859613431057305</c:v>
                </c:pt>
                <c:pt idx="19">
                  <c:v>52.56657349204867</c:v>
                </c:pt>
                <c:pt idx="20">
                  <c:v>52.200392047236406</c:v>
                </c:pt>
              </c:numCache>
            </c:numRef>
          </c:val>
          <c:smooth val="0"/>
        </c:ser>
        <c:marker val="1"/>
        <c:axId val="22450409"/>
        <c:axId val="727090"/>
      </c:lineChart>
      <c:catAx>
        <c:axId val="224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1" u="none" baseline="0"/>
                  <a:t>P</a:t>
                </a:r>
                <a:r>
                  <a:rPr lang="en-US" cap="none" sz="1025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450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6325"/>
          <c:w val="0.8695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'切土部擁壁'!$CK$5:$CK$32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0.7000000000000002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'切土部擁壁'!$CL$5:$CL$32</c:f>
              <c:numCache>
                <c:ptCount val="28"/>
                <c:pt idx="7">
                  <c:v>0</c:v>
                </c:pt>
                <c:pt idx="8">
                  <c:v>0</c:v>
                </c:pt>
                <c:pt idx="9">
                  <c:v>9.083333333333334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'切土部擁壁'!$CM$5:$CM$32</c:f>
              <c:numCache>
                <c:ptCount val="28"/>
                <c:pt idx="10">
                  <c:v>5</c:v>
                </c:pt>
                <c:pt idx="11">
                  <c:v>7.083333333333334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'切土部擁壁'!$CN$5:$CN$32</c:f>
              <c:numCache>
                <c:ptCount val="28"/>
                <c:pt idx="12">
                  <c:v>0</c:v>
                </c:pt>
                <c:pt idx="13">
                  <c:v>3.007382346514042</c:v>
                </c:pt>
                <c:pt idx="14">
                  <c:v>5.724683004393571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'切土部擁壁'!$CO$5:$CO$32</c:f>
              <c:numCache>
                <c:ptCount val="28"/>
                <c:pt idx="15">
                  <c:v>3.007382346514042</c:v>
                </c:pt>
                <c:pt idx="16">
                  <c:v>7.083333333333334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'切土部擁壁'!$CP$4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'切土部擁壁'!$CP$5:$CP$32</c:f>
              <c:numCache>
                <c:ptCount val="28"/>
                <c:pt idx="17">
                  <c:v>2.0239336874295826</c:v>
                </c:pt>
                <c:pt idx="18">
                  <c:v>0.8331086874295826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'切土部擁壁'!$CQ$4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'切土部擁壁'!$CQ$5:$CQ$32</c:f>
              <c:numCache>
                <c:ptCount val="28"/>
                <c:pt idx="19">
                  <c:v>1.6666666666666667</c:v>
                </c:pt>
                <c:pt idx="20">
                  <c:v>1.7286713861246705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'切土部擁壁'!$CR$4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'切土部擁壁'!$CR$5:$CR$32</c:f>
              <c:numCache>
                <c:ptCount val="28"/>
                <c:pt idx="21">
                  <c:v>0</c:v>
                </c:pt>
                <c:pt idx="22">
                  <c:v>1.252829719458004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'切土部擁壁'!$CS$4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'切土部擁壁'!$CS$5:$CS$32</c:f>
              <c:numCache>
                <c:ptCount val="28"/>
                <c:pt idx="23">
                  <c:v>0</c:v>
                </c:pt>
                <c:pt idx="24">
                  <c:v>-0.5843869311021771</c:v>
                </c:pt>
                <c:pt idx="25">
                  <c:v>-2.452776025159651</c:v>
                </c:pt>
                <c:pt idx="26">
                  <c:v>0</c:v>
                </c:pt>
              </c:numCache>
            </c:numRef>
          </c:yVal>
          <c:smooth val="0"/>
        </c:ser>
        <c:axId val="6543811"/>
        <c:axId val="58894300"/>
      </c:scatterChart>
      <c:valAx>
        <c:axId val="6543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894300"/>
        <c:crosses val="autoZero"/>
        <c:crossBetween val="midCat"/>
        <c:dispUnits/>
      </c:valAx>
      <c:valAx>
        <c:axId val="58894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438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775"/>
          <c:w val="0.90525"/>
          <c:h val="0.83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'切土部擁壁'!$C$189:$C$209</c:f>
              <c:numCache/>
            </c:numRef>
          </c:cat>
          <c:val>
            <c:numRef>
              <c:f>'切土部擁壁'!$G$189:$G$209</c:f>
              <c:numCache/>
            </c:numRef>
          </c:val>
          <c:smooth val="0"/>
        </c:ser>
        <c:marker val="1"/>
        <c:axId val="60286653"/>
        <c:axId val="5708966"/>
      </c:lineChart>
      <c:cat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P</a:t>
                </a:r>
                <a:r>
                  <a:rPr lang="en-US" cap="none" sz="800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286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55"/>
          <c:w val="0.9287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'切土部擁壁'!$F$117</c:f>
              <c:strCache>
                <c:ptCount val="1"/>
                <c:pt idx="0">
                  <c:v>Xcosδ１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'切土部擁壁'!$B$118:$B$128</c:f>
              <c:numCache/>
            </c:numRef>
          </c:cat>
          <c:val>
            <c:numRef>
              <c:f>'切土部擁壁'!$F$118:$F$128</c:f>
              <c:numCache/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ω</a:t>
                </a:r>
                <a:r>
                  <a:rPr lang="en-US" cap="none" sz="850" b="0" i="0" u="none" baseline="-25000">
                    <a:latin typeface="ＭＳ 明朝"/>
                    <a:ea typeface="ＭＳ 明朝"/>
                    <a:cs typeface="ＭＳ 明朝"/>
                  </a:rPr>
                  <a:t>1</a:t>
                </a: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Xcosδ</a:t>
                </a:r>
                <a:r>
                  <a:rPr lang="en-US" cap="none" sz="850" b="0" i="0" u="none" baseline="-25000">
                    <a:latin typeface="ＭＳ 明朝"/>
                    <a:ea typeface="ＭＳ 明朝"/>
                    <a:cs typeface="ＭＳ 明朝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138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力の多角形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13875"/>
          <c:w val="0.50575"/>
          <c:h val="0.6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'切土部擁壁'!$BR$29</c:f>
              <c:strCache>
                <c:ptCount val="1"/>
                <c:pt idx="0">
                  <c:v>楔１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'切土部擁壁'!$BQ$30:$BQ$37</c:f>
              <c:numCache/>
            </c:numRef>
          </c:xVal>
          <c:yVal>
            <c:numRef>
              <c:f>'切土部擁壁'!$BR$30:$BR$37</c:f>
              <c:numCache/>
            </c:numRef>
          </c:yVal>
          <c:smooth val="0"/>
        </c:ser>
        <c:ser>
          <c:idx val="1"/>
          <c:order val="1"/>
          <c:tx>
            <c:strRef>
              <c:f>'切土部擁壁'!$BS$29</c:f>
              <c:strCache>
                <c:ptCount val="1"/>
                <c:pt idx="0">
                  <c:v>楔2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'切土部擁壁'!$BQ$30:$BQ$37</c:f>
              <c:numCache/>
            </c:numRef>
          </c:xVal>
          <c:yVal>
            <c:numRef>
              <c:f>'切土部擁壁'!$BS$30:$BS$37</c:f>
              <c:numCache/>
            </c:numRef>
          </c:yVal>
          <c:smooth val="0"/>
        </c:ser>
        <c:axId val="1086737"/>
        <c:axId val="9780634"/>
      </c:scatterChart>
      <c:valAx>
        <c:axId val="1086737"/>
        <c:scaling>
          <c:orientation val="minMax"/>
        </c:scaling>
        <c:axPos val="b"/>
        <c:delete val="1"/>
        <c:majorTickMark val="in"/>
        <c:minorTickMark val="none"/>
        <c:tickLblPos val="nextTo"/>
        <c:crossAx val="9780634"/>
        <c:crosses val="autoZero"/>
        <c:crossBetween val="midCat"/>
        <c:dispUnits/>
      </c:valAx>
      <c:valAx>
        <c:axId val="9780634"/>
        <c:scaling>
          <c:orientation val="minMax"/>
        </c:scaling>
        <c:axPos val="l"/>
        <c:delete val="1"/>
        <c:majorTickMark val="in"/>
        <c:minorTickMark val="none"/>
        <c:tickLblPos val="nextTo"/>
        <c:crossAx val="10867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主働すべり面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10025"/>
          <c:w val="0.86775"/>
          <c:h val="0.786"/>
        </c:manualLayout>
      </c:layout>
      <c:scatterChart>
        <c:scatterStyle val="line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'切土部擁壁'!$CK$5:$CK$21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'切土部擁壁'!$CJ$5:$CJ$21</c:f>
              <c:numCache/>
            </c:numRef>
          </c:xVal>
          <c:yVal>
            <c:numRef>
              <c:f>'切土部擁壁'!$CL$5:$CL$21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'切土部擁壁'!$CM$5:$CM$21</c:f>
              <c:numCache/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'切土部擁壁'!$CN$5:$CN$21</c:f>
              <c:numCache/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'切土部擁壁'!$CO$5:$CO$21</c:f>
              <c:numCache/>
            </c:numRef>
          </c:yVal>
          <c:smooth val="0"/>
        </c:ser>
        <c:axId val="20916843"/>
        <c:axId val="54033860"/>
      </c:scatterChart>
      <c:valAx>
        <c:axId val="20916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033860"/>
        <c:crosses val="autoZero"/>
        <c:crossBetween val="midCat"/>
        <c:dispUnits/>
      </c:valAx>
      <c:valAx>
        <c:axId val="54033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9168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明朝"/>
                <a:ea typeface="ＭＳ 明朝"/>
                <a:cs typeface="ＭＳ 明朝"/>
              </a:rPr>
              <a:t>荷重および地盤反力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25"/>
          <c:w val="0.90825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'切土部擁壁'!$CK$5:$CK$32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/>
            </c:numRef>
          </c:xVal>
          <c:yVal>
            <c:numRef>
              <c:f>'切土部擁壁'!$CL$5:$CL$32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'切土部擁壁'!$CM$5:$CM$32</c:f>
              <c:numCache/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'切土部擁壁'!$CN$5:$CN$32</c:f>
              <c:numCache/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'切土部擁壁'!$CO$5:$CO$32</c:f>
              <c:numCache/>
            </c:numRef>
          </c:yVal>
          <c:smooth val="0"/>
        </c:ser>
        <c:ser>
          <c:idx val="5"/>
          <c:order val="5"/>
          <c:tx>
            <c:strRef>
              <c:f>'切土部擁壁'!$CP$4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'切土部擁壁'!$CP$5:$CP$32</c:f>
              <c:numCache/>
            </c:numRef>
          </c:yVal>
          <c:smooth val="0"/>
        </c:ser>
        <c:ser>
          <c:idx val="6"/>
          <c:order val="6"/>
          <c:tx>
            <c:strRef>
              <c:f>'切土部擁壁'!$CQ$4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'切土部擁壁'!$CQ$5:$CQ$32</c:f>
              <c:numCache/>
            </c:numRef>
          </c:yVal>
          <c:smooth val="0"/>
        </c:ser>
        <c:ser>
          <c:idx val="7"/>
          <c:order val="7"/>
          <c:tx>
            <c:strRef>
              <c:f>'切土部擁壁'!$CR$4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'切土部擁壁'!$CR$5:$CR$32</c:f>
              <c:numCache/>
            </c:numRef>
          </c:yVal>
          <c:smooth val="0"/>
        </c:ser>
        <c:ser>
          <c:idx val="8"/>
          <c:order val="8"/>
          <c:tx>
            <c:strRef>
              <c:f>'切土部擁壁'!$CS$4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'切土部擁壁'!$CS$5:$CS$32</c:f>
              <c:numCache/>
            </c:numRef>
          </c:yVal>
          <c:smooth val="0"/>
        </c:ser>
        <c:axId val="16542693"/>
        <c:axId val="14666510"/>
      </c:scatterChart>
      <c:valAx>
        <c:axId val="1654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66510"/>
        <c:crosses val="autoZero"/>
        <c:crossBetween val="midCat"/>
        <c:dispUnits/>
      </c:valAx>
      <c:valAx>
        <c:axId val="14666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426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39"/>
          <c:w val="0.746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'切土部擁壁'!$CK$5:$CK$32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/>
            </c:numRef>
          </c:xVal>
          <c:yVal>
            <c:numRef>
              <c:f>'切土部擁壁'!$CL$5:$CL$32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'切土部擁壁'!$CM$5:$CM$32</c:f>
              <c:numCache/>
            </c:numRef>
          </c:yVal>
          <c:smooth val="0"/>
        </c:ser>
        <c:axId val="64889727"/>
        <c:axId val="47136632"/>
      </c:scatterChart>
      <c:valAx>
        <c:axId val="64889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136632"/>
        <c:crosses val="autoZero"/>
        <c:crossBetween val="midCat"/>
        <c:dispUnits/>
      </c:valAx>
      <c:valAx>
        <c:axId val="47136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89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chart" Target="/xl/charts/chart4.xml" /><Relationship Id="rId16" Type="http://schemas.openxmlformats.org/officeDocument/2006/relationships/image" Target="../media/image16.emf" /><Relationship Id="rId17" Type="http://schemas.openxmlformats.org/officeDocument/2006/relationships/image" Target="../media/image18.emf" /><Relationship Id="rId18" Type="http://schemas.openxmlformats.org/officeDocument/2006/relationships/image" Target="../media/image22.emf" /><Relationship Id="rId19" Type="http://schemas.openxmlformats.org/officeDocument/2006/relationships/chart" Target="/xl/charts/chart5.xml" /><Relationship Id="rId20" Type="http://schemas.openxmlformats.org/officeDocument/2006/relationships/chart" Target="/xl/charts/chart6.xml" /><Relationship Id="rId21" Type="http://schemas.openxmlformats.org/officeDocument/2006/relationships/image" Target="../media/image24.emf" /><Relationship Id="rId22" Type="http://schemas.openxmlformats.org/officeDocument/2006/relationships/chart" Target="/xl/charts/chart7.xml" /><Relationship Id="rId23" Type="http://schemas.openxmlformats.org/officeDocument/2006/relationships/image" Target="../media/image14.emf" /><Relationship Id="rId24" Type="http://schemas.openxmlformats.org/officeDocument/2006/relationships/chart" Target="/xl/charts/chart8.xml" /><Relationship Id="rId25" Type="http://schemas.openxmlformats.org/officeDocument/2006/relationships/image" Target="../media/image15.emf" /><Relationship Id="rId26" Type="http://schemas.openxmlformats.org/officeDocument/2006/relationships/image" Target="../media/image3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28.emf" /><Relationship Id="rId6" Type="http://schemas.openxmlformats.org/officeDocument/2006/relationships/image" Target="../media/image26.emf" /><Relationship Id="rId7" Type="http://schemas.openxmlformats.org/officeDocument/2006/relationships/image" Target="../media/image21.emf" /><Relationship Id="rId8" Type="http://schemas.openxmlformats.org/officeDocument/2006/relationships/image" Target="../media/image25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3.emf" /><Relationship Id="rId12" Type="http://schemas.openxmlformats.org/officeDocument/2006/relationships/image" Target="../media/image27.emf" /><Relationship Id="rId1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15</xdr:row>
      <xdr:rowOff>47625</xdr:rowOff>
    </xdr:from>
    <xdr:to>
      <xdr:col>13</xdr:col>
      <xdr:colOff>771525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658100" y="3038475"/>
        <a:ext cx="42576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13</xdr:col>
      <xdr:colOff>495300</xdr:colOff>
      <xdr:row>13</xdr:row>
      <xdr:rowOff>114300</xdr:rowOff>
    </xdr:to>
    <xdr:graphicFrame>
      <xdr:nvGraphicFramePr>
        <xdr:cNvPr id="2" name="Chart 6"/>
        <xdr:cNvGraphicFramePr/>
      </xdr:nvGraphicFramePr>
      <xdr:xfrm>
        <a:off x="8686800" y="0"/>
        <a:ext cx="2952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371475</xdr:colOff>
      <xdr:row>0</xdr:row>
      <xdr:rowOff>104775</xdr:rowOff>
    </xdr:from>
    <xdr:to>
      <xdr:col>9</xdr:col>
      <xdr:colOff>571500</xdr:colOff>
      <xdr:row>14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104775"/>
          <a:ext cx="44862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95250</xdr:rowOff>
    </xdr:from>
    <xdr:to>
      <xdr:col>2</xdr:col>
      <xdr:colOff>790575</xdr:colOff>
      <xdr:row>20</xdr:row>
      <xdr:rowOff>171450</xdr:rowOff>
    </xdr:to>
    <xdr:sp>
      <xdr:nvSpPr>
        <xdr:cNvPr id="1" name="Polygon 559"/>
        <xdr:cNvSpPr>
          <a:spLocks/>
        </xdr:cNvSpPr>
      </xdr:nvSpPr>
      <xdr:spPr>
        <a:xfrm>
          <a:off x="1133475" y="3295650"/>
          <a:ext cx="1371600" cy="1447800"/>
        </a:xfrm>
        <a:custGeom>
          <a:pathLst>
            <a:path h="152" w="115">
              <a:moveTo>
                <a:pt x="115" y="1"/>
              </a:moveTo>
              <a:lnTo>
                <a:pt x="57" y="152"/>
              </a:lnTo>
              <a:lnTo>
                <a:pt x="0" y="152"/>
              </a:lnTo>
              <a:lnTo>
                <a:pt x="0" y="136"/>
              </a:lnTo>
              <a:lnTo>
                <a:pt x="29" y="127"/>
              </a:lnTo>
              <a:lnTo>
                <a:pt x="101" y="0"/>
              </a:lnTo>
              <a:lnTo>
                <a:pt x="115" y="1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200025</xdr:rowOff>
    </xdr:from>
    <xdr:to>
      <xdr:col>5</xdr:col>
      <xdr:colOff>228600</xdr:colOff>
      <xdr:row>20</xdr:row>
      <xdr:rowOff>171450</xdr:rowOff>
    </xdr:to>
    <xdr:sp>
      <xdr:nvSpPr>
        <xdr:cNvPr id="2" name="Polygon 560"/>
        <xdr:cNvSpPr>
          <a:spLocks/>
        </xdr:cNvSpPr>
      </xdr:nvSpPr>
      <xdr:spPr>
        <a:xfrm>
          <a:off x="1809750" y="2486025"/>
          <a:ext cx="2705100" cy="2257425"/>
        </a:xfrm>
        <a:custGeom>
          <a:pathLst>
            <a:path h="237" w="227">
              <a:moveTo>
                <a:pt x="0" y="237"/>
              </a:moveTo>
              <a:lnTo>
                <a:pt x="74" y="237"/>
              </a:lnTo>
              <a:lnTo>
                <a:pt x="22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495300</xdr:colOff>
      <xdr:row>14</xdr:row>
      <xdr:rowOff>104775</xdr:rowOff>
    </xdr:from>
    <xdr:to>
      <xdr:col>0</xdr:col>
      <xdr:colOff>495300</xdr:colOff>
      <xdr:row>20</xdr:row>
      <xdr:rowOff>171450</xdr:rowOff>
    </xdr:to>
    <xdr:sp>
      <xdr:nvSpPr>
        <xdr:cNvPr id="3" name="Line 564"/>
        <xdr:cNvSpPr>
          <a:spLocks/>
        </xdr:cNvSpPr>
      </xdr:nvSpPr>
      <xdr:spPr>
        <a:xfrm>
          <a:off x="495300" y="33051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14</xdr:row>
      <xdr:rowOff>114300</xdr:rowOff>
    </xdr:from>
    <xdr:to>
      <xdr:col>0</xdr:col>
      <xdr:colOff>800100</xdr:colOff>
      <xdr:row>19</xdr:row>
      <xdr:rowOff>161925</xdr:rowOff>
    </xdr:to>
    <xdr:sp>
      <xdr:nvSpPr>
        <xdr:cNvPr id="4" name="Line 566"/>
        <xdr:cNvSpPr>
          <a:spLocks/>
        </xdr:cNvSpPr>
      </xdr:nvSpPr>
      <xdr:spPr>
        <a:xfrm flipV="1">
          <a:off x="800100" y="33147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714375</xdr:colOff>
      <xdr:row>209</xdr:row>
      <xdr:rowOff>95250</xdr:rowOff>
    </xdr:from>
    <xdr:to>
      <xdr:col>8</xdr:col>
      <xdr:colOff>628650</xdr:colOff>
      <xdr:row>220</xdr:row>
      <xdr:rowOff>161925</xdr:rowOff>
    </xdr:to>
    <xdr:graphicFrame>
      <xdr:nvGraphicFramePr>
        <xdr:cNvPr id="5" name="Chart 12"/>
        <xdr:cNvGraphicFramePr/>
      </xdr:nvGraphicFramePr>
      <xdr:xfrm>
        <a:off x="4143375" y="47872650"/>
        <a:ext cx="33528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514350</xdr:colOff>
      <xdr:row>140</xdr:row>
      <xdr:rowOff>57150</xdr:rowOff>
    </xdr:from>
    <xdr:to>
      <xdr:col>7</xdr:col>
      <xdr:colOff>57150</xdr:colOff>
      <xdr:row>153</xdr:row>
      <xdr:rowOff>161925</xdr:rowOff>
    </xdr:to>
    <xdr:pic>
      <xdr:nvPicPr>
        <xdr:cNvPr id="6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2061150"/>
          <a:ext cx="55530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28575</xdr:rowOff>
    </xdr:from>
    <xdr:to>
      <xdr:col>5</xdr:col>
      <xdr:colOff>342900</xdr:colOff>
      <xdr:row>156</xdr:row>
      <xdr:rowOff>38100</xdr:rowOff>
    </xdr:to>
    <xdr:pic>
      <xdr:nvPicPr>
        <xdr:cNvPr id="7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35232975"/>
          <a:ext cx="3733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157</xdr:row>
      <xdr:rowOff>95250</xdr:rowOff>
    </xdr:from>
    <xdr:to>
      <xdr:col>2</xdr:col>
      <xdr:colOff>819150</xdr:colOff>
      <xdr:row>159</xdr:row>
      <xdr:rowOff>57150</xdr:rowOff>
    </xdr:to>
    <xdr:pic>
      <xdr:nvPicPr>
        <xdr:cNvPr id="8" name="Picture 1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5985450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142875</xdr:rowOff>
    </xdr:from>
    <xdr:to>
      <xdr:col>3</xdr:col>
      <xdr:colOff>495300</xdr:colOff>
      <xdr:row>161</xdr:row>
      <xdr:rowOff>133350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36490275"/>
          <a:ext cx="2209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76200</xdr:rowOff>
    </xdr:from>
    <xdr:to>
      <xdr:col>2</xdr:col>
      <xdr:colOff>314325</xdr:colOff>
      <xdr:row>163</xdr:row>
      <xdr:rowOff>85725</xdr:rowOff>
    </xdr:to>
    <xdr:pic>
      <xdr:nvPicPr>
        <xdr:cNvPr id="10" name="Picture 1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371094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162</xdr:row>
      <xdr:rowOff>76200</xdr:rowOff>
    </xdr:from>
    <xdr:to>
      <xdr:col>4</xdr:col>
      <xdr:colOff>838200</xdr:colOff>
      <xdr:row>163</xdr:row>
      <xdr:rowOff>85725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90800" y="37109400"/>
          <a:ext cx="1676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9525</xdr:rowOff>
    </xdr:from>
    <xdr:to>
      <xdr:col>2</xdr:col>
      <xdr:colOff>323850</xdr:colOff>
      <xdr:row>165</xdr:row>
      <xdr:rowOff>200025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3749992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164</xdr:row>
      <xdr:rowOff>9525</xdr:rowOff>
    </xdr:from>
    <xdr:to>
      <xdr:col>4</xdr:col>
      <xdr:colOff>371475</xdr:colOff>
      <xdr:row>165</xdr:row>
      <xdr:rowOff>200025</xdr:rowOff>
    </xdr:to>
    <xdr:pic>
      <xdr:nvPicPr>
        <xdr:cNvPr id="13" name="Picture 1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19375" y="3749992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66675</xdr:rowOff>
    </xdr:from>
    <xdr:to>
      <xdr:col>4</xdr:col>
      <xdr:colOff>38100</xdr:colOff>
      <xdr:row>168</xdr:row>
      <xdr:rowOff>76200</xdr:rowOff>
    </xdr:to>
    <xdr:pic>
      <xdr:nvPicPr>
        <xdr:cNvPr id="14" name="Picture 1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38014275"/>
          <a:ext cx="2609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180975</xdr:rowOff>
    </xdr:from>
    <xdr:to>
      <xdr:col>5</xdr:col>
      <xdr:colOff>361950</xdr:colOff>
      <xdr:row>170</xdr:row>
      <xdr:rowOff>95250</xdr:rowOff>
    </xdr:to>
    <xdr:pic>
      <xdr:nvPicPr>
        <xdr:cNvPr id="15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" y="38585775"/>
          <a:ext cx="3790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142875</xdr:rowOff>
    </xdr:from>
    <xdr:to>
      <xdr:col>4</xdr:col>
      <xdr:colOff>704850</xdr:colOff>
      <xdr:row>172</xdr:row>
      <xdr:rowOff>152400</xdr:rowOff>
    </xdr:to>
    <xdr:pic>
      <xdr:nvPicPr>
        <xdr:cNvPr id="16" name="Picture 1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39004875"/>
          <a:ext cx="327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190500</xdr:rowOff>
    </xdr:from>
    <xdr:to>
      <xdr:col>4</xdr:col>
      <xdr:colOff>695325</xdr:colOff>
      <xdr:row>174</xdr:row>
      <xdr:rowOff>142875</xdr:rowOff>
    </xdr:to>
    <xdr:pic>
      <xdr:nvPicPr>
        <xdr:cNvPr id="17" name="Picture 1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0" y="39509700"/>
          <a:ext cx="3267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90</xdr:row>
      <xdr:rowOff>38100</xdr:rowOff>
    </xdr:from>
    <xdr:to>
      <xdr:col>7</xdr:col>
      <xdr:colOff>581025</xdr:colOff>
      <xdr:row>114</xdr:row>
      <xdr:rowOff>47625</xdr:rowOff>
    </xdr:to>
    <xdr:pic>
      <xdr:nvPicPr>
        <xdr:cNvPr id="18" name="Picture 1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8150" y="20612100"/>
          <a:ext cx="615315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128</xdr:row>
      <xdr:rowOff>152400</xdr:rowOff>
    </xdr:from>
    <xdr:to>
      <xdr:col>5</xdr:col>
      <xdr:colOff>523875</xdr:colOff>
      <xdr:row>138</xdr:row>
      <xdr:rowOff>180975</xdr:rowOff>
    </xdr:to>
    <xdr:graphicFrame>
      <xdr:nvGraphicFramePr>
        <xdr:cNvPr id="19" name="Chart 190"/>
        <xdr:cNvGraphicFramePr/>
      </xdr:nvGraphicFramePr>
      <xdr:xfrm>
        <a:off x="647700" y="29413200"/>
        <a:ext cx="4162425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4</xdr:col>
      <xdr:colOff>95250</xdr:colOff>
      <xdr:row>242</xdr:row>
      <xdr:rowOff>123825</xdr:rowOff>
    </xdr:from>
    <xdr:to>
      <xdr:col>5</xdr:col>
      <xdr:colOff>771525</xdr:colOff>
      <xdr:row>244</xdr:row>
      <xdr:rowOff>142875</xdr:rowOff>
    </xdr:to>
    <xdr:pic>
      <xdr:nvPicPr>
        <xdr:cNvPr id="20" name="Picture 50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0" y="554450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245</xdr:row>
      <xdr:rowOff>104775</xdr:rowOff>
    </xdr:from>
    <xdr:to>
      <xdr:col>5</xdr:col>
      <xdr:colOff>542925</xdr:colOff>
      <xdr:row>247</xdr:row>
      <xdr:rowOff>123825</xdr:rowOff>
    </xdr:to>
    <xdr:pic>
      <xdr:nvPicPr>
        <xdr:cNvPr id="21" name="Picture 5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62375" y="5611177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152400</xdr:rowOff>
    </xdr:from>
    <xdr:to>
      <xdr:col>2</xdr:col>
      <xdr:colOff>809625</xdr:colOff>
      <xdr:row>292</xdr:row>
      <xdr:rowOff>104775</xdr:rowOff>
    </xdr:to>
    <xdr:pic>
      <xdr:nvPicPr>
        <xdr:cNvPr id="22" name="Picture 5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0" y="6644640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220</xdr:row>
      <xdr:rowOff>152400</xdr:rowOff>
    </xdr:from>
    <xdr:to>
      <xdr:col>7</xdr:col>
      <xdr:colOff>619125</xdr:colOff>
      <xdr:row>226</xdr:row>
      <xdr:rowOff>38100</xdr:rowOff>
    </xdr:to>
    <xdr:graphicFrame>
      <xdr:nvGraphicFramePr>
        <xdr:cNvPr id="23" name="Chart 517"/>
        <xdr:cNvGraphicFramePr/>
      </xdr:nvGraphicFramePr>
      <xdr:xfrm>
        <a:off x="5305425" y="50444400"/>
        <a:ext cx="1323975" cy="1257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211</xdr:row>
      <xdr:rowOff>19050</xdr:rowOff>
    </xdr:from>
    <xdr:to>
      <xdr:col>4</xdr:col>
      <xdr:colOff>276225</xdr:colOff>
      <xdr:row>223</xdr:row>
      <xdr:rowOff>171450</xdr:rowOff>
    </xdr:to>
    <xdr:graphicFrame>
      <xdr:nvGraphicFramePr>
        <xdr:cNvPr id="24" name="Chart 518"/>
        <xdr:cNvGraphicFramePr/>
      </xdr:nvGraphicFramePr>
      <xdr:xfrm>
        <a:off x="142875" y="48253650"/>
        <a:ext cx="3562350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438150</xdr:colOff>
      <xdr:row>46</xdr:row>
      <xdr:rowOff>142875</xdr:rowOff>
    </xdr:from>
    <xdr:to>
      <xdr:col>5</xdr:col>
      <xdr:colOff>790575</xdr:colOff>
      <xdr:row>56</xdr:row>
      <xdr:rowOff>38100</xdr:rowOff>
    </xdr:to>
    <xdr:pic>
      <xdr:nvPicPr>
        <xdr:cNvPr id="25" name="Picture 5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95400" y="10658475"/>
          <a:ext cx="37814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269</xdr:row>
      <xdr:rowOff>85725</xdr:rowOff>
    </xdr:from>
    <xdr:to>
      <xdr:col>6</xdr:col>
      <xdr:colOff>381000</xdr:colOff>
      <xdr:row>287</xdr:row>
      <xdr:rowOff>19050</xdr:rowOff>
    </xdr:to>
    <xdr:graphicFrame>
      <xdr:nvGraphicFramePr>
        <xdr:cNvPr id="26" name="Chart 531"/>
        <xdr:cNvGraphicFramePr/>
      </xdr:nvGraphicFramePr>
      <xdr:xfrm>
        <a:off x="1724025" y="61579125"/>
        <a:ext cx="3800475" cy="40481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4</xdr:col>
      <xdr:colOff>104775</xdr:colOff>
      <xdr:row>53</xdr:row>
      <xdr:rowOff>9525</xdr:rowOff>
    </xdr:from>
    <xdr:to>
      <xdr:col>7</xdr:col>
      <xdr:colOff>542925</xdr:colOff>
      <xdr:row>63</xdr:row>
      <xdr:rowOff>104775</xdr:rowOff>
    </xdr:to>
    <xdr:pic>
      <xdr:nvPicPr>
        <xdr:cNvPr id="27" name="Picture 5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33775" y="12125325"/>
          <a:ext cx="30194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9</xdr:row>
      <xdr:rowOff>123825</xdr:rowOff>
    </xdr:from>
    <xdr:to>
      <xdr:col>8</xdr:col>
      <xdr:colOff>838200</xdr:colOff>
      <xdr:row>23</xdr:row>
      <xdr:rowOff>95250</xdr:rowOff>
    </xdr:to>
    <xdr:graphicFrame>
      <xdr:nvGraphicFramePr>
        <xdr:cNvPr id="28" name="Chart 537"/>
        <xdr:cNvGraphicFramePr/>
      </xdr:nvGraphicFramePr>
      <xdr:xfrm>
        <a:off x="4276725" y="2181225"/>
        <a:ext cx="3429000" cy="3171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1</xdr:col>
      <xdr:colOff>447675</xdr:colOff>
      <xdr:row>250</xdr:row>
      <xdr:rowOff>200025</xdr:rowOff>
    </xdr:from>
    <xdr:to>
      <xdr:col>7</xdr:col>
      <xdr:colOff>514350</xdr:colOff>
      <xdr:row>264</xdr:row>
      <xdr:rowOff>152400</xdr:rowOff>
    </xdr:to>
    <xdr:pic>
      <xdr:nvPicPr>
        <xdr:cNvPr id="29" name="Picture 54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04925" y="57350025"/>
          <a:ext cx="5219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133350</xdr:rowOff>
    </xdr:from>
    <xdr:to>
      <xdr:col>1</xdr:col>
      <xdr:colOff>19050</xdr:colOff>
      <xdr:row>18</xdr:row>
      <xdr:rowOff>123825</xdr:rowOff>
    </xdr:to>
    <xdr:sp textlink="$R$4">
      <xdr:nvSpPr>
        <xdr:cNvPr id="30" name="TextBox 545"/>
        <xdr:cNvSpPr txBox="1">
          <a:spLocks noChangeArrowheads="1"/>
        </xdr:cNvSpPr>
      </xdr:nvSpPr>
      <xdr:spPr>
        <a:xfrm>
          <a:off x="0" y="4019550"/>
          <a:ext cx="876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1bfd928a-13c0-45b8-8eb9-89e55daa4d23}" type="TxLink">
            <a:rPr lang="en-US" cap="none" sz="1100" b="0" i="0" u="none" baseline="0"/>
            <a:t>H=5m</a:t>
          </a:fld>
        </a:p>
      </xdr:txBody>
    </xdr:sp>
    <xdr:clientData/>
  </xdr:twoCellAnchor>
  <xdr:twoCellAnchor>
    <xdr:from>
      <xdr:col>0</xdr:col>
      <xdr:colOff>514350</xdr:colOff>
      <xdr:row>16</xdr:row>
      <xdr:rowOff>38100</xdr:rowOff>
    </xdr:from>
    <xdr:to>
      <xdr:col>1</xdr:col>
      <xdr:colOff>523875</xdr:colOff>
      <xdr:row>17</xdr:row>
      <xdr:rowOff>28575</xdr:rowOff>
    </xdr:to>
    <xdr:sp textlink="$R$5">
      <xdr:nvSpPr>
        <xdr:cNvPr id="31" name="TextBox 546"/>
        <xdr:cNvSpPr txBox="1">
          <a:spLocks noChangeArrowheads="1"/>
        </xdr:cNvSpPr>
      </xdr:nvSpPr>
      <xdr:spPr>
        <a:xfrm>
          <a:off x="514350" y="3695700"/>
          <a:ext cx="86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aa849c69-30e2-4938-9b04-3831c1491207}" type="TxLink">
            <a:rPr lang="en-US" cap="none" sz="1100" b="0" i="0" u="none" baseline="0"/>
            <a:t>Hw=4.3m</a:t>
          </a:fld>
        </a:p>
      </xdr:txBody>
    </xdr:sp>
    <xdr:clientData/>
  </xdr:twoCellAnchor>
  <xdr:twoCellAnchor>
    <xdr:from>
      <xdr:col>0</xdr:col>
      <xdr:colOff>276225</xdr:colOff>
      <xdr:row>20</xdr:row>
      <xdr:rowOff>180975</xdr:rowOff>
    </xdr:from>
    <xdr:to>
      <xdr:col>1</xdr:col>
      <xdr:colOff>323850</xdr:colOff>
      <xdr:row>21</xdr:row>
      <xdr:rowOff>171450</xdr:rowOff>
    </xdr:to>
    <xdr:sp textlink="$R$6">
      <xdr:nvSpPr>
        <xdr:cNvPr id="32" name="TextBox 547"/>
        <xdr:cNvSpPr txBox="1">
          <a:spLocks noChangeArrowheads="1"/>
        </xdr:cNvSpPr>
      </xdr:nvSpPr>
      <xdr:spPr>
        <a:xfrm>
          <a:off x="276225" y="4752975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170146-14e7-4c02-b38e-3f8882ce02aa}" type="TxLink">
            <a:rPr lang="en-US" cap="none" sz="1100" b="0" i="0" u="none" baseline="0"/>
            <a:t>Hf=0.5m</a:t>
          </a:fld>
        </a:p>
      </xdr:txBody>
    </xdr:sp>
    <xdr:clientData/>
  </xdr:twoCellAnchor>
  <xdr:twoCellAnchor>
    <xdr:from>
      <xdr:col>1</xdr:col>
      <xdr:colOff>238125</xdr:colOff>
      <xdr:row>20</xdr:row>
      <xdr:rowOff>219075</xdr:rowOff>
    </xdr:from>
    <xdr:to>
      <xdr:col>2</xdr:col>
      <xdr:colOff>342900</xdr:colOff>
      <xdr:row>21</xdr:row>
      <xdr:rowOff>209550</xdr:rowOff>
    </xdr:to>
    <xdr:sp textlink="$R$9">
      <xdr:nvSpPr>
        <xdr:cNvPr id="33" name="TextBox 548"/>
        <xdr:cNvSpPr txBox="1">
          <a:spLocks noChangeArrowheads="1"/>
        </xdr:cNvSpPr>
      </xdr:nvSpPr>
      <xdr:spPr>
        <a:xfrm>
          <a:off x="1095375" y="4791075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42d67a-268f-4efe-a002-f060f783cb28}" type="TxLink">
            <a:rPr lang="en-US" cap="none" sz="1100" b="0" i="0" u="none" baseline="0"/>
            <a:t>B=1.65</a:t>
          </a:fld>
        </a:p>
      </xdr:txBody>
    </xdr:sp>
    <xdr:clientData/>
  </xdr:twoCellAnchor>
  <xdr:twoCellAnchor>
    <xdr:from>
      <xdr:col>2</xdr:col>
      <xdr:colOff>219075</xdr:colOff>
      <xdr:row>21</xdr:row>
      <xdr:rowOff>0</xdr:rowOff>
    </xdr:from>
    <xdr:to>
      <xdr:col>3</xdr:col>
      <xdr:colOff>333375</xdr:colOff>
      <xdr:row>21</xdr:row>
      <xdr:rowOff>219075</xdr:rowOff>
    </xdr:to>
    <xdr:sp textlink="$S$9">
      <xdr:nvSpPr>
        <xdr:cNvPr id="34" name="TextBox 549"/>
        <xdr:cNvSpPr txBox="1">
          <a:spLocks noChangeArrowheads="1"/>
        </xdr:cNvSpPr>
      </xdr:nvSpPr>
      <xdr:spPr>
        <a:xfrm>
          <a:off x="1933575" y="4800600"/>
          <a:ext cx="971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868357-2195-4a0e-8052-0742ba2a42e1}" type="TxLink">
            <a:rPr lang="en-US" cap="none" sz="1100" b="0" i="0" u="none" baseline="0"/>
            <a:t>d=1m</a:t>
          </a:fld>
        </a:p>
      </xdr:txBody>
    </xdr:sp>
    <xdr:clientData/>
  </xdr:twoCellAnchor>
  <xdr:twoCellAnchor>
    <xdr:from>
      <xdr:col>4</xdr:col>
      <xdr:colOff>104775</xdr:colOff>
      <xdr:row>16</xdr:row>
      <xdr:rowOff>66675</xdr:rowOff>
    </xdr:from>
    <xdr:to>
      <xdr:col>4</xdr:col>
      <xdr:colOff>762000</xdr:colOff>
      <xdr:row>17</xdr:row>
      <xdr:rowOff>57150</xdr:rowOff>
    </xdr:to>
    <xdr:sp textlink="$S$6">
      <xdr:nvSpPr>
        <xdr:cNvPr id="35" name="TextBox 551"/>
        <xdr:cNvSpPr txBox="1">
          <a:spLocks noChangeArrowheads="1"/>
        </xdr:cNvSpPr>
      </xdr:nvSpPr>
      <xdr:spPr>
        <a:xfrm>
          <a:off x="3533775" y="372427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258e60-2796-439d-973f-7eb62a35ed34}" type="TxLink">
            <a:rPr lang="en-US" cap="none" sz="1100" b="0" i="0" u="none" baseline="0"/>
            <a:t>1: 0.6</a:t>
          </a:fld>
        </a:p>
      </xdr:txBody>
    </xdr:sp>
    <xdr:clientData/>
  </xdr:twoCellAnchor>
  <xdr:twoCellAnchor>
    <xdr:from>
      <xdr:col>3</xdr:col>
      <xdr:colOff>238125</xdr:colOff>
      <xdr:row>12</xdr:row>
      <xdr:rowOff>123825</xdr:rowOff>
    </xdr:from>
    <xdr:to>
      <xdr:col>4</xdr:col>
      <xdr:colOff>38100</xdr:colOff>
      <xdr:row>13</xdr:row>
      <xdr:rowOff>114300</xdr:rowOff>
    </xdr:to>
    <xdr:sp textlink="$S$7">
      <xdr:nvSpPr>
        <xdr:cNvPr id="36" name="TextBox 552"/>
        <xdr:cNvSpPr txBox="1">
          <a:spLocks noChangeArrowheads="1"/>
        </xdr:cNvSpPr>
      </xdr:nvSpPr>
      <xdr:spPr>
        <a:xfrm>
          <a:off x="2809875" y="28670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c91891-5cae-4c93-838f-8fb628552a35}" type="TxLink">
            <a:rPr lang="en-US" cap="none" sz="1100" b="0" i="0" u="none" baseline="0"/>
            <a:t>1: 1.8</a:t>
          </a:fld>
        </a:p>
      </xdr:txBody>
    </xdr:sp>
    <xdr:clientData/>
  </xdr:twoCellAnchor>
  <xdr:twoCellAnchor>
    <xdr:from>
      <xdr:col>2</xdr:col>
      <xdr:colOff>428625</xdr:colOff>
      <xdr:row>11</xdr:row>
      <xdr:rowOff>152400</xdr:rowOff>
    </xdr:from>
    <xdr:to>
      <xdr:col>3</xdr:col>
      <xdr:colOff>228600</xdr:colOff>
      <xdr:row>12</xdr:row>
      <xdr:rowOff>142875</xdr:rowOff>
    </xdr:to>
    <xdr:sp textlink="$R$7">
      <xdr:nvSpPr>
        <xdr:cNvPr id="37" name="TextBox 553"/>
        <xdr:cNvSpPr txBox="1">
          <a:spLocks noChangeArrowheads="1"/>
        </xdr:cNvSpPr>
      </xdr:nvSpPr>
      <xdr:spPr>
        <a:xfrm>
          <a:off x="2143125" y="26670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e5949c-cd60-4ac2-8318-8b80872c851b}" type="TxLink">
            <a:rPr lang="en-US" cap="none" sz="1100" b="0" i="0" u="none" baseline="0"/>
            <a:t>bu=0.5m</a:t>
          </a:fld>
        </a:p>
      </xdr:txBody>
    </xdr:sp>
    <xdr:clientData/>
  </xdr:twoCellAnchor>
  <xdr:twoCellAnchor>
    <xdr:from>
      <xdr:col>1</xdr:col>
      <xdr:colOff>238125</xdr:colOff>
      <xdr:row>17</xdr:row>
      <xdr:rowOff>85725</xdr:rowOff>
    </xdr:from>
    <xdr:to>
      <xdr:col>2</xdr:col>
      <xdr:colOff>38100</xdr:colOff>
      <xdr:row>18</xdr:row>
      <xdr:rowOff>76200</xdr:rowOff>
    </xdr:to>
    <xdr:sp textlink="$R$8">
      <xdr:nvSpPr>
        <xdr:cNvPr id="38" name="TextBox 554"/>
        <xdr:cNvSpPr txBox="1">
          <a:spLocks noChangeArrowheads="1"/>
        </xdr:cNvSpPr>
      </xdr:nvSpPr>
      <xdr:spPr>
        <a:xfrm>
          <a:off x="1095375" y="397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45cc3b-9105-447b-b4fb-0fc28a9d5637}" type="TxLink">
            <a:rPr lang="en-US" cap="none" sz="1100" b="0" i="0" u="none" baseline="0"/>
            <a:t>Bt=0.5m</a:t>
          </a:fld>
        </a:p>
      </xdr:txBody>
    </xdr:sp>
    <xdr:clientData/>
  </xdr:twoCellAnchor>
  <xdr:twoCellAnchor>
    <xdr:from>
      <xdr:col>1</xdr:col>
      <xdr:colOff>657225</xdr:colOff>
      <xdr:row>15</xdr:row>
      <xdr:rowOff>76200</xdr:rowOff>
    </xdr:from>
    <xdr:to>
      <xdr:col>2</xdr:col>
      <xdr:colOff>619125</xdr:colOff>
      <xdr:row>16</xdr:row>
      <xdr:rowOff>66675</xdr:rowOff>
    </xdr:to>
    <xdr:sp textlink="$S$4">
      <xdr:nvSpPr>
        <xdr:cNvPr id="39" name="TextBox 556"/>
        <xdr:cNvSpPr txBox="1">
          <a:spLocks noChangeArrowheads="1"/>
        </xdr:cNvSpPr>
      </xdr:nvSpPr>
      <xdr:spPr>
        <a:xfrm>
          <a:off x="1514475" y="3505200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0f8c8f-eed4-4489-a646-fef7fb857b3b}" type="TxLink">
            <a:rPr lang="en-US" cap="none" sz="1100" b="0" i="0" u="none" baseline="0"/>
            <a:t>1: 0.5</a:t>
          </a:fld>
        </a:p>
      </xdr:txBody>
    </xdr:sp>
    <xdr:clientData/>
  </xdr:twoCellAnchor>
  <xdr:twoCellAnchor>
    <xdr:from>
      <xdr:col>2</xdr:col>
      <xdr:colOff>571500</xdr:colOff>
      <xdr:row>16</xdr:row>
      <xdr:rowOff>28575</xdr:rowOff>
    </xdr:from>
    <xdr:to>
      <xdr:col>3</xdr:col>
      <xdr:colOff>533400</xdr:colOff>
      <xdr:row>17</xdr:row>
      <xdr:rowOff>19050</xdr:rowOff>
    </xdr:to>
    <xdr:sp textlink="$S$5">
      <xdr:nvSpPr>
        <xdr:cNvPr id="40" name="TextBox 557"/>
        <xdr:cNvSpPr txBox="1">
          <a:spLocks noChangeArrowheads="1"/>
        </xdr:cNvSpPr>
      </xdr:nvSpPr>
      <xdr:spPr>
        <a:xfrm>
          <a:off x="2286000" y="3686175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10fe3f-57ce-48a5-af95-0e529d91d0b6}" type="TxLink">
            <a:rPr lang="en-US" cap="none" sz="1100" b="0" i="0" u="none" baseline="0"/>
            <a:t>1: 0.3</a:t>
          </a:fld>
        </a:p>
      </xdr:txBody>
    </xdr:sp>
    <xdr:clientData/>
  </xdr:twoCellAnchor>
  <xdr:twoCellAnchor>
    <xdr:from>
      <xdr:col>2</xdr:col>
      <xdr:colOff>790575</xdr:colOff>
      <xdr:row>12</xdr:row>
      <xdr:rowOff>76200</xdr:rowOff>
    </xdr:from>
    <xdr:to>
      <xdr:col>4</xdr:col>
      <xdr:colOff>809625</xdr:colOff>
      <xdr:row>14</xdr:row>
      <xdr:rowOff>104775</xdr:rowOff>
    </xdr:to>
    <xdr:sp>
      <xdr:nvSpPr>
        <xdr:cNvPr id="41" name="Line 561"/>
        <xdr:cNvSpPr>
          <a:spLocks/>
        </xdr:cNvSpPr>
      </xdr:nvSpPr>
      <xdr:spPr>
        <a:xfrm flipV="1">
          <a:off x="2505075" y="2819400"/>
          <a:ext cx="1733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104775</xdr:rowOff>
    </xdr:from>
    <xdr:to>
      <xdr:col>2</xdr:col>
      <xdr:colOff>619125</xdr:colOff>
      <xdr:row>14</xdr:row>
      <xdr:rowOff>104775</xdr:rowOff>
    </xdr:to>
    <xdr:sp>
      <xdr:nvSpPr>
        <xdr:cNvPr id="42" name="Line 562"/>
        <xdr:cNvSpPr>
          <a:spLocks/>
        </xdr:cNvSpPr>
      </xdr:nvSpPr>
      <xdr:spPr>
        <a:xfrm flipH="1">
          <a:off x="428625" y="3305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171450</xdr:rowOff>
    </xdr:from>
    <xdr:to>
      <xdr:col>1</xdr:col>
      <xdr:colOff>266700</xdr:colOff>
      <xdr:row>20</xdr:row>
      <xdr:rowOff>171450</xdr:rowOff>
    </xdr:to>
    <xdr:sp>
      <xdr:nvSpPr>
        <xdr:cNvPr id="43" name="Line 563"/>
        <xdr:cNvSpPr>
          <a:spLocks/>
        </xdr:cNvSpPr>
      </xdr:nvSpPr>
      <xdr:spPr>
        <a:xfrm flipH="1">
          <a:off x="419100" y="4743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723900</xdr:colOff>
      <xdr:row>19</xdr:row>
      <xdr:rowOff>152400</xdr:rowOff>
    </xdr:from>
    <xdr:to>
      <xdr:col>1</xdr:col>
      <xdr:colOff>609600</xdr:colOff>
      <xdr:row>19</xdr:row>
      <xdr:rowOff>152400</xdr:rowOff>
    </xdr:to>
    <xdr:sp>
      <xdr:nvSpPr>
        <xdr:cNvPr id="44" name="Line 565"/>
        <xdr:cNvSpPr>
          <a:spLocks/>
        </xdr:cNvSpPr>
      </xdr:nvSpPr>
      <xdr:spPr>
        <a:xfrm flipH="1">
          <a:off x="723900" y="4495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809625</xdr:colOff>
      <xdr:row>20</xdr:row>
      <xdr:rowOff>28575</xdr:rowOff>
    </xdr:from>
    <xdr:to>
      <xdr:col>0</xdr:col>
      <xdr:colOff>809625</xdr:colOff>
      <xdr:row>20</xdr:row>
      <xdr:rowOff>171450</xdr:rowOff>
    </xdr:to>
    <xdr:sp>
      <xdr:nvSpPr>
        <xdr:cNvPr id="45" name="Line 567"/>
        <xdr:cNvSpPr>
          <a:spLocks/>
        </xdr:cNvSpPr>
      </xdr:nvSpPr>
      <xdr:spPr>
        <a:xfrm>
          <a:off x="809625" y="460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752475</xdr:colOff>
      <xdr:row>20</xdr:row>
      <xdr:rowOff>28575</xdr:rowOff>
    </xdr:from>
    <xdr:to>
      <xdr:col>1</xdr:col>
      <xdr:colOff>266700</xdr:colOff>
      <xdr:row>20</xdr:row>
      <xdr:rowOff>28575</xdr:rowOff>
    </xdr:to>
    <xdr:sp>
      <xdr:nvSpPr>
        <xdr:cNvPr id="46" name="Line 568"/>
        <xdr:cNvSpPr>
          <a:spLocks/>
        </xdr:cNvSpPr>
      </xdr:nvSpPr>
      <xdr:spPr>
        <a:xfrm flipH="1">
          <a:off x="752475" y="4600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66675</xdr:rowOff>
    </xdr:from>
    <xdr:to>
      <xdr:col>1</xdr:col>
      <xdr:colOff>276225</xdr:colOff>
      <xdr:row>20</xdr:row>
      <xdr:rowOff>38100</xdr:rowOff>
    </xdr:to>
    <xdr:sp>
      <xdr:nvSpPr>
        <xdr:cNvPr id="47" name="Line 569"/>
        <xdr:cNvSpPr>
          <a:spLocks/>
        </xdr:cNvSpPr>
      </xdr:nvSpPr>
      <xdr:spPr>
        <a:xfrm flipV="1">
          <a:off x="1133475" y="4181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619125</xdr:colOff>
      <xdr:row>18</xdr:row>
      <xdr:rowOff>57150</xdr:rowOff>
    </xdr:from>
    <xdr:to>
      <xdr:col>1</xdr:col>
      <xdr:colOff>619125</xdr:colOff>
      <xdr:row>19</xdr:row>
      <xdr:rowOff>171450</xdr:rowOff>
    </xdr:to>
    <xdr:sp>
      <xdr:nvSpPr>
        <xdr:cNvPr id="48" name="Line 570"/>
        <xdr:cNvSpPr>
          <a:spLocks/>
        </xdr:cNvSpPr>
      </xdr:nvSpPr>
      <xdr:spPr>
        <a:xfrm flipV="1">
          <a:off x="1476375" y="4171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104775</xdr:rowOff>
    </xdr:from>
    <xdr:to>
      <xdr:col>1</xdr:col>
      <xdr:colOff>619125</xdr:colOff>
      <xdr:row>18</xdr:row>
      <xdr:rowOff>104775</xdr:rowOff>
    </xdr:to>
    <xdr:sp>
      <xdr:nvSpPr>
        <xdr:cNvPr id="49" name="Line 571"/>
        <xdr:cNvSpPr>
          <a:spLocks/>
        </xdr:cNvSpPr>
      </xdr:nvSpPr>
      <xdr:spPr>
        <a:xfrm flipH="1">
          <a:off x="1152525" y="4219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2</xdr:col>
      <xdr:colOff>619125</xdr:colOff>
      <xdr:row>14</xdr:row>
      <xdr:rowOff>95250</xdr:rowOff>
    </xdr:to>
    <xdr:sp>
      <xdr:nvSpPr>
        <xdr:cNvPr id="50" name="Line 572"/>
        <xdr:cNvSpPr>
          <a:spLocks/>
        </xdr:cNvSpPr>
      </xdr:nvSpPr>
      <xdr:spPr>
        <a:xfrm flipV="1">
          <a:off x="2333625" y="2857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123825</xdr:rowOff>
    </xdr:from>
    <xdr:to>
      <xdr:col>2</xdr:col>
      <xdr:colOff>790575</xdr:colOff>
      <xdr:row>14</xdr:row>
      <xdr:rowOff>104775</xdr:rowOff>
    </xdr:to>
    <xdr:sp>
      <xdr:nvSpPr>
        <xdr:cNvPr id="51" name="Line 573"/>
        <xdr:cNvSpPr>
          <a:spLocks/>
        </xdr:cNvSpPr>
      </xdr:nvSpPr>
      <xdr:spPr>
        <a:xfrm flipV="1">
          <a:off x="2505075" y="28670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161925</xdr:rowOff>
    </xdr:from>
    <xdr:to>
      <xdr:col>2</xdr:col>
      <xdr:colOff>781050</xdr:colOff>
      <xdr:row>12</xdr:row>
      <xdr:rowOff>161925</xdr:rowOff>
    </xdr:to>
    <xdr:sp>
      <xdr:nvSpPr>
        <xdr:cNvPr id="52" name="Line 574"/>
        <xdr:cNvSpPr>
          <a:spLocks/>
        </xdr:cNvSpPr>
      </xdr:nvSpPr>
      <xdr:spPr>
        <a:xfrm>
          <a:off x="23241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171450</xdr:rowOff>
    </xdr:from>
    <xdr:to>
      <xdr:col>1</xdr:col>
      <xdr:colOff>276225</xdr:colOff>
      <xdr:row>22</xdr:row>
      <xdr:rowOff>28575</xdr:rowOff>
    </xdr:to>
    <xdr:sp>
      <xdr:nvSpPr>
        <xdr:cNvPr id="53" name="Line 575"/>
        <xdr:cNvSpPr>
          <a:spLocks/>
        </xdr:cNvSpPr>
      </xdr:nvSpPr>
      <xdr:spPr>
        <a:xfrm>
          <a:off x="1133475" y="474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171450</xdr:rowOff>
    </xdr:from>
    <xdr:to>
      <xdr:col>2</xdr:col>
      <xdr:colOff>104775</xdr:colOff>
      <xdr:row>22</xdr:row>
      <xdr:rowOff>57150</xdr:rowOff>
    </xdr:to>
    <xdr:sp>
      <xdr:nvSpPr>
        <xdr:cNvPr id="54" name="Line 576"/>
        <xdr:cNvSpPr>
          <a:spLocks/>
        </xdr:cNvSpPr>
      </xdr:nvSpPr>
      <xdr:spPr>
        <a:xfrm>
          <a:off x="1819275" y="4743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171450</xdr:rowOff>
    </xdr:from>
    <xdr:to>
      <xdr:col>3</xdr:col>
      <xdr:colOff>133350</xdr:colOff>
      <xdr:row>22</xdr:row>
      <xdr:rowOff>28575</xdr:rowOff>
    </xdr:to>
    <xdr:sp>
      <xdr:nvSpPr>
        <xdr:cNvPr id="55" name="Line 577"/>
        <xdr:cNvSpPr>
          <a:spLocks/>
        </xdr:cNvSpPr>
      </xdr:nvSpPr>
      <xdr:spPr>
        <a:xfrm>
          <a:off x="2705100" y="474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209550</xdr:rowOff>
    </xdr:from>
    <xdr:to>
      <xdr:col>2</xdr:col>
      <xdr:colOff>104775</xdr:colOff>
      <xdr:row>21</xdr:row>
      <xdr:rowOff>209550</xdr:rowOff>
    </xdr:to>
    <xdr:sp>
      <xdr:nvSpPr>
        <xdr:cNvPr id="56" name="Line 578"/>
        <xdr:cNvSpPr>
          <a:spLocks/>
        </xdr:cNvSpPr>
      </xdr:nvSpPr>
      <xdr:spPr>
        <a:xfrm>
          <a:off x="1123950" y="5010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209550</xdr:rowOff>
    </xdr:from>
    <xdr:to>
      <xdr:col>3</xdr:col>
      <xdr:colOff>133350</xdr:colOff>
      <xdr:row>21</xdr:row>
      <xdr:rowOff>209550</xdr:rowOff>
    </xdr:to>
    <xdr:sp>
      <xdr:nvSpPr>
        <xdr:cNvPr id="57" name="Line 579"/>
        <xdr:cNvSpPr>
          <a:spLocks/>
        </xdr:cNvSpPr>
      </xdr:nvSpPr>
      <xdr:spPr>
        <a:xfrm>
          <a:off x="1809750" y="50101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542925</xdr:colOff>
      <xdr:row>302</xdr:row>
      <xdr:rowOff>142875</xdr:rowOff>
    </xdr:from>
    <xdr:to>
      <xdr:col>3</xdr:col>
      <xdr:colOff>590550</xdr:colOff>
      <xdr:row>304</xdr:row>
      <xdr:rowOff>95250</xdr:rowOff>
    </xdr:to>
    <xdr:pic>
      <xdr:nvPicPr>
        <xdr:cNvPr id="58" name="Picture 5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7425" y="6918007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27"/>
  <sheetViews>
    <sheetView showGridLines="0" showRowColHeaders="0" tabSelected="1" workbookViewId="0" topLeftCell="A1">
      <selection activeCell="L29" sqref="L29"/>
    </sheetView>
  </sheetViews>
  <sheetFormatPr defaultColWidth="9" defaultRowHeight="14.25"/>
  <cols>
    <col min="1" max="57" width="9" style="68" customWidth="1"/>
    <col min="58" max="58" width="8.3984375" style="68" customWidth="1"/>
    <col min="59" max="59" width="9" style="68" customWidth="1"/>
    <col min="60" max="60" width="13.09765625" style="68" customWidth="1"/>
    <col min="61" max="16384" width="9" style="68" customWidth="1"/>
  </cols>
  <sheetData>
    <row r="1" spans="1:61" ht="15">
      <c r="A1" s="65" t="s">
        <v>34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BE1" s="85"/>
      <c r="BF1" s="85"/>
      <c r="BG1" s="85"/>
      <c r="BH1" s="85"/>
      <c r="BI1" s="85"/>
    </row>
    <row r="2" spans="1:61" ht="15">
      <c r="A2" s="67" t="s">
        <v>42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BE2" s="85"/>
      <c r="BF2" s="85" t="str">
        <f>"H="&amp;H&amp;"m"</f>
        <v>H=5m</v>
      </c>
      <c r="BG2" s="85"/>
      <c r="BH2" s="85" t="str">
        <f>"μ="&amp;μ</f>
        <v>μ=0.7</v>
      </c>
      <c r="BI2" s="85"/>
    </row>
    <row r="3" spans="1:61" ht="15">
      <c r="A3" s="67"/>
      <c r="B3" s="69" t="s">
        <v>28</v>
      </c>
      <c r="C3" s="70" t="s">
        <v>33</v>
      </c>
      <c r="D3" s="61">
        <v>5</v>
      </c>
      <c r="E3" s="67" t="s">
        <v>4</v>
      </c>
      <c r="F3" s="67"/>
      <c r="G3" s="65"/>
      <c r="H3" s="67"/>
      <c r="I3" s="67"/>
      <c r="J3" s="67"/>
      <c r="K3" s="67"/>
      <c r="L3" s="67"/>
      <c r="M3" s="67"/>
      <c r="N3" s="67"/>
      <c r="BE3" s="85"/>
      <c r="BF3" s="85" t="str">
        <f>"Hw="&amp;Hw&amp;"m"</f>
        <v>Hw=4.3m</v>
      </c>
      <c r="BG3" s="85"/>
      <c r="BH3" s="85" t="str">
        <f>"qd="&amp;qd&amp;"kN/m2"</f>
        <v>qd=1800kN/m2</v>
      </c>
      <c r="BI3" s="85"/>
    </row>
    <row r="4" spans="1:61" ht="16.5">
      <c r="A4" s="67"/>
      <c r="B4" s="69" t="s">
        <v>89</v>
      </c>
      <c r="C4" s="70" t="s">
        <v>93</v>
      </c>
      <c r="D4" s="61">
        <v>4.3</v>
      </c>
      <c r="E4" s="67" t="s">
        <v>4</v>
      </c>
      <c r="F4" s="67"/>
      <c r="G4" s="65"/>
      <c r="H4" s="67"/>
      <c r="I4" s="67"/>
      <c r="J4" s="67"/>
      <c r="K4" s="67"/>
      <c r="L4" s="67"/>
      <c r="M4" s="67"/>
      <c r="N4" s="67"/>
      <c r="O4" s="67"/>
      <c r="BE4" s="85"/>
      <c r="BF4" s="85" t="str">
        <f>"Hf="&amp;Hf&amp;"m"</f>
        <v>Hf=0.5m</v>
      </c>
      <c r="BG4" s="85"/>
      <c r="BH4" s="85"/>
      <c r="BI4" s="85"/>
    </row>
    <row r="5" spans="1:61" ht="16.5">
      <c r="A5" s="67"/>
      <c r="B5" s="69" t="s">
        <v>90</v>
      </c>
      <c r="C5" s="70" t="s">
        <v>94</v>
      </c>
      <c r="D5" s="61">
        <v>0.5</v>
      </c>
      <c r="E5" s="67" t="s">
        <v>4</v>
      </c>
      <c r="F5" s="67"/>
      <c r="G5" s="65"/>
      <c r="H5" s="67"/>
      <c r="I5" s="67"/>
      <c r="J5" s="67"/>
      <c r="K5" s="67"/>
      <c r="L5" s="67"/>
      <c r="M5" s="67"/>
      <c r="N5" s="67"/>
      <c r="O5" s="67"/>
      <c r="BE5" s="85"/>
      <c r="BF5" s="85" t="str">
        <f>"bu="&amp;bu&amp;"m"</f>
        <v>bu=0.5m</v>
      </c>
      <c r="BG5" s="85"/>
      <c r="BH5" s="85"/>
      <c r="BI5" s="85"/>
    </row>
    <row r="6" spans="1:61" ht="16.5">
      <c r="A6" s="67"/>
      <c r="B6" s="69" t="s">
        <v>38</v>
      </c>
      <c r="C6" s="70" t="s">
        <v>70</v>
      </c>
      <c r="D6" s="61">
        <v>0.5</v>
      </c>
      <c r="E6" s="67" t="s">
        <v>39</v>
      </c>
      <c r="F6" s="67"/>
      <c r="G6" s="67"/>
      <c r="H6" s="67"/>
      <c r="I6" s="67"/>
      <c r="J6" s="67"/>
      <c r="K6" s="67"/>
      <c r="L6" s="67"/>
      <c r="M6" s="67"/>
      <c r="N6" s="67"/>
      <c r="O6" s="67"/>
      <c r="BE6" s="85"/>
      <c r="BF6" s="85" t="str">
        <f>"Bt="&amp;Bt&amp;"m"</f>
        <v>Bt=0.5m</v>
      </c>
      <c r="BG6" s="85"/>
      <c r="BH6" s="85" t="str">
        <f>"γ="&amp;γ&amp;"kN/m3"</f>
        <v>γ=20kN/m3</v>
      </c>
      <c r="BI6" s="85"/>
    </row>
    <row r="7" spans="1:61" ht="16.5">
      <c r="A7" s="67"/>
      <c r="B7" s="69" t="s">
        <v>95</v>
      </c>
      <c r="C7" s="70" t="s">
        <v>96</v>
      </c>
      <c r="D7" s="61">
        <v>0.5</v>
      </c>
      <c r="E7" s="67" t="s">
        <v>39</v>
      </c>
      <c r="F7" s="67"/>
      <c r="G7" s="67"/>
      <c r="H7" s="67"/>
      <c r="I7" s="67"/>
      <c r="J7" s="67"/>
      <c r="K7" s="67"/>
      <c r="L7" s="67"/>
      <c r="M7" s="67"/>
      <c r="N7" s="67"/>
      <c r="O7" s="67"/>
      <c r="BE7" s="85"/>
      <c r="BF7" s="85" t="str">
        <f>"1:"&amp;nf</f>
        <v>1:0.5</v>
      </c>
      <c r="BG7" s="85"/>
      <c r="BH7" s="85" t="str">
        <f>"φ="&amp;φd&amp;"゜"</f>
        <v>φ=35゜</v>
      </c>
      <c r="BI7" s="85"/>
    </row>
    <row r="8" spans="1:61" ht="15">
      <c r="A8" s="67"/>
      <c r="B8" s="69" t="s">
        <v>91</v>
      </c>
      <c r="C8" s="70" t="s">
        <v>92</v>
      </c>
      <c r="D8" s="71">
        <f>Bt+Hw*nf+bu-H*nr</f>
        <v>1.65</v>
      </c>
      <c r="E8" s="67" t="s">
        <v>39</v>
      </c>
      <c r="F8" s="67"/>
      <c r="G8" s="67"/>
      <c r="H8" s="67"/>
      <c r="I8" s="67"/>
      <c r="J8" s="67"/>
      <c r="K8" s="67"/>
      <c r="L8" s="67"/>
      <c r="M8" s="65"/>
      <c r="N8" s="67"/>
      <c r="O8" s="67"/>
      <c r="BE8" s="85"/>
      <c r="BF8" s="85" t="str">
        <f>"1:"&amp;nr</f>
        <v>1:0.3</v>
      </c>
      <c r="BG8" s="85"/>
      <c r="BH8" s="85"/>
      <c r="BI8" s="85"/>
    </row>
    <row r="9" spans="1:61" ht="16.5">
      <c r="A9" s="67"/>
      <c r="B9" s="69" t="s">
        <v>40</v>
      </c>
      <c r="C9" s="66" t="s">
        <v>71</v>
      </c>
      <c r="D9" s="62">
        <v>0.5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BE9" s="85"/>
      <c r="BF9" s="85" t="str">
        <f>"1:"&amp;D11</f>
        <v>1:0.6</v>
      </c>
      <c r="BG9" s="85"/>
      <c r="BH9" s="85"/>
      <c r="BI9" s="85"/>
    </row>
    <row r="10" spans="1:61" ht="16.5">
      <c r="A10" s="67"/>
      <c r="B10" s="69" t="s">
        <v>41</v>
      </c>
      <c r="C10" s="66" t="s">
        <v>72</v>
      </c>
      <c r="D10" s="62">
        <v>0.3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BE10" s="85"/>
      <c r="BF10" s="85" t="str">
        <f>"1:"&amp;m</f>
        <v>1:1.8</v>
      </c>
      <c r="BG10" s="85"/>
      <c r="BH10" s="85"/>
      <c r="BI10" s="85"/>
    </row>
    <row r="11" spans="1:61" ht="16.5">
      <c r="A11" s="67"/>
      <c r="B11" s="69" t="s">
        <v>30</v>
      </c>
      <c r="C11" s="66" t="s">
        <v>82</v>
      </c>
      <c r="D11" s="62">
        <v>0.6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BE11" s="85"/>
      <c r="BF11" s="85" t="str">
        <f>"B="&amp;B&amp;"m"</f>
        <v>B=1.65m</v>
      </c>
      <c r="BG11" s="85"/>
      <c r="BH11" s="85"/>
      <c r="BI11" s="85"/>
    </row>
    <row r="12" spans="1:61" ht="15">
      <c r="A12" s="67"/>
      <c r="B12" s="69" t="s">
        <v>31</v>
      </c>
      <c r="C12" s="66" t="s">
        <v>81</v>
      </c>
      <c r="D12" s="62">
        <v>1.8</v>
      </c>
      <c r="E12" s="69"/>
      <c r="F12" s="67"/>
      <c r="G12" s="67"/>
      <c r="H12" s="67"/>
      <c r="I12" s="67"/>
      <c r="J12" s="72"/>
      <c r="K12" s="67"/>
      <c r="L12" s="67"/>
      <c r="M12" s="67"/>
      <c r="N12" s="67"/>
      <c r="O12" s="67"/>
      <c r="BE12" s="85"/>
      <c r="BF12" s="85" t="str">
        <f>"d="&amp;d&amp;"m"</f>
        <v>d=1m</v>
      </c>
      <c r="BG12" s="85"/>
      <c r="BH12" s="85"/>
      <c r="BI12" s="85"/>
    </row>
    <row r="13" spans="1:61" ht="15">
      <c r="A13" s="67"/>
      <c r="B13" s="69" t="s">
        <v>29</v>
      </c>
      <c r="C13" s="70" t="s">
        <v>32</v>
      </c>
      <c r="D13" s="63">
        <v>1</v>
      </c>
      <c r="E13" s="67" t="s">
        <v>4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BE13" s="85"/>
      <c r="BF13" s="85"/>
      <c r="BG13" s="85"/>
      <c r="BH13" s="85"/>
      <c r="BI13" s="85"/>
    </row>
    <row r="14" spans="1:61" ht="15">
      <c r="A14" s="67" t="s">
        <v>83</v>
      </c>
      <c r="B14" s="66"/>
      <c r="C14" s="67"/>
      <c r="D14" s="73"/>
      <c r="E14" s="67"/>
      <c r="F14" s="67"/>
      <c r="G14" s="67"/>
      <c r="H14" s="67"/>
      <c r="I14" s="67"/>
      <c r="J14" s="67"/>
      <c r="K14" s="65" t="s">
        <v>102</v>
      </c>
      <c r="L14" s="67"/>
      <c r="M14" s="67"/>
      <c r="N14" s="67"/>
      <c r="O14" s="67"/>
      <c r="BE14" s="85"/>
      <c r="BF14" s="85"/>
      <c r="BG14" s="85"/>
      <c r="BH14" s="85"/>
      <c r="BI14" s="85"/>
    </row>
    <row r="15" spans="1:61" ht="15">
      <c r="A15" s="67" t="s">
        <v>86</v>
      </c>
      <c r="B15" s="69"/>
      <c r="C15" s="74"/>
      <c r="D15" s="75"/>
      <c r="E15" s="67"/>
      <c r="G15" s="67"/>
      <c r="H15" s="67"/>
      <c r="I15" s="67"/>
      <c r="J15" s="67"/>
      <c r="K15" s="67"/>
      <c r="L15" s="67"/>
      <c r="M15" s="67"/>
      <c r="N15" s="67"/>
      <c r="O15" s="67"/>
      <c r="BE15" s="85"/>
      <c r="BF15" s="85"/>
      <c r="BG15" s="85"/>
      <c r="BH15" s="85"/>
      <c r="BI15" s="85"/>
    </row>
    <row r="16" spans="1:15" ht="15">
      <c r="A16" s="67" t="s">
        <v>43</v>
      </c>
      <c r="B16" s="66"/>
      <c r="C16" s="67"/>
      <c r="D16" s="75"/>
      <c r="E16" s="67"/>
      <c r="F16" s="76">
        <f>IF(dd&lt;=0,"転倒するため計算不能","")</f>
      </c>
      <c r="G16" s="67"/>
      <c r="H16" s="67"/>
      <c r="I16" s="67"/>
      <c r="J16" s="67"/>
      <c r="K16" s="67"/>
      <c r="L16" s="78">
        <f>IF('切土部擁壁'!H228="計算不能","dが小さすぎて計算不能","")</f>
      </c>
      <c r="N16" s="67"/>
      <c r="O16" s="67"/>
    </row>
    <row r="17" spans="1:15" ht="15">
      <c r="A17" s="67" t="s">
        <v>46</v>
      </c>
      <c r="B17" s="69"/>
      <c r="C17" s="67"/>
      <c r="D17" s="75"/>
      <c r="E17" s="67"/>
      <c r="F17" s="77">
        <f>IF(dd&gt;5*B/6,"もたれは式となるため計算不能","")</f>
      </c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6.5">
      <c r="A18" s="67"/>
      <c r="B18" s="69" t="s">
        <v>47</v>
      </c>
      <c r="C18" s="70" t="s">
        <v>48</v>
      </c>
      <c r="D18" s="64">
        <v>1800</v>
      </c>
      <c r="E18" s="65" t="s">
        <v>50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5">
      <c r="A19" s="67"/>
      <c r="B19" s="69" t="s">
        <v>88</v>
      </c>
      <c r="C19" s="69" t="s">
        <v>49</v>
      </c>
      <c r="D19" s="64">
        <v>0.7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">
      <c r="A20" s="79" t="s">
        <v>73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">
      <c r="A21" s="94" t="s">
        <v>74</v>
      </c>
      <c r="B21" s="95"/>
      <c r="C21" s="80" t="s">
        <v>78</v>
      </c>
      <c r="D21" s="80" t="s">
        <v>79</v>
      </c>
      <c r="E21" s="80" t="s">
        <v>80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5">
      <c r="A22" s="94" t="s">
        <v>75</v>
      </c>
      <c r="B22" s="95"/>
      <c r="C22" s="81">
        <f>'切土部擁壁'!D292</f>
        <v>0.2766117225109333</v>
      </c>
      <c r="D22" s="82">
        <f>0.5</f>
        <v>0.5</v>
      </c>
      <c r="E22" s="83" t="str">
        <f>'切土部擁壁'!G292</f>
        <v>SAFE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">
      <c r="A23" s="94" t="s">
        <v>76</v>
      </c>
      <c r="B23" s="95"/>
      <c r="C23" s="81">
        <f>'切土部擁壁'!E298</f>
        <v>1.6450189313961872</v>
      </c>
      <c r="D23" s="82">
        <v>1.5</v>
      </c>
      <c r="E23" s="83" t="str">
        <f>'切土部擁壁'!H298</f>
        <v>SAFE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5">
      <c r="A24" s="94" t="s">
        <v>77</v>
      </c>
      <c r="B24" s="95"/>
      <c r="C24" s="81">
        <f>'切土部擁壁'!E304</f>
        <v>14.67724718063353</v>
      </c>
      <c r="D24" s="82">
        <v>3</v>
      </c>
      <c r="E24" s="83" t="str">
        <f>'切土部擁壁'!H304</f>
        <v>SAFE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5">
      <c r="A25" s="69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7" ht="15">
      <c r="L27" s="84" t="s">
        <v>103</v>
      </c>
    </row>
    <row r="29" ht="30.75" customHeight="1"/>
    <row r="31" ht="17.25"/>
    <row r="32" ht="17.25"/>
  </sheetData>
  <sheetProtection/>
  <mergeCells count="4">
    <mergeCell ref="A21:B21"/>
    <mergeCell ref="A22:B22"/>
    <mergeCell ref="A23:B23"/>
    <mergeCell ref="A24:B24"/>
  </mergeCells>
  <conditionalFormatting sqref="C22">
    <cfRule type="cellIs" priority="1" dxfId="0" operator="greaterThan" stopIfTrue="1">
      <formula>$D$22</formula>
    </cfRule>
  </conditionalFormatting>
  <conditionalFormatting sqref="C23">
    <cfRule type="cellIs" priority="2" dxfId="0" operator="lessThan" stopIfTrue="1">
      <formula>$D$23</formula>
    </cfRule>
  </conditionalFormatting>
  <conditionalFormatting sqref="C24">
    <cfRule type="cellIs" priority="3" dxfId="0" operator="lessThan" stopIfTrue="1">
      <formula>$D$24</formula>
    </cfRule>
  </conditionalFormatting>
  <printOptions/>
  <pageMargins left="0.75" right="0.75" top="1" bottom="1" header="0.512" footer="0.512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S317"/>
  <sheetViews>
    <sheetView workbookViewId="0" topLeftCell="A31">
      <selection activeCell="A42" sqref="A42"/>
    </sheetView>
  </sheetViews>
  <sheetFormatPr defaultColWidth="8.796875" defaultRowHeight="18" customHeight="1"/>
  <cols>
    <col min="1" max="1" width="9" style="54" customWidth="1"/>
    <col min="2" max="2" width="9" style="10" customWidth="1"/>
    <col min="3" max="6" width="9" style="7" customWidth="1"/>
    <col min="7" max="7" width="9.09765625" style="7" customWidth="1"/>
    <col min="8" max="16384" width="9" style="7" customWidth="1"/>
  </cols>
  <sheetData>
    <row r="1" ht="18" customHeight="1">
      <c r="A1" s="54" t="s">
        <v>274</v>
      </c>
    </row>
    <row r="3" spans="1:87" ht="18" customHeight="1">
      <c r="A3" s="54" t="s">
        <v>275</v>
      </c>
      <c r="D3" s="11"/>
      <c r="CG3" s="6" t="s">
        <v>193</v>
      </c>
      <c r="CH3" s="7" t="s">
        <v>107</v>
      </c>
      <c r="CI3" s="7">
        <v>100</v>
      </c>
    </row>
    <row r="4" spans="1:97" ht="18" customHeight="1">
      <c r="A4" s="34" t="s">
        <v>297</v>
      </c>
      <c r="B4" s="9" t="s">
        <v>198</v>
      </c>
      <c r="C4" s="32">
        <f>'入力'!$D$3</f>
        <v>5</v>
      </c>
      <c r="D4" s="7" t="s">
        <v>4</v>
      </c>
      <c r="F4" s="34" t="s">
        <v>40</v>
      </c>
      <c r="G4" s="10" t="s">
        <v>211</v>
      </c>
      <c r="H4" s="31">
        <f>'入力'!D9</f>
        <v>0.5</v>
      </c>
      <c r="R4" s="7" t="str">
        <f>B4&amp;H&amp;D4</f>
        <v>H=5m</v>
      </c>
      <c r="S4" s="7" t="str">
        <f>"1: "&amp;nf</f>
        <v>1: 0.5</v>
      </c>
      <c r="CG4" s="6" t="s">
        <v>101</v>
      </c>
      <c r="CH4" s="7" t="s">
        <v>108</v>
      </c>
      <c r="CI4" s="7">
        <v>50</v>
      </c>
      <c r="CK4" s="6" t="s">
        <v>0</v>
      </c>
      <c r="CL4" s="6" t="s">
        <v>1</v>
      </c>
      <c r="CM4" s="6" t="s">
        <v>2</v>
      </c>
      <c r="CN4" s="6" t="s">
        <v>3</v>
      </c>
      <c r="CO4" s="6" t="s">
        <v>3</v>
      </c>
      <c r="CP4" s="6" t="s">
        <v>109</v>
      </c>
      <c r="CQ4" s="6" t="s">
        <v>110</v>
      </c>
      <c r="CR4" s="6" t="s">
        <v>111</v>
      </c>
      <c r="CS4" s="6" t="s">
        <v>112</v>
      </c>
    </row>
    <row r="5" spans="1:89" ht="18" customHeight="1">
      <c r="A5" s="34" t="s">
        <v>298</v>
      </c>
      <c r="B5" s="9" t="s">
        <v>200</v>
      </c>
      <c r="C5" s="32">
        <f>'入力'!D4</f>
        <v>4.3</v>
      </c>
      <c r="D5" s="7" t="s">
        <v>4</v>
      </c>
      <c r="F5" s="34" t="s">
        <v>151</v>
      </c>
      <c r="G5" s="10" t="s">
        <v>212</v>
      </c>
      <c r="H5" s="31">
        <f>'入力'!D10</f>
        <v>0.3</v>
      </c>
      <c r="R5" s="7" t="str">
        <f>B5&amp;Hw&amp;D5</f>
        <v>Hw=4.3m</v>
      </c>
      <c r="S5" s="7" t="str">
        <f>"1: "&amp;nr</f>
        <v>1: 0.3</v>
      </c>
      <c r="BE5" s="34" t="s">
        <v>194</v>
      </c>
      <c r="BF5" s="7" t="s">
        <v>113</v>
      </c>
      <c r="BG5" s="7">
        <v>1</v>
      </c>
      <c r="BH5" s="7" t="s">
        <v>114</v>
      </c>
      <c r="BK5" s="6" t="s">
        <v>115</v>
      </c>
      <c r="BL5" s="7">
        <f>VLOOKUP($BL$9,BC15:BK55,2,FALSE)</f>
        <v>75</v>
      </c>
      <c r="CJ5" s="7">
        <v>0</v>
      </c>
      <c r="CK5" s="7">
        <v>0</v>
      </c>
    </row>
    <row r="6" spans="1:89" ht="18" customHeight="1">
      <c r="A6" s="34" t="s">
        <v>276</v>
      </c>
      <c r="B6" s="9" t="s">
        <v>203</v>
      </c>
      <c r="C6" s="32">
        <f>'入力'!D5</f>
        <v>0.5</v>
      </c>
      <c r="D6" s="7" t="s">
        <v>4</v>
      </c>
      <c r="F6" s="34" t="s">
        <v>30</v>
      </c>
      <c r="G6" s="10" t="s">
        <v>218</v>
      </c>
      <c r="H6" s="31">
        <f>'入力'!D11</f>
        <v>0.6</v>
      </c>
      <c r="R6" s="7" t="str">
        <f>B6&amp;Hf&amp;D6</f>
        <v>Hf=0.5m</v>
      </c>
      <c r="S6" s="7" t="str">
        <f>"1: "&amp;nm</f>
        <v>1: 0.6</v>
      </c>
      <c r="AL6" s="30"/>
      <c r="AM6" s="96" t="s">
        <v>116</v>
      </c>
      <c r="AN6" s="97"/>
      <c r="AO6" s="49" t="s">
        <v>195</v>
      </c>
      <c r="AQ6" s="30"/>
      <c r="AR6" s="48" t="s">
        <v>117</v>
      </c>
      <c r="AS6" s="48" t="s">
        <v>118</v>
      </c>
      <c r="AT6" s="48" t="s">
        <v>119</v>
      </c>
      <c r="AW6" s="6" t="s">
        <v>87</v>
      </c>
      <c r="AX6" s="6" t="s">
        <v>196</v>
      </c>
      <c r="BE6" s="34" t="s">
        <v>120</v>
      </c>
      <c r="BF6" s="6" t="s">
        <v>197</v>
      </c>
      <c r="BG6" s="7">
        <f>γ</f>
        <v>20</v>
      </c>
      <c r="BH6" s="7" t="s">
        <v>121</v>
      </c>
      <c r="BK6" s="6" t="s">
        <v>122</v>
      </c>
      <c r="BL6" s="7">
        <f>VLOOKUP($BL$9,BC15:BK55,7,FALSE)</f>
        <v>25.87371508897443</v>
      </c>
      <c r="CJ6" s="7">
        <v>0</v>
      </c>
      <c r="CK6" s="7">
        <f>Hf</f>
        <v>0.5</v>
      </c>
    </row>
    <row r="7" spans="1:89" ht="18" customHeight="1">
      <c r="A7" s="34" t="s">
        <v>277</v>
      </c>
      <c r="B7" s="9" t="s">
        <v>205</v>
      </c>
      <c r="C7" s="32">
        <f>'入力'!D6</f>
        <v>0.5</v>
      </c>
      <c r="D7" s="7" t="s">
        <v>139</v>
      </c>
      <c r="F7" s="34" t="s">
        <v>31</v>
      </c>
      <c r="G7" s="10" t="s">
        <v>219</v>
      </c>
      <c r="H7" s="31">
        <f>'入力'!D12</f>
        <v>1.8</v>
      </c>
      <c r="R7" s="7" t="str">
        <f>B7&amp;bu&amp;D7</f>
        <v>bu=0.5m</v>
      </c>
      <c r="S7" s="7" t="str">
        <f>"1: "&amp;m</f>
        <v>1: 1.8</v>
      </c>
      <c r="AL7" s="30">
        <v>1</v>
      </c>
      <c r="AM7" s="48" t="s">
        <v>123</v>
      </c>
      <c r="AN7" s="30"/>
      <c r="AO7" s="40">
        <v>0</v>
      </c>
      <c r="AQ7" s="30">
        <v>1</v>
      </c>
      <c r="AR7" s="48" t="s">
        <v>84</v>
      </c>
      <c r="AS7" s="30">
        <v>20</v>
      </c>
      <c r="AT7" s="30">
        <v>35</v>
      </c>
      <c r="AV7" s="7">
        <v>1</v>
      </c>
      <c r="AW7" s="6" t="s">
        <v>124</v>
      </c>
      <c r="BE7" s="34" t="s">
        <v>125</v>
      </c>
      <c r="BF7" s="6" t="s">
        <v>199</v>
      </c>
      <c r="BG7" s="7">
        <f>D28</f>
        <v>35</v>
      </c>
      <c r="BH7" s="7" t="s">
        <v>126</v>
      </c>
      <c r="BI7" s="7">
        <f>BG7*PI()/180</f>
        <v>0.6108652381980153</v>
      </c>
      <c r="BJ7" s="7" t="s">
        <v>127</v>
      </c>
      <c r="BK7" s="7" t="s">
        <v>128</v>
      </c>
      <c r="BL7" s="7">
        <f>VLOOKUP($BL$9,BC15:BK55,9,FALSE)</f>
        <v>3.667715895598562</v>
      </c>
      <c r="CJ7" s="7">
        <f>Bt</f>
        <v>0.5</v>
      </c>
      <c r="CK7" s="7">
        <f>H-Hw</f>
        <v>0.7000000000000002</v>
      </c>
    </row>
    <row r="8" spans="1:89" ht="18" customHeight="1">
      <c r="A8" s="34" t="s">
        <v>278</v>
      </c>
      <c r="B8" s="9" t="s">
        <v>207</v>
      </c>
      <c r="C8" s="32">
        <f>'入力'!D7</f>
        <v>0.5</v>
      </c>
      <c r="D8" s="7" t="s">
        <v>145</v>
      </c>
      <c r="F8" s="34" t="s">
        <v>156</v>
      </c>
      <c r="G8" s="47" t="s">
        <v>267</v>
      </c>
      <c r="H8" s="58">
        <f>ROUND(β*180/PI(),2)</f>
        <v>29.05</v>
      </c>
      <c r="I8" s="46" t="s">
        <v>37</v>
      </c>
      <c r="J8" s="46"/>
      <c r="K8" s="46"/>
      <c r="L8" s="46"/>
      <c r="M8" s="46"/>
      <c r="N8" s="46"/>
      <c r="O8" s="46"/>
      <c r="P8" s="46"/>
      <c r="Q8" s="46"/>
      <c r="R8" s="7" t="str">
        <f>B8&amp;Bt&amp;D8</f>
        <v>Bt=0.5m</v>
      </c>
      <c r="S8" s="7" t="str">
        <f>"β="&amp;H8</f>
        <v>β=29.05</v>
      </c>
      <c r="AL8" s="30">
        <v>2</v>
      </c>
      <c r="AM8" s="48" t="s">
        <v>201</v>
      </c>
      <c r="AN8" s="30"/>
      <c r="AO8" s="41">
        <f>BL6</f>
        <v>25.87371508897443</v>
      </c>
      <c r="AQ8" s="30">
        <v>2</v>
      </c>
      <c r="AR8" s="48" t="s">
        <v>129</v>
      </c>
      <c r="AS8" s="30">
        <v>19</v>
      </c>
      <c r="AT8" s="30">
        <v>30</v>
      </c>
      <c r="AV8" s="7">
        <v>2</v>
      </c>
      <c r="AW8" s="6" t="s">
        <v>130</v>
      </c>
      <c r="AX8" s="7">
        <f>D28</f>
        <v>35</v>
      </c>
      <c r="BE8" s="34" t="s">
        <v>36</v>
      </c>
      <c r="BF8" s="6" t="s">
        <v>202</v>
      </c>
      <c r="BG8" s="7">
        <f>D31</f>
        <v>35</v>
      </c>
      <c r="BH8" s="7" t="s">
        <v>131</v>
      </c>
      <c r="BI8" s="7">
        <f>BG8*PI()/180</f>
        <v>0.6108652381980153</v>
      </c>
      <c r="BJ8" s="7" t="s">
        <v>132</v>
      </c>
      <c r="BK8" s="7" t="s">
        <v>133</v>
      </c>
      <c r="BL8" s="7">
        <f>VLOOKUP($BL$9,BC15:BG55,5,FALSE)</f>
        <v>8.101988647525843</v>
      </c>
      <c r="CJ8" s="7">
        <f>CJ7+Hw*nf</f>
        <v>2.65</v>
      </c>
      <c r="CK8" s="7">
        <f>H</f>
        <v>5</v>
      </c>
    </row>
    <row r="9" spans="1:89" ht="18" customHeight="1">
      <c r="A9" s="34" t="s">
        <v>279</v>
      </c>
      <c r="B9" s="9" t="s">
        <v>210</v>
      </c>
      <c r="C9" s="32">
        <f>'入力'!D8</f>
        <v>1.65</v>
      </c>
      <c r="F9" s="34" t="s">
        <v>157</v>
      </c>
      <c r="G9" s="9" t="s">
        <v>220</v>
      </c>
      <c r="H9" s="32">
        <f>'入力'!D13</f>
        <v>1</v>
      </c>
      <c r="I9" s="7" t="s">
        <v>4</v>
      </c>
      <c r="R9" s="7" t="str">
        <f>B9&amp;B&amp;D9</f>
        <v>B=1.65</v>
      </c>
      <c r="S9" s="7" t="str">
        <f>G9&amp;d&amp;I9</f>
        <v>d=1m</v>
      </c>
      <c r="AM9" s="42">
        <v>2</v>
      </c>
      <c r="AN9" s="30"/>
      <c r="AQ9" s="30">
        <v>3</v>
      </c>
      <c r="AR9" s="48" t="s">
        <v>134</v>
      </c>
      <c r="AS9" s="30">
        <v>18</v>
      </c>
      <c r="AT9" s="30">
        <v>25</v>
      </c>
      <c r="AW9" s="7">
        <v>2</v>
      </c>
      <c r="AX9" s="7">
        <f>AX8/3*2</f>
        <v>23.333333333333332</v>
      </c>
      <c r="BE9" s="34" t="s">
        <v>135</v>
      </c>
      <c r="BF9" s="6" t="s">
        <v>204</v>
      </c>
      <c r="BG9" s="15">
        <f>E184</f>
        <v>29.054604099077146</v>
      </c>
      <c r="BH9" s="7" t="s">
        <v>136</v>
      </c>
      <c r="BI9" s="7">
        <f>BG9*PI()/180</f>
        <v>0.507098504392337</v>
      </c>
      <c r="BJ9" s="7" t="s">
        <v>137</v>
      </c>
      <c r="BK9" s="7" t="s">
        <v>138</v>
      </c>
      <c r="BL9" s="7">
        <f>MAX(BJ15:BJ55)</f>
        <v>3.300056978129468</v>
      </c>
      <c r="CJ9" s="7">
        <f>CJ8+bu</f>
        <v>3.15</v>
      </c>
      <c r="CK9" s="7">
        <f>H</f>
        <v>5</v>
      </c>
    </row>
    <row r="10" spans="39:89" ht="18" customHeight="1">
      <c r="AM10" s="50" t="s">
        <v>140</v>
      </c>
      <c r="AN10" s="30" t="str">
        <f>IF(AM9=1,AM7,AM8)</f>
        <v>改良試行くさび法</v>
      </c>
      <c r="AR10" s="30">
        <v>1</v>
      </c>
      <c r="AS10" s="30"/>
      <c r="AV10" s="6" t="s">
        <v>141</v>
      </c>
      <c r="AW10" s="7" t="str">
        <f>IF(AW9=1,AW7,AW8)</f>
        <v>粗・段切り</v>
      </c>
      <c r="BE10" s="34" t="s">
        <v>142</v>
      </c>
      <c r="BF10" s="6" t="s">
        <v>206</v>
      </c>
      <c r="BG10" s="15">
        <f>E183</f>
        <v>59.03624346792648</v>
      </c>
      <c r="BH10" s="7" t="s">
        <v>143</v>
      </c>
      <c r="BI10" s="7">
        <f>BG10*PI()/180</f>
        <v>1.0303768265243125</v>
      </c>
      <c r="BJ10" s="7" t="s">
        <v>144</v>
      </c>
      <c r="CJ10" s="7">
        <f>B</f>
        <v>1.65</v>
      </c>
      <c r="CK10" s="7">
        <v>0</v>
      </c>
    </row>
    <row r="11" spans="39:89" ht="18" customHeight="1">
      <c r="AM11" s="48" t="s">
        <v>208</v>
      </c>
      <c r="AN11" s="30">
        <f>IF(AM9=1,AO7,AO8)</f>
        <v>25.87371508897443</v>
      </c>
      <c r="AR11" s="48" t="s">
        <v>146</v>
      </c>
      <c r="AS11" s="30" t="str">
        <f>IF(AR10=1,AR7,IF(AR10=2,AR8,AR9))</f>
        <v>礫質土</v>
      </c>
      <c r="AV11" s="6" t="s">
        <v>209</v>
      </c>
      <c r="AW11" s="7">
        <f>IF(AW9=1,AX7,AX8)</f>
        <v>35</v>
      </c>
      <c r="BE11" s="10"/>
      <c r="CJ11" s="7">
        <v>0</v>
      </c>
      <c r="CK11" s="7">
        <v>0</v>
      </c>
    </row>
    <row r="12" spans="44:90" ht="18" customHeight="1">
      <c r="AR12" s="48" t="s">
        <v>147</v>
      </c>
      <c r="AS12" s="30">
        <f>IF(AR10=1,AS7,IF(AR10=2,AS8,AS9))</f>
        <v>20</v>
      </c>
      <c r="BE12" s="10" t="s">
        <v>148</v>
      </c>
      <c r="BF12" s="7">
        <f>0.5*BG6*BG5^2*COS(BI10-0)*COS(0-BI9)/SIN(BI10-BI9)/COS(0)^2</f>
        <v>8.999999999999998</v>
      </c>
      <c r="BG12" s="7" t="s">
        <v>149</v>
      </c>
      <c r="CJ12" s="7">
        <f>CJ9</f>
        <v>3.15</v>
      </c>
      <c r="CL12" s="7">
        <v>0</v>
      </c>
    </row>
    <row r="13" spans="6:90" ht="18" customHeight="1">
      <c r="F13" s="13"/>
      <c r="AR13" s="48" t="s">
        <v>150</v>
      </c>
      <c r="AS13" s="30">
        <f>IF(AR10=1,AT7,IF(AR10=2,AT8,AT9))</f>
        <v>35</v>
      </c>
      <c r="BE13" s="10"/>
      <c r="CJ13" s="7">
        <f>d+B</f>
        <v>2.65</v>
      </c>
      <c r="CL13" s="7">
        <v>0</v>
      </c>
    </row>
    <row r="14" spans="6:90" ht="18" customHeight="1">
      <c r="F14" s="13"/>
      <c r="BB14" s="6" t="s">
        <v>213</v>
      </c>
      <c r="BC14" s="7" t="s">
        <v>152</v>
      </c>
      <c r="BD14" s="6" t="s">
        <v>213</v>
      </c>
      <c r="BE14" s="6" t="s">
        <v>214</v>
      </c>
      <c r="BF14" s="10" t="s">
        <v>153</v>
      </c>
      <c r="BG14" s="7" t="s">
        <v>154</v>
      </c>
      <c r="BH14" s="6" t="s">
        <v>215</v>
      </c>
      <c r="BI14" s="6" t="s">
        <v>216</v>
      </c>
      <c r="BJ14" s="7" t="s">
        <v>217</v>
      </c>
      <c r="BK14" s="7" t="s">
        <v>155</v>
      </c>
      <c r="CJ14" s="7">
        <f>d+CL14/TAN(ε)+B</f>
        <v>8.1</v>
      </c>
      <c r="CL14" s="7">
        <f>Y+2</f>
        <v>9.083333333333334</v>
      </c>
    </row>
    <row r="15" spans="54:91" ht="18" customHeight="1">
      <c r="BB15" s="7">
        <f>BD15</f>
        <v>50</v>
      </c>
      <c r="BC15" s="7">
        <f>BJ15</f>
        <v>2.464416127768101</v>
      </c>
      <c r="BD15" s="12">
        <v>50</v>
      </c>
      <c r="BE15" s="10">
        <f>BD15*PI()/180</f>
        <v>0.8726646259971648</v>
      </c>
      <c r="BF15" s="7">
        <f>0.5*$BG$6*$BG$5^2*COS(BE15-0)*COS(0+$BI$9)/SIN(BE15+$BI$9)</f>
        <v>5.723085700426311</v>
      </c>
      <c r="BG15" s="7">
        <f>SIN(BE15-$BI$7)/SIN($BI$10+BE15-$BI$8-$BI$7)*($BF$12+BF15)</f>
        <v>6.050402045262327</v>
      </c>
      <c r="BH15" s="7">
        <f>ATAN(($BF$12-BG15*COS($BI$10-$BI$8))/(BG15*SIN($BI$10-$BI$8)))</f>
        <v>0.9538296841282498</v>
      </c>
      <c r="BI15" s="7">
        <f>BH15*180/PI()</f>
        <v>54.65041527484516</v>
      </c>
      <c r="BJ15" s="7">
        <f>BG15*SIN($BI$10-$BI$8)</f>
        <v>2.464416127768101</v>
      </c>
      <c r="BK15" s="7">
        <f>BJ15/COS(BH15)</f>
        <v>4.259541512704107</v>
      </c>
      <c r="CJ15" s="7">
        <f>CJ9</f>
        <v>3.15</v>
      </c>
      <c r="CM15" s="7">
        <f>H</f>
        <v>5</v>
      </c>
    </row>
    <row r="16" spans="3:91" ht="18" customHeight="1">
      <c r="C16" s="9"/>
      <c r="D16" s="32"/>
      <c r="BB16" s="7">
        <f aca="true" t="shared" si="0" ref="BB16:BB55">BD16</f>
        <v>51</v>
      </c>
      <c r="BC16" s="7">
        <f aca="true" t="shared" si="1" ref="BC16:BC44">BJ16</f>
        <v>2.5455696193032273</v>
      </c>
      <c r="BD16" s="7">
        <f>BD15+1</f>
        <v>51</v>
      </c>
      <c r="BE16" s="10">
        <f>BD16*PI()/180</f>
        <v>0.890117918517108</v>
      </c>
      <c r="BF16" s="7">
        <f aca="true" t="shared" si="2" ref="BF16:BF55">0.5*$BG$6*$BG$5^2*COS(BE16-0)*COS(0+$BI$9)/SIN(BE16+$BI$9)</f>
        <v>5.585179621037624</v>
      </c>
      <c r="BG16" s="7">
        <f aca="true" t="shared" si="3" ref="BG16:BG26">SIN(BE16-$BI$7)/SIN($BI$10+BE16-$BI$8-$BI$7)*($BF$12+BF16)</f>
        <v>6.249642443680346</v>
      </c>
      <c r="BH16" s="7">
        <f aca="true" t="shared" si="4" ref="BH16:BH55">ATAN(($BF$12-BG16*COS($BI$10-$BI$8))/(BG16*SIN($BI$10-$BI$8)))</f>
        <v>0.9126153499779802</v>
      </c>
      <c r="BI16" s="7">
        <f aca="true" t="shared" si="5" ref="BI16:BI55">BH16*180/PI()</f>
        <v>52.28900787259281</v>
      </c>
      <c r="BJ16" s="7">
        <f aca="true" t="shared" si="6" ref="BJ16:BJ26">BG16*SIN($BI$10-$BI$8)</f>
        <v>2.5455696193032273</v>
      </c>
      <c r="BK16" s="7">
        <f aca="true" t="shared" si="7" ref="BK16:BK26">BJ16/COS(BH16)</f>
        <v>4.161611483796376</v>
      </c>
      <c r="CJ16" s="7">
        <f>X+B</f>
        <v>6.9</v>
      </c>
      <c r="CM16" s="7">
        <f>Y</f>
        <v>7.083333333333334</v>
      </c>
    </row>
    <row r="17" spans="3:92" ht="18" customHeight="1">
      <c r="C17" s="9"/>
      <c r="D17" s="32"/>
      <c r="BB17" s="7">
        <f t="shared" si="0"/>
        <v>52</v>
      </c>
      <c r="BC17" s="7">
        <f t="shared" si="1"/>
        <v>2.620701737415439</v>
      </c>
      <c r="BD17" s="7">
        <f aca="true" t="shared" si="8" ref="BD17:BD31">BD16+1</f>
        <v>52</v>
      </c>
      <c r="BE17" s="10">
        <f aca="true" t="shared" si="9" ref="BE17:BE55">BD17*PI()/180</f>
        <v>0.9075712110370514</v>
      </c>
      <c r="BF17" s="7">
        <f t="shared" si="2"/>
        <v>5.448115130192981</v>
      </c>
      <c r="BG17" s="7">
        <f t="shared" si="3"/>
        <v>6.434099733976813</v>
      </c>
      <c r="BH17" s="7">
        <f t="shared" si="4"/>
        <v>0.8727565780000899</v>
      </c>
      <c r="BI17" s="7">
        <f t="shared" si="5"/>
        <v>50.00526846168538</v>
      </c>
      <c r="BJ17" s="7">
        <f t="shared" si="6"/>
        <v>2.620701737415439</v>
      </c>
      <c r="BK17" s="7">
        <f t="shared" si="7"/>
        <v>4.077534986352515</v>
      </c>
      <c r="CJ17" s="7">
        <f>0+B</f>
        <v>1.65</v>
      </c>
      <c r="CN17" s="7">
        <v>0</v>
      </c>
    </row>
    <row r="18" spans="3:92" ht="18" customHeight="1">
      <c r="C18" s="9"/>
      <c r="D18" s="32"/>
      <c r="BB18" s="7">
        <f t="shared" si="0"/>
        <v>53</v>
      </c>
      <c r="BC18" s="7">
        <f t="shared" si="1"/>
        <v>2.6902378254851587</v>
      </c>
      <c r="BD18" s="7">
        <f t="shared" si="8"/>
        <v>53</v>
      </c>
      <c r="BE18" s="10">
        <f t="shared" si="9"/>
        <v>0.9250245035569946</v>
      </c>
      <c r="BF18" s="7">
        <f t="shared" si="2"/>
        <v>5.31180176166793</v>
      </c>
      <c r="BG18" s="7">
        <f t="shared" si="3"/>
        <v>6.604818179103043</v>
      </c>
      <c r="BH18" s="7">
        <f t="shared" si="4"/>
        <v>0.8344317112177624</v>
      </c>
      <c r="BI18" s="7">
        <f t="shared" si="5"/>
        <v>47.80941534465689</v>
      </c>
      <c r="BJ18" s="7">
        <f t="shared" si="6"/>
        <v>2.6902378254851587</v>
      </c>
      <c r="BK18" s="7">
        <f t="shared" si="7"/>
        <v>4.005721341713653</v>
      </c>
      <c r="CJ18" s="7">
        <f>IF($CJ$52&gt;=ωo,COS(α+β)*COS($CJ$52)/COS(α)/SIN($CJ$52-β)*H,η)+B</f>
        <v>4.454429407908425</v>
      </c>
      <c r="CN18" s="7">
        <f>IF($CJ$52&gt;=ωo,COS(α+β)*SIN($CJ$52)/COS(α)/SIN($CJ$52-β)*H,ξ)</f>
        <v>3.007382346514042</v>
      </c>
    </row>
    <row r="19" spans="3:92" ht="18" customHeight="1">
      <c r="C19" s="9"/>
      <c r="D19" s="32"/>
      <c r="BB19" s="7">
        <f t="shared" si="0"/>
        <v>54</v>
      </c>
      <c r="BC19" s="7">
        <f t="shared" si="1"/>
        <v>2.7545604599927063</v>
      </c>
      <c r="BD19" s="7">
        <f t="shared" si="8"/>
        <v>54</v>
      </c>
      <c r="BE19" s="10">
        <f t="shared" si="9"/>
        <v>0.9424777960769379</v>
      </c>
      <c r="BF19" s="7">
        <f t="shared" si="2"/>
        <v>5.176150949028771</v>
      </c>
      <c r="BG19" s="7">
        <f t="shared" si="3"/>
        <v>6.76273704475078</v>
      </c>
      <c r="BH19" s="7">
        <f t="shared" si="4"/>
        <v>0.7977873006169189</v>
      </c>
      <c r="BI19" s="7">
        <f t="shared" si="5"/>
        <v>45.70984527448411</v>
      </c>
      <c r="BJ19" s="7">
        <f t="shared" si="6"/>
        <v>2.7545604599927063</v>
      </c>
      <c r="BK19" s="7">
        <f t="shared" si="7"/>
        <v>3.9447097959424435</v>
      </c>
      <c r="CJ19" s="7">
        <f>CJ18</f>
        <v>4.454429407908425</v>
      </c>
      <c r="CN19" s="7">
        <f>CN18+CM52</f>
        <v>5.724683004393571</v>
      </c>
    </row>
    <row r="20" spans="3:93" ht="18" customHeight="1">
      <c r="C20" s="9"/>
      <c r="D20" s="32"/>
      <c r="BB20" s="7">
        <f t="shared" si="0"/>
        <v>55</v>
      </c>
      <c r="BC20" s="7">
        <f t="shared" si="1"/>
        <v>2.814014308420438</v>
      </c>
      <c r="BD20" s="7">
        <f t="shared" si="8"/>
        <v>55</v>
      </c>
      <c r="BE20" s="10">
        <f t="shared" si="9"/>
        <v>0.9599310885968813</v>
      </c>
      <c r="BF20" s="7">
        <f t="shared" si="2"/>
        <v>5.0410757887722255</v>
      </c>
      <c r="BG20" s="7">
        <f t="shared" si="3"/>
        <v>6.908702526015361</v>
      </c>
      <c r="BH20" s="7">
        <f t="shared" si="4"/>
        <v>0.7629381315188102</v>
      </c>
      <c r="BI20" s="7">
        <f t="shared" si="5"/>
        <v>43.71313496562475</v>
      </c>
      <c r="BJ20" s="7">
        <f t="shared" si="6"/>
        <v>2.814014308420438</v>
      </c>
      <c r="BK20" s="7">
        <f t="shared" si="7"/>
        <v>3.893165840598576</v>
      </c>
      <c r="CJ20" s="7">
        <f>CJ19</f>
        <v>4.454429407908425</v>
      </c>
      <c r="CO20" s="7">
        <f>CN18</f>
        <v>3.007382346514042</v>
      </c>
    </row>
    <row r="21" spans="3:93" ht="18" customHeight="1">
      <c r="C21" s="9"/>
      <c r="D21" s="32"/>
      <c r="BB21" s="7">
        <f t="shared" si="0"/>
        <v>56</v>
      </c>
      <c r="BC21" s="7">
        <f t="shared" si="1"/>
        <v>2.8689103277583685</v>
      </c>
      <c r="BD21" s="7">
        <f t="shared" si="8"/>
        <v>56</v>
      </c>
      <c r="BE21" s="10">
        <f t="shared" si="9"/>
        <v>0.9773843811168246</v>
      </c>
      <c r="BF21" s="7">
        <f t="shared" si="2"/>
        <v>4.906490812428595</v>
      </c>
      <c r="BG21" s="7">
        <f t="shared" si="3"/>
        <v>7.0434780551707314</v>
      </c>
      <c r="BH21" s="7">
        <f t="shared" si="4"/>
        <v>0.7299686373863449</v>
      </c>
      <c r="BI21" s="7">
        <f t="shared" si="5"/>
        <v>41.82412209915316</v>
      </c>
      <c r="BJ21" s="7">
        <f t="shared" si="6"/>
        <v>2.8689103277583685</v>
      </c>
      <c r="BK21" s="7">
        <f t="shared" si="7"/>
        <v>3.8498770231924038</v>
      </c>
      <c r="CJ21" s="7">
        <f>IF(CM52=0,CJ20,CJ16)</f>
        <v>6.9</v>
      </c>
      <c r="CO21" s="7">
        <f>IF(CM52=0,CO20,CM16)</f>
        <v>7.083333333333334</v>
      </c>
    </row>
    <row r="22" spans="3:94" ht="18" customHeight="1">
      <c r="C22" s="9"/>
      <c r="D22" s="32"/>
      <c r="BB22" s="7">
        <f t="shared" si="0"/>
        <v>57</v>
      </c>
      <c r="BC22" s="7">
        <f t="shared" si="1"/>
        <v>2.9195294039463113</v>
      </c>
      <c r="BD22" s="7">
        <f t="shared" si="8"/>
        <v>57</v>
      </c>
      <c r="BE22" s="10">
        <f t="shared" si="9"/>
        <v>0.9948376736367678</v>
      </c>
      <c r="BF22" s="7">
        <f t="shared" si="2"/>
        <v>4.772311766330273</v>
      </c>
      <c r="BG22" s="7">
        <f t="shared" si="3"/>
        <v>7.167753236884539</v>
      </c>
      <c r="BH22" s="7">
        <f t="shared" si="4"/>
        <v>0.698935364223401</v>
      </c>
      <c r="BI22" s="7">
        <f t="shared" si="5"/>
        <v>40.04604652243987</v>
      </c>
      <c r="BJ22" s="7">
        <f t="shared" si="6"/>
        <v>2.9195294039463113</v>
      </c>
      <c r="BK22" s="7">
        <f t="shared" si="7"/>
        <v>3.813748011678376</v>
      </c>
      <c r="CJ22" s="14">
        <f>E76</f>
        <v>1.680130371801062</v>
      </c>
      <c r="CP22" s="14">
        <f>E77</f>
        <v>2.0239336874295826</v>
      </c>
    </row>
    <row r="23" spans="3:94" ht="18" customHeight="1">
      <c r="C23" s="9"/>
      <c r="D23" s="32"/>
      <c r="BB23" s="7">
        <f t="shared" si="0"/>
        <v>58</v>
      </c>
      <c r="BC23" s="7">
        <f t="shared" si="1"/>
        <v>2.966125515437401</v>
      </c>
      <c r="BD23" s="7">
        <f t="shared" si="8"/>
        <v>58</v>
      </c>
      <c r="BE23" s="10">
        <f t="shared" si="9"/>
        <v>1.0122909661567112</v>
      </c>
      <c r="BF23" s="7">
        <f t="shared" si="2"/>
        <v>4.638455397818263</v>
      </c>
      <c r="BG23" s="7">
        <f t="shared" si="3"/>
        <v>7.2821516151009185</v>
      </c>
      <c r="BH23" s="7">
        <f t="shared" si="4"/>
        <v>0.6698701347306708</v>
      </c>
      <c r="BI23" s="7">
        <f t="shared" si="5"/>
        <v>38.38073154192726</v>
      </c>
      <c r="BJ23" s="7">
        <f t="shared" si="6"/>
        <v>2.966125515437401</v>
      </c>
      <c r="BK23" s="7">
        <f t="shared" si="7"/>
        <v>3.783794869745102</v>
      </c>
      <c r="CJ23" s="14">
        <f>CJ22</f>
        <v>1.680130371801062</v>
      </c>
      <c r="CP23" s="7">
        <f>CP22-E75/CI3</f>
        <v>0.8331086874295826</v>
      </c>
    </row>
    <row r="24" spans="3:95" ht="18" customHeight="1">
      <c r="C24" s="9"/>
      <c r="D24" s="32"/>
      <c r="BB24" s="7">
        <f t="shared" si="0"/>
        <v>59</v>
      </c>
      <c r="BC24" s="7">
        <f t="shared" si="1"/>
        <v>3.0089284901333784</v>
      </c>
      <c r="BD24" s="7">
        <f t="shared" si="8"/>
        <v>59</v>
      </c>
      <c r="BE24" s="10">
        <f t="shared" si="9"/>
        <v>1.0297442586766543</v>
      </c>
      <c r="BF24" s="7">
        <f t="shared" si="2"/>
        <v>4.5048392467184435</v>
      </c>
      <c r="BG24" s="7">
        <f t="shared" si="3"/>
        <v>7.387237441607984</v>
      </c>
      <c r="BH24" s="7">
        <f t="shared" si="4"/>
        <v>0.6427835878827952</v>
      </c>
      <c r="BI24" s="7">
        <f t="shared" si="5"/>
        <v>36.82878672596061</v>
      </c>
      <c r="BJ24" s="7">
        <f t="shared" si="6"/>
        <v>3.0089284901333784</v>
      </c>
      <c r="BK24" s="7">
        <f t="shared" si="7"/>
        <v>3.7591386350786222</v>
      </c>
      <c r="CJ24" s="14">
        <f>xA</f>
        <v>2.15</v>
      </c>
      <c r="CQ24" s="14">
        <f>yA</f>
        <v>1.6666666666666667</v>
      </c>
    </row>
    <row r="25" spans="1:95" ht="18" customHeight="1">
      <c r="A25" s="54" t="s">
        <v>280</v>
      </c>
      <c r="D25" s="11"/>
      <c r="BB25" s="7">
        <f t="shared" si="0"/>
        <v>60</v>
      </c>
      <c r="BC25" s="7">
        <f t="shared" si="1"/>
        <v>3.0481464135649707</v>
      </c>
      <c r="BD25" s="7">
        <f t="shared" si="8"/>
        <v>60</v>
      </c>
      <c r="BE25" s="10">
        <f t="shared" si="9"/>
        <v>1.0471975511965976</v>
      </c>
      <c r="BF25" s="7">
        <f t="shared" si="2"/>
        <v>4.371381440966931</v>
      </c>
      <c r="BG25" s="7">
        <f t="shared" si="3"/>
        <v>7.483521588375171</v>
      </c>
      <c r="BH25" s="7">
        <f t="shared" si="4"/>
        <v>0.6176688215917094</v>
      </c>
      <c r="BI25" s="7">
        <f t="shared" si="5"/>
        <v>35.389816614023964</v>
      </c>
      <c r="BJ25" s="7">
        <f t="shared" si="6"/>
        <v>3.0481464135649707</v>
      </c>
      <c r="BK25" s="7">
        <f t="shared" si="7"/>
        <v>3.738998374079481</v>
      </c>
      <c r="CJ25" s="7">
        <f>xA+PAH/CI3</f>
        <v>2.683112894254826</v>
      </c>
      <c r="CQ25" s="7">
        <f>yA+PAV/CI3</f>
        <v>1.7286713861246705</v>
      </c>
    </row>
    <row r="26" spans="2:96" ht="18" customHeight="1">
      <c r="B26" s="34" t="s">
        <v>160</v>
      </c>
      <c r="D26" s="11" t="str">
        <f>AS11</f>
        <v>礫質土</v>
      </c>
      <c r="BB26" s="7">
        <f t="shared" si="0"/>
        <v>61</v>
      </c>
      <c r="BC26" s="7">
        <f t="shared" si="1"/>
        <v>3.083967736859241</v>
      </c>
      <c r="BD26" s="7">
        <f t="shared" si="8"/>
        <v>61</v>
      </c>
      <c r="BE26" s="10">
        <f t="shared" si="9"/>
        <v>1.064650843716541</v>
      </c>
      <c r="BF26" s="7">
        <f t="shared" si="2"/>
        <v>4.238000495301587</v>
      </c>
      <c r="BG26" s="7">
        <f t="shared" si="3"/>
        <v>7.5714667228358605</v>
      </c>
      <c r="BH26" s="7">
        <f t="shared" si="4"/>
        <v>0.5945049294840052</v>
      </c>
      <c r="BI26" s="7">
        <f t="shared" si="5"/>
        <v>34.06262335915612</v>
      </c>
      <c r="BJ26" s="7">
        <f t="shared" si="6"/>
        <v>3.083967736859241</v>
      </c>
      <c r="BK26" s="7">
        <f t="shared" si="7"/>
        <v>3.7226839225196446</v>
      </c>
      <c r="CJ26" s="15">
        <f>dd</f>
        <v>0.9941733398125612</v>
      </c>
      <c r="CR26" s="7">
        <v>0</v>
      </c>
    </row>
    <row r="27" spans="2:96" ht="18" customHeight="1">
      <c r="B27" s="34" t="s">
        <v>222</v>
      </c>
      <c r="C27" s="47" t="s">
        <v>257</v>
      </c>
      <c r="D27" s="31">
        <f>AS12</f>
        <v>20</v>
      </c>
      <c r="E27" s="7" t="s">
        <v>223</v>
      </c>
      <c r="BB27" s="7">
        <f t="shared" si="0"/>
        <v>62</v>
      </c>
      <c r="BC27" s="7">
        <f t="shared" si="1"/>
        <v>3.116563125348054</v>
      </c>
      <c r="BD27" s="7">
        <f t="shared" si="8"/>
        <v>62</v>
      </c>
      <c r="BE27" s="10">
        <f t="shared" si="9"/>
        <v>1.0821041362364843</v>
      </c>
      <c r="BF27" s="7">
        <f t="shared" si="2"/>
        <v>4.104615111963967</v>
      </c>
      <c r="BG27" s="7">
        <f aca="true" t="shared" si="10" ref="BG27:BG44">SIN(BE27-$BI$7)/SIN($BI$10+BE27-$BI$8-$BI$7)*($BF$12+BF27)</f>
        <v>7.651491846416529</v>
      </c>
      <c r="BH27" s="7">
        <f t="shared" si="4"/>
        <v>0.5732602864989035</v>
      </c>
      <c r="BI27" s="7">
        <f t="shared" si="5"/>
        <v>32.84539497884758</v>
      </c>
      <c r="BJ27" s="7">
        <f aca="true" t="shared" si="11" ref="BJ27:BJ44">BG27*SIN($BI$10-$BI$8)</f>
        <v>3.116563125348054</v>
      </c>
      <c r="BK27" s="7">
        <f aca="true" t="shared" si="12" ref="BK27:BK44">BJ27/COS(BH27)</f>
        <v>3.7095885238436224</v>
      </c>
      <c r="CJ27" s="7">
        <f>dd+∑H/CI3</f>
        <v>1.5272862340673874</v>
      </c>
      <c r="CR27" s="7">
        <f>∑V/CI3</f>
        <v>1.252829719458004</v>
      </c>
    </row>
    <row r="28" spans="2:97" ht="18" customHeight="1">
      <c r="B28" s="34" t="s">
        <v>161</v>
      </c>
      <c r="C28" s="47" t="s">
        <v>258</v>
      </c>
      <c r="D28" s="31">
        <f>AS13</f>
        <v>35</v>
      </c>
      <c r="E28" s="59" t="s">
        <v>263</v>
      </c>
      <c r="BB28" s="7">
        <f t="shared" si="0"/>
        <v>63</v>
      </c>
      <c r="BC28" s="7">
        <f t="shared" si="1"/>
        <v>3.1460870823112037</v>
      </c>
      <c r="BD28" s="7">
        <f t="shared" si="8"/>
        <v>63</v>
      </c>
      <c r="BE28" s="10">
        <f t="shared" si="9"/>
        <v>1.0995574287564276</v>
      </c>
      <c r="BF28" s="7">
        <f t="shared" si="2"/>
        <v>3.971143982374135</v>
      </c>
      <c r="BG28" s="7">
        <f t="shared" si="10"/>
        <v>7.723976280997736</v>
      </c>
      <c r="BH28" s="7">
        <f t="shared" si="4"/>
        <v>0.5538954947919827</v>
      </c>
      <c r="BI28" s="7">
        <f t="shared" si="5"/>
        <v>31.73587414289108</v>
      </c>
      <c r="BJ28" s="7">
        <f t="shared" si="11"/>
        <v>3.1460870823112037</v>
      </c>
      <c r="BK28" s="7">
        <f t="shared" si="12"/>
        <v>3.699181556837332</v>
      </c>
      <c r="BQ28" s="7" t="s">
        <v>158</v>
      </c>
      <c r="BR28" s="7">
        <v>100</v>
      </c>
      <c r="CJ28" s="7">
        <f>IF(dd&gt;2*B/3,3*dd-2*B,0)</f>
        <v>0</v>
      </c>
      <c r="CS28" s="7">
        <v>0</v>
      </c>
    </row>
    <row r="29" spans="1:97" ht="18" customHeight="1">
      <c r="A29" s="54" t="s">
        <v>281</v>
      </c>
      <c r="C29" s="10"/>
      <c r="D29" s="31"/>
      <c r="BB29" s="7">
        <f t="shared" si="0"/>
        <v>64</v>
      </c>
      <c r="BC29" s="7">
        <f t="shared" si="1"/>
        <v>3.1726793770630906</v>
      </c>
      <c r="BD29" s="7">
        <f t="shared" si="8"/>
        <v>64</v>
      </c>
      <c r="BE29" s="10">
        <f t="shared" si="9"/>
        <v>1.117010721276371</v>
      </c>
      <c r="BF29" s="7">
        <f t="shared" si="2"/>
        <v>3.8375055887493486</v>
      </c>
      <c r="BG29" s="7">
        <f t="shared" si="10"/>
        <v>7.789263175017841</v>
      </c>
      <c r="BH29" s="7">
        <f t="shared" si="4"/>
        <v>0.5363659476234772</v>
      </c>
      <c r="BI29" s="7">
        <f t="shared" si="5"/>
        <v>30.73150507336021</v>
      </c>
      <c r="BJ29" s="7">
        <f t="shared" si="11"/>
        <v>3.1726793770630906</v>
      </c>
      <c r="BK29" s="7">
        <f t="shared" si="12"/>
        <v>3.6910015122131408</v>
      </c>
      <c r="BQ29" s="7" t="s">
        <v>159</v>
      </c>
      <c r="BR29" s="34" t="s">
        <v>35</v>
      </c>
      <c r="BS29" s="34" t="s">
        <v>221</v>
      </c>
      <c r="BT29" s="10"/>
      <c r="BU29" s="10"/>
      <c r="BV29" s="10"/>
      <c r="BW29" s="10"/>
      <c r="CH29" s="15"/>
      <c r="CJ29" s="7">
        <f>CJ28</f>
        <v>0</v>
      </c>
      <c r="CS29" s="7">
        <f>-F249/CI4</f>
        <v>-0.5843869311021771</v>
      </c>
    </row>
    <row r="30" spans="2:97" ht="18" customHeight="1">
      <c r="B30" s="34" t="s">
        <v>85</v>
      </c>
      <c r="C30" s="10"/>
      <c r="D30" s="31" t="str">
        <f>AW10</f>
        <v>粗・段切り</v>
      </c>
      <c r="BB30" s="7">
        <f t="shared" si="0"/>
        <v>65</v>
      </c>
      <c r="BC30" s="7">
        <f t="shared" si="1"/>
        <v>3.196466302183212</v>
      </c>
      <c r="BD30" s="7">
        <f t="shared" si="8"/>
        <v>65</v>
      </c>
      <c r="BE30" s="10">
        <f t="shared" si="9"/>
        <v>1.1344640137963142</v>
      </c>
      <c r="BF30" s="7">
        <f t="shared" si="2"/>
        <v>3.7036180046371796</v>
      </c>
      <c r="BG30" s="7">
        <f t="shared" si="10"/>
        <v>7.847662590106731</v>
      </c>
      <c r="BH30" s="7">
        <f t="shared" si="4"/>
        <v>0.5206240035378217</v>
      </c>
      <c r="BI30" s="7">
        <f t="shared" si="5"/>
        <v>29.829558115921223</v>
      </c>
      <c r="BJ30" s="7">
        <f t="shared" si="11"/>
        <v>3.196466302183212</v>
      </c>
      <c r="BK30" s="7">
        <f t="shared" si="12"/>
        <v>3.6846493409587695</v>
      </c>
      <c r="BQ30" s="7">
        <v>0</v>
      </c>
      <c r="BR30" s="7">
        <v>0</v>
      </c>
      <c r="CH30" s="15"/>
      <c r="CJ30" s="7">
        <f>IF(dd&lt;B/3,3*dd,B)</f>
        <v>1.65</v>
      </c>
      <c r="CS30" s="7">
        <f>-F250/CI4</f>
        <v>-2.452776025159651</v>
      </c>
    </row>
    <row r="31" spans="2:97" ht="18" customHeight="1">
      <c r="B31" s="34" t="s">
        <v>224</v>
      </c>
      <c r="C31" s="47" t="s">
        <v>104</v>
      </c>
      <c r="D31" s="31">
        <f>AW11</f>
        <v>35</v>
      </c>
      <c r="E31" s="59" t="s">
        <v>263</v>
      </c>
      <c r="BB31" s="7">
        <f t="shared" si="0"/>
        <v>66</v>
      </c>
      <c r="BC31" s="7">
        <f t="shared" si="1"/>
        <v>3.2175617809978436</v>
      </c>
      <c r="BD31" s="7">
        <f t="shared" si="8"/>
        <v>66</v>
      </c>
      <c r="BE31" s="10">
        <f t="shared" si="9"/>
        <v>1.1519173063162575</v>
      </c>
      <c r="BF31" s="7">
        <f t="shared" si="2"/>
        <v>3.5693986933239112</v>
      </c>
      <c r="BG31" s="7">
        <f t="shared" si="10"/>
        <v>7.899454220070389</v>
      </c>
      <c r="BH31" s="7">
        <f t="shared" si="4"/>
        <v>0.5066207869761662</v>
      </c>
      <c r="BI31" s="7">
        <f t="shared" si="5"/>
        <v>29.027232907330667</v>
      </c>
      <c r="BJ31" s="7">
        <f t="shared" si="11"/>
        <v>3.2175617809978436</v>
      </c>
      <c r="BK31" s="7">
        <f t="shared" si="12"/>
        <v>3.6797822613214195</v>
      </c>
      <c r="BQ31" s="7">
        <v>0</v>
      </c>
      <c r="BR31" s="7">
        <f>D199/BR28</f>
        <v>0.6645350578781265</v>
      </c>
      <c r="CJ31" s="7">
        <f>CJ30</f>
        <v>1.65</v>
      </c>
      <c r="CS31" s="7">
        <v>0</v>
      </c>
    </row>
    <row r="32" spans="1:88" ht="18" customHeight="1">
      <c r="A32" s="54" t="s">
        <v>282</v>
      </c>
      <c r="C32" s="7" t="str">
        <f>AN10</f>
        <v>改良試行くさび法</v>
      </c>
      <c r="D32" s="11"/>
      <c r="BB32" s="7">
        <f t="shared" si="0"/>
        <v>67</v>
      </c>
      <c r="BC32" s="7">
        <f t="shared" si="1"/>
        <v>3.236068343314652</v>
      </c>
      <c r="BD32" s="7">
        <f>BD31+1</f>
        <v>67</v>
      </c>
      <c r="BE32" s="10">
        <f>BD32*PI()/180</f>
        <v>1.1693705988362006</v>
      </c>
      <c r="BF32" s="7">
        <f t="shared" si="2"/>
        <v>3.434764303060083</v>
      </c>
      <c r="BG32" s="7">
        <f t="shared" si="10"/>
        <v>7.944889786422489</v>
      </c>
      <c r="BH32" s="7">
        <f t="shared" si="4"/>
        <v>0.49430764620210144</v>
      </c>
      <c r="BI32" s="7">
        <f t="shared" si="5"/>
        <v>28.321741908426308</v>
      </c>
      <c r="BJ32" s="7">
        <f t="shared" si="11"/>
        <v>3.236068343314652</v>
      </c>
      <c r="BK32" s="7">
        <f t="shared" si="12"/>
        <v>3.676108079191208</v>
      </c>
      <c r="BQ32" s="7">
        <f>-E199*COS(δ1)/BR28</f>
        <v>-0.24366706166248683</v>
      </c>
      <c r="BR32" s="7">
        <f>BR31-E199*SIN(δ1)/BR28</f>
        <v>0.5463548001469463</v>
      </c>
    </row>
    <row r="33" spans="1:70" ht="18" customHeight="1">
      <c r="A33" s="54" t="s">
        <v>283</v>
      </c>
      <c r="D33" s="11"/>
      <c r="BB33" s="7">
        <f t="shared" si="0"/>
        <v>68</v>
      </c>
      <c r="BC33" s="7">
        <f t="shared" si="1"/>
        <v>3.252077984789357</v>
      </c>
      <c r="BD33" s="7">
        <f aca="true" t="shared" si="13" ref="BD33:BD44">BD32+1</f>
        <v>68</v>
      </c>
      <c r="BE33" s="10">
        <f t="shared" si="9"/>
        <v>1.1868238913561442</v>
      </c>
      <c r="BF33" s="7">
        <f t="shared" si="2"/>
        <v>3.2996304580164932</v>
      </c>
      <c r="BG33" s="7">
        <f t="shared" si="10"/>
        <v>7.984195148220375</v>
      </c>
      <c r="BH33" s="7">
        <f t="shared" si="4"/>
        <v>0.4836373070728148</v>
      </c>
      <c r="BI33" s="7">
        <f t="shared" si="5"/>
        <v>27.710376510344886</v>
      </c>
      <c r="BJ33" s="7">
        <f t="shared" si="11"/>
        <v>3.252077984789357</v>
      </c>
      <c r="BK33" s="7">
        <f t="shared" si="12"/>
        <v>3.67338004993037</v>
      </c>
      <c r="BQ33" s="7">
        <v>0</v>
      </c>
      <c r="BR33" s="7">
        <v>0</v>
      </c>
    </row>
    <row r="34" spans="2:71" ht="18" customHeight="1">
      <c r="B34" s="34" t="s">
        <v>162</v>
      </c>
      <c r="C34" s="9" t="s">
        <v>225</v>
      </c>
      <c r="D34" s="31">
        <f>'入力'!D18</f>
        <v>1800</v>
      </c>
      <c r="E34" s="7" t="s">
        <v>226</v>
      </c>
      <c r="BB34" s="7">
        <f t="shared" si="0"/>
        <v>69</v>
      </c>
      <c r="BC34" s="7">
        <f t="shared" si="1"/>
        <v>3.2656729230797423</v>
      </c>
      <c r="BD34" s="7">
        <f t="shared" si="13"/>
        <v>69</v>
      </c>
      <c r="BE34" s="10">
        <f t="shared" si="9"/>
        <v>1.2042771838760873</v>
      </c>
      <c r="BF34" s="7">
        <f t="shared" si="2"/>
        <v>3.1639115438454644</v>
      </c>
      <c r="BG34" s="7">
        <f t="shared" si="10"/>
        <v>8.017572158503073</v>
      </c>
      <c r="BH34" s="7">
        <f t="shared" si="4"/>
        <v>0.474564763691559</v>
      </c>
      <c r="BI34" s="7">
        <f t="shared" si="5"/>
        <v>27.190558065149578</v>
      </c>
      <c r="BJ34" s="7">
        <f t="shared" si="11"/>
        <v>3.2656729230797423</v>
      </c>
      <c r="BK34" s="7">
        <f t="shared" si="12"/>
        <v>3.671392288757783</v>
      </c>
      <c r="BQ34" s="7">
        <v>0</v>
      </c>
      <c r="BS34" s="7">
        <f>BR31</f>
        <v>0.6645350578781265</v>
      </c>
    </row>
    <row r="35" spans="2:71" ht="18" customHeight="1">
      <c r="B35" s="34" t="s">
        <v>163</v>
      </c>
      <c r="C35" s="86" t="s">
        <v>265</v>
      </c>
      <c r="D35" s="31">
        <f>'入力'!D19</f>
        <v>0.7</v>
      </c>
      <c r="BB35" s="7">
        <f t="shared" si="0"/>
        <v>70</v>
      </c>
      <c r="BC35" s="7">
        <f t="shared" si="1"/>
        <v>3.2769262620483905</v>
      </c>
      <c r="BD35" s="7">
        <f t="shared" si="13"/>
        <v>70</v>
      </c>
      <c r="BE35" s="10">
        <f t="shared" si="9"/>
        <v>1.2217304763960306</v>
      </c>
      <c r="BF35" s="7">
        <f t="shared" si="2"/>
        <v>3.0275204866730676</v>
      </c>
      <c r="BG35" s="7">
        <f t="shared" si="10"/>
        <v>8.045200294979198</v>
      </c>
      <c r="BH35" s="7">
        <f t="shared" si="4"/>
        <v>0.4670479459982678</v>
      </c>
      <c r="BI35" s="7">
        <f t="shared" si="5"/>
        <v>26.759876135954734</v>
      </c>
      <c r="BJ35" s="7">
        <f t="shared" si="11"/>
        <v>3.2769262620483905</v>
      </c>
      <c r="BK35" s="7">
        <f t="shared" si="12"/>
        <v>3.6699757213302577</v>
      </c>
      <c r="BQ35" s="7">
        <v>0</v>
      </c>
      <c r="BS35" s="7">
        <f>BS34+F199/BR28</f>
        <v>1.97009509868193</v>
      </c>
    </row>
    <row r="36" spans="4:71" ht="18" customHeight="1">
      <c r="D36" s="29"/>
      <c r="BB36" s="7">
        <f t="shared" si="0"/>
        <v>71</v>
      </c>
      <c r="BC36" s="7">
        <f t="shared" si="1"/>
        <v>3.2859025736552185</v>
      </c>
      <c r="BD36" s="7">
        <f t="shared" si="13"/>
        <v>71</v>
      </c>
      <c r="BE36" s="10">
        <f t="shared" si="9"/>
        <v>1.239183768915974</v>
      </c>
      <c r="BF36" s="7">
        <f t="shared" si="2"/>
        <v>2.890368524287961</v>
      </c>
      <c r="BG36" s="7">
        <f t="shared" si="10"/>
        <v>8.067238088634626</v>
      </c>
      <c r="BH36" s="7">
        <f t="shared" si="4"/>
        <v>0.4610482012131012</v>
      </c>
      <c r="BI36" s="7">
        <f t="shared" si="5"/>
        <v>26.41611608160906</v>
      </c>
      <c r="BJ36" s="7">
        <f t="shared" si="11"/>
        <v>3.2859025736552185</v>
      </c>
      <c r="BK36" s="7">
        <f t="shared" si="12"/>
        <v>3.668994555473118</v>
      </c>
      <c r="BQ36" s="7">
        <f>BQ35-F228*COS(α+δ2)/BR28</f>
        <v>-0.4109448643092565</v>
      </c>
      <c r="BS36" s="7">
        <f>BS35-G199*SIN(α+δ2)/BR28</f>
        <v>1.6248730516547014</v>
      </c>
    </row>
    <row r="37" spans="1:71" ht="18" customHeight="1">
      <c r="A37" s="54" t="s">
        <v>284</v>
      </c>
      <c r="D37" s="29"/>
      <c r="BB37" s="7">
        <f t="shared" si="0"/>
        <v>72</v>
      </c>
      <c r="BC37" s="7">
        <f t="shared" si="1"/>
        <v>3.292658405787912</v>
      </c>
      <c r="BD37" s="7">
        <f t="shared" si="13"/>
        <v>72</v>
      </c>
      <c r="BE37" s="10">
        <f t="shared" si="9"/>
        <v>1.2566370614359172</v>
      </c>
      <c r="BF37" s="7">
        <f t="shared" si="2"/>
        <v>2.7523649682200846</v>
      </c>
      <c r="BG37" s="7">
        <f t="shared" si="10"/>
        <v>8.083824370509886</v>
      </c>
      <c r="BH37" s="7">
        <f t="shared" si="4"/>
        <v>0.45653062172169206</v>
      </c>
      <c r="BI37" s="7">
        <f t="shared" si="5"/>
        <v>26.15727784313646</v>
      </c>
      <c r="BJ37" s="7">
        <f t="shared" si="11"/>
        <v>3.292658405787912</v>
      </c>
      <c r="BK37" s="7">
        <f t="shared" si="12"/>
        <v>3.668343248262329</v>
      </c>
      <c r="BQ37" s="7">
        <f>BQ32</f>
        <v>-0.24366706166248683</v>
      </c>
      <c r="BS37" s="7">
        <f>BR32</f>
        <v>0.5463548001469463</v>
      </c>
    </row>
    <row r="38" spans="2:63" ht="18" customHeight="1">
      <c r="B38" s="34" t="s">
        <v>227</v>
      </c>
      <c r="C38" s="47" t="s">
        <v>105</v>
      </c>
      <c r="D38" s="29">
        <v>18</v>
      </c>
      <c r="E38" s="7" t="s">
        <v>228</v>
      </c>
      <c r="BB38" s="7">
        <f t="shared" si="0"/>
        <v>73</v>
      </c>
      <c r="BC38" s="7">
        <f t="shared" si="1"/>
        <v>3.2972427230743113</v>
      </c>
      <c r="BD38" s="7">
        <f t="shared" si="13"/>
        <v>73</v>
      </c>
      <c r="BE38" s="10">
        <f t="shared" si="9"/>
        <v>1.2740903539558606</v>
      </c>
      <c r="BF38" s="7">
        <f t="shared" si="2"/>
        <v>2.613416955317287</v>
      </c>
      <c r="BG38" s="7">
        <f t="shared" si="10"/>
        <v>8.095079353941147</v>
      </c>
      <c r="BH38" s="7">
        <f t="shared" si="4"/>
        <v>0.45346424716408074</v>
      </c>
      <c r="BI38" s="7">
        <f t="shared" si="5"/>
        <v>25.981587522579034</v>
      </c>
      <c r="BJ38" s="7">
        <f t="shared" si="11"/>
        <v>3.2972427230743113</v>
      </c>
      <c r="BK38" s="7">
        <f t="shared" si="12"/>
        <v>3.667943938999854</v>
      </c>
    </row>
    <row r="39" spans="2:63" ht="18" customHeight="1">
      <c r="B39" s="34" t="s">
        <v>44</v>
      </c>
      <c r="C39" s="47" t="s">
        <v>106</v>
      </c>
      <c r="D39" s="29">
        <v>23</v>
      </c>
      <c r="E39" s="7" t="s">
        <v>223</v>
      </c>
      <c r="BB39" s="7">
        <f t="shared" si="0"/>
        <v>74</v>
      </c>
      <c r="BC39" s="7">
        <f t="shared" si="1"/>
        <v>3.2996972866739345</v>
      </c>
      <c r="BD39" s="7">
        <f t="shared" si="13"/>
        <v>74</v>
      </c>
      <c r="BE39" s="10">
        <f t="shared" si="9"/>
        <v>1.2915436464758039</v>
      </c>
      <c r="BF39" s="7">
        <f t="shared" si="2"/>
        <v>2.473429187328326</v>
      </c>
      <c r="BG39" s="7">
        <f t="shared" si="10"/>
        <v>8.101105566988549</v>
      </c>
      <c r="BH39" s="7">
        <f t="shared" si="4"/>
        <v>0.4518221636084591</v>
      </c>
      <c r="BI39" s="7">
        <f t="shared" si="5"/>
        <v>25.887503065234082</v>
      </c>
      <c r="BJ39" s="7">
        <f t="shared" si="11"/>
        <v>3.2996972866739345</v>
      </c>
      <c r="BK39" s="7">
        <f t="shared" si="12"/>
        <v>3.6677443172751567</v>
      </c>
    </row>
    <row r="40" spans="2:63" ht="18" customHeight="1">
      <c r="B40" s="34"/>
      <c r="C40" s="47"/>
      <c r="BB40" s="7">
        <f t="shared" si="0"/>
        <v>75</v>
      </c>
      <c r="BC40" s="7">
        <f t="shared" si="1"/>
        <v>3.300056978129468</v>
      </c>
      <c r="BD40" s="7">
        <f t="shared" si="13"/>
        <v>75</v>
      </c>
      <c r="BE40" s="10">
        <f t="shared" si="9"/>
        <v>1.3089969389957472</v>
      </c>
      <c r="BF40" s="7">
        <f t="shared" si="2"/>
        <v>2.3323036568853475</v>
      </c>
      <c r="BG40" s="7">
        <f t="shared" si="10"/>
        <v>8.101988647525843</v>
      </c>
      <c r="BH40" s="7">
        <f t="shared" si="4"/>
        <v>0.45158151802554136</v>
      </c>
      <c r="BI40" s="7">
        <f t="shared" si="5"/>
        <v>25.87371508897443</v>
      </c>
      <c r="BJ40" s="7">
        <f t="shared" si="11"/>
        <v>3.300056978129468</v>
      </c>
      <c r="BK40" s="7">
        <f t="shared" si="12"/>
        <v>3.667715895598562</v>
      </c>
    </row>
    <row r="41" spans="2:63" ht="18" customHeight="1">
      <c r="B41" s="34"/>
      <c r="C41" s="47"/>
      <c r="BB41" s="7">
        <f t="shared" si="0"/>
        <v>76</v>
      </c>
      <c r="BC41" s="7">
        <f t="shared" si="1"/>
        <v>3.298350071550793</v>
      </c>
      <c r="BD41" s="7">
        <f t="shared" si="13"/>
        <v>76</v>
      </c>
      <c r="BE41" s="10">
        <f t="shared" si="9"/>
        <v>1.3264502315156903</v>
      </c>
      <c r="BF41" s="7">
        <f t="shared" si="2"/>
        <v>2.1899393581461157</v>
      </c>
      <c r="BG41" s="7">
        <f t="shared" si="10"/>
        <v>8.097798011480931</v>
      </c>
      <c r="BH41" s="7">
        <f t="shared" si="4"/>
        <v>0.45272346197410573</v>
      </c>
      <c r="BI41" s="7">
        <f t="shared" si="5"/>
        <v>25.939143657667675</v>
      </c>
      <c r="BJ41" s="7">
        <f t="shared" si="11"/>
        <v>3.298350071550793</v>
      </c>
      <c r="BK41" s="7">
        <f t="shared" si="12"/>
        <v>3.667852657471932</v>
      </c>
    </row>
    <row r="42" spans="1:63" ht="18" customHeight="1">
      <c r="A42" s="54" t="s">
        <v>285</v>
      </c>
      <c r="BB42" s="7">
        <f t="shared" si="0"/>
        <v>77</v>
      </c>
      <c r="BC42" s="7">
        <f t="shared" si="1"/>
        <v>3.2945984576850638</v>
      </c>
      <c r="BD42" s="7">
        <f t="shared" si="13"/>
        <v>77</v>
      </c>
      <c r="BE42" s="10">
        <f t="shared" si="9"/>
        <v>1.3439035240356338</v>
      </c>
      <c r="BF42" s="7">
        <f t="shared" si="2"/>
        <v>2.0462319802039795</v>
      </c>
      <c r="BG42" s="7">
        <f t="shared" si="10"/>
        <v>8.0885874029516</v>
      </c>
      <c r="BH42" s="7">
        <f t="shared" si="4"/>
        <v>0.4552330345244112</v>
      </c>
      <c r="BI42" s="7">
        <f t="shared" si="5"/>
        <v>26.08293157318206</v>
      </c>
      <c r="BJ42" s="7">
        <f t="shared" si="11"/>
        <v>3.2945984576850638</v>
      </c>
      <c r="BK42" s="7">
        <f t="shared" si="12"/>
        <v>3.6681700537831445</v>
      </c>
    </row>
    <row r="43" spans="54:63" ht="18" customHeight="1">
      <c r="BB43" s="7">
        <f t="shared" si="0"/>
        <v>78</v>
      </c>
      <c r="BC43" s="7">
        <f t="shared" si="1"/>
        <v>3.2888178227800626</v>
      </c>
      <c r="BD43" s="7">
        <f t="shared" si="13"/>
        <v>78</v>
      </c>
      <c r="BE43" s="10">
        <f t="shared" si="9"/>
        <v>1.361356816555577</v>
      </c>
      <c r="BF43" s="7">
        <f t="shared" si="2"/>
        <v>1.9010735811994102</v>
      </c>
      <c r="BG43" s="7">
        <f t="shared" si="10"/>
        <v>8.074395333333953</v>
      </c>
      <c r="BH43" s="7">
        <f t="shared" si="4"/>
        <v>0.45909899099496193</v>
      </c>
      <c r="BI43" s="7">
        <f t="shared" si="5"/>
        <v>26.304434562725906</v>
      </c>
      <c r="BJ43" s="7">
        <f t="shared" si="11"/>
        <v>3.2888178227800626</v>
      </c>
      <c r="BK43" s="7">
        <f t="shared" si="12"/>
        <v>3.668704322720878</v>
      </c>
    </row>
    <row r="44" spans="1:63" ht="18" customHeight="1">
      <c r="A44" s="54" t="s">
        <v>286</v>
      </c>
      <c r="B44" s="34"/>
      <c r="BB44" s="7">
        <f t="shared" si="0"/>
        <v>79</v>
      </c>
      <c r="BC44" s="7">
        <f t="shared" si="1"/>
        <v>3.2810177845606567</v>
      </c>
      <c r="BD44" s="7">
        <f t="shared" si="13"/>
        <v>79</v>
      </c>
      <c r="BE44" s="10">
        <f t="shared" si="9"/>
        <v>1.3788101090755203</v>
      </c>
      <c r="BF44" s="7">
        <f t="shared" si="2"/>
        <v>1.754352240868082</v>
      </c>
      <c r="BG44" s="7">
        <f t="shared" si="10"/>
        <v>8.055245415158991</v>
      </c>
      <c r="BH44" s="7">
        <f t="shared" si="4"/>
        <v>0.46431358104408316</v>
      </c>
      <c r="BI44" s="7">
        <f t="shared" si="5"/>
        <v>26.60320856443147</v>
      </c>
      <c r="BJ44" s="7">
        <f t="shared" si="11"/>
        <v>3.2810177845606567</v>
      </c>
      <c r="BK44" s="7">
        <f t="shared" si="12"/>
        <v>3.669512110729183</v>
      </c>
    </row>
    <row r="45" spans="54:63" ht="18" customHeight="1">
      <c r="BB45" s="7">
        <f t="shared" si="0"/>
        <v>80</v>
      </c>
      <c r="BC45" s="7">
        <f aca="true" t="shared" si="14" ref="BC45:BC53">BJ45</f>
        <v>3.2712019870971676</v>
      </c>
      <c r="BD45" s="7">
        <f aca="true" t="shared" si="15" ref="BD45:BD53">BD44+1</f>
        <v>80</v>
      </c>
      <c r="BE45" s="10">
        <f t="shared" si="9"/>
        <v>1.3962634015954636</v>
      </c>
      <c r="BF45" s="7">
        <f t="shared" si="2"/>
        <v>1.605951689034074</v>
      </c>
      <c r="BG45" s="7">
        <f aca="true" t="shared" si="16" ref="BG45:BG53">SIN(BE45-$BI$7)/SIN($BI$10+BE45-$BI$8-$BI$7)*($BF$12+BF45)</f>
        <v>8.031146595004474</v>
      </c>
      <c r="BH45" s="7">
        <f t="shared" si="4"/>
        <v>0.4708722770174075</v>
      </c>
      <c r="BI45" s="7">
        <f t="shared" si="5"/>
        <v>26.978994162812402</v>
      </c>
      <c r="BJ45" s="7">
        <f aca="true" t="shared" si="17" ref="BJ45:BJ53">BG45*SIN($BI$10-$BI$8)</f>
        <v>3.2712019870971676</v>
      </c>
      <c r="BK45" s="7">
        <f aca="true" t="shared" si="18" ref="BK45:BK53">BJ45/COS(BH45)</f>
        <v>3.670670374139809</v>
      </c>
    </row>
    <row r="46" spans="2:63" ht="18" customHeight="1">
      <c r="B46" s="6" t="s">
        <v>164</v>
      </c>
      <c r="BB46" s="7">
        <f t="shared" si="0"/>
        <v>81</v>
      </c>
      <c r="BC46" s="7">
        <f t="shared" si="14"/>
        <v>3.259368155838985</v>
      </c>
      <c r="BD46" s="7">
        <f t="shared" si="15"/>
        <v>81</v>
      </c>
      <c r="BE46" s="10">
        <f t="shared" si="9"/>
        <v>1.413716694115407</v>
      </c>
      <c r="BF46" s="7">
        <f t="shared" si="2"/>
        <v>1.4557509072984722</v>
      </c>
      <c r="BG46" s="7">
        <f t="shared" si="16"/>
        <v>8.002093288608268</v>
      </c>
      <c r="BH46" s="7">
        <f t="shared" si="4"/>
        <v>0.47877345118630277</v>
      </c>
      <c r="BI46" s="7">
        <f t="shared" si="5"/>
        <v>27.43169809588789</v>
      </c>
      <c r="BJ46" s="7">
        <f t="shared" si="17"/>
        <v>3.259368155838985</v>
      </c>
      <c r="BK46" s="7">
        <f t="shared" si="18"/>
        <v>3.6722765428612765</v>
      </c>
    </row>
    <row r="47" spans="2:92" ht="18" customHeight="1">
      <c r="B47" s="7"/>
      <c r="BB47" s="7">
        <f t="shared" si="0"/>
        <v>82</v>
      </c>
      <c r="BC47" s="7">
        <f t="shared" si="14"/>
        <v>3.2455081136067903</v>
      </c>
      <c r="BD47" s="7">
        <f t="shared" si="15"/>
        <v>82</v>
      </c>
      <c r="BE47" s="10">
        <f t="shared" si="9"/>
        <v>1.43116998663535</v>
      </c>
      <c r="BF47" s="7">
        <f t="shared" si="2"/>
        <v>1.3036237008797702</v>
      </c>
      <c r="BG47" s="7">
        <f t="shared" si="16"/>
        <v>7.968065420130943</v>
      </c>
      <c r="BH47" s="7">
        <f t="shared" si="4"/>
        <v>0.48801799861531103</v>
      </c>
      <c r="BI47" s="7">
        <f t="shared" si="5"/>
        <v>27.961371647078575</v>
      </c>
      <c r="BJ47" s="7">
        <f t="shared" si="17"/>
        <v>3.2455081136067903</v>
      </c>
      <c r="BK47" s="7">
        <f t="shared" si="18"/>
        <v>3.67444892872659</v>
      </c>
      <c r="CI47" s="7" t="s">
        <v>7</v>
      </c>
      <c r="CJ47" s="7">
        <f>(d*TAN(ε)+H*(1-TAN(α)*TAN(β)))/(TAN(ε)-TAN(β))</f>
        <v>5.25</v>
      </c>
      <c r="CK47" s="7" t="s">
        <v>4</v>
      </c>
      <c r="CL47" s="7" t="s">
        <v>8</v>
      </c>
      <c r="CM47" s="7">
        <f>(X-d)*TAN(ε)</f>
        <v>7.083333333333334</v>
      </c>
      <c r="CN47" s="7" t="s">
        <v>4</v>
      </c>
    </row>
    <row r="48" spans="2:91" ht="18" customHeight="1">
      <c r="B48" s="7"/>
      <c r="BB48" s="7">
        <f t="shared" si="0"/>
        <v>83</v>
      </c>
      <c r="BC48" s="7">
        <f t="shared" si="14"/>
        <v>3.229607757873071</v>
      </c>
      <c r="BD48" s="7">
        <f t="shared" si="15"/>
        <v>83</v>
      </c>
      <c r="BE48" s="10">
        <f t="shared" si="9"/>
        <v>1.4486232791552935</v>
      </c>
      <c r="BF48" s="7">
        <f t="shared" si="2"/>
        <v>1.1494382372273935</v>
      </c>
      <c r="BG48" s="7">
        <f t="shared" si="16"/>
        <v>7.92902836637703</v>
      </c>
      <c r="BH48" s="7">
        <f t="shared" si="4"/>
        <v>0.4986089008849322</v>
      </c>
      <c r="BI48" s="7">
        <f t="shared" si="5"/>
        <v>28.568185648363396</v>
      </c>
      <c r="BJ48" s="7">
        <f t="shared" si="17"/>
        <v>3.229607757873071</v>
      </c>
      <c r="BK48" s="7">
        <f t="shared" si="18"/>
        <v>3.677327361690988</v>
      </c>
      <c r="CI48" s="6" t="s">
        <v>25</v>
      </c>
      <c r="CJ48" s="7">
        <f>ATAN(Y/X)</f>
        <v>0.9329662347114431</v>
      </c>
      <c r="CK48" s="7" t="s">
        <v>5</v>
      </c>
      <c r="CL48" s="7">
        <f>CJ48*180/PI()</f>
        <v>53.455027677177455</v>
      </c>
      <c r="CM48" s="7" t="s">
        <v>6</v>
      </c>
    </row>
    <row r="49" spans="2:91" ht="18" customHeight="1">
      <c r="B49" s="7"/>
      <c r="BB49" s="7">
        <f t="shared" si="0"/>
        <v>84</v>
      </c>
      <c r="BC49" s="7">
        <f t="shared" si="14"/>
        <v>3.211646999204468</v>
      </c>
      <c r="BD49" s="7">
        <f t="shared" si="15"/>
        <v>84</v>
      </c>
      <c r="BE49" s="10">
        <f t="shared" si="9"/>
        <v>1.4660765716752369</v>
      </c>
      <c r="BF49" s="7">
        <f t="shared" si="2"/>
        <v>0.9930565476478218</v>
      </c>
      <c r="BG49" s="7">
        <f t="shared" si="16"/>
        <v>7.884932805664482</v>
      </c>
      <c r="BH49" s="7">
        <f t="shared" si="4"/>
        <v>0.5105507248123823</v>
      </c>
      <c r="BI49" s="7">
        <f t="shared" si="5"/>
        <v>29.252401759094624</v>
      </c>
      <c r="BJ49" s="7">
        <f t="shared" si="17"/>
        <v>3.211646999204468</v>
      </c>
      <c r="BK49" s="7">
        <f t="shared" si="18"/>
        <v>3.681074036933552</v>
      </c>
      <c r="CI49" s="7" t="s">
        <v>9</v>
      </c>
      <c r="CJ49" s="7">
        <f>COS(φ+α)^2/(COS(α)^2*COS(-α+δ2)*(1+SQRT(SIN(φ+δ2)*SIN(φ-β)/COS(-α+δ2)/COS(α+β)))^2)</f>
        <v>0.22903156116118517</v>
      </c>
      <c r="CL49" s="7" t="s">
        <v>10</v>
      </c>
      <c r="CM49" s="7">
        <f>1/2*γ*H^2*CJ49</f>
        <v>57.257890290296295</v>
      </c>
    </row>
    <row r="50" spans="2:63" ht="18" customHeight="1">
      <c r="B50" s="7"/>
      <c r="BB50" s="7">
        <f t="shared" si="0"/>
        <v>85</v>
      </c>
      <c r="BC50" s="7">
        <f t="shared" si="14"/>
        <v>3.191599660282393</v>
      </c>
      <c r="BD50" s="7">
        <f t="shared" si="15"/>
        <v>85</v>
      </c>
      <c r="BE50" s="10">
        <f t="shared" si="9"/>
        <v>1.4835298641951802</v>
      </c>
      <c r="BF50" s="7">
        <f t="shared" si="2"/>
        <v>0.8343339877468897</v>
      </c>
      <c r="BG50" s="7">
        <f t="shared" si="16"/>
        <v>7.835714469909619</v>
      </c>
      <c r="BH50" s="7">
        <f t="shared" si="4"/>
        <v>0.5238490497307248</v>
      </c>
      <c r="BI50" s="7">
        <f t="shared" si="5"/>
        <v>30.014339651509303</v>
      </c>
      <c r="BJ50" s="7">
        <f t="shared" si="17"/>
        <v>3.191599660282393</v>
      </c>
      <c r="BK50" s="7">
        <f t="shared" si="18"/>
        <v>3.6858745549814573</v>
      </c>
    </row>
    <row r="51" spans="2:97" ht="18" customHeight="1">
      <c r="B51" s="7"/>
      <c r="BB51" s="7">
        <f t="shared" si="0"/>
        <v>86</v>
      </c>
      <c r="BC51" s="7">
        <f t="shared" si="14"/>
        <v>3.1694333344517114</v>
      </c>
      <c r="BD51" s="7">
        <f t="shared" si="15"/>
        <v>86</v>
      </c>
      <c r="BE51" s="10">
        <f t="shared" si="9"/>
        <v>1.5009831567151233</v>
      </c>
      <c r="BF51" s="7">
        <f t="shared" si="2"/>
        <v>0.67311865199418</v>
      </c>
      <c r="BG51" s="7">
        <f t="shared" si="16"/>
        <v>7.78129379734919</v>
      </c>
      <c r="BH51" s="7">
        <f t="shared" si="4"/>
        <v>0.5385098169117444</v>
      </c>
      <c r="BI51" s="7">
        <f t="shared" si="5"/>
        <v>30.854339735405635</v>
      </c>
      <c r="BJ51" s="7">
        <f t="shared" si="17"/>
        <v>3.1694333344517114</v>
      </c>
      <c r="BK51" s="7">
        <f t="shared" si="18"/>
        <v>3.6919391352025124</v>
      </c>
      <c r="CI51" s="6" t="s">
        <v>26</v>
      </c>
      <c r="CJ51" s="6" t="s">
        <v>27</v>
      </c>
      <c r="CK51" s="6" t="s">
        <v>11</v>
      </c>
      <c r="CL51" s="6" t="s">
        <v>12</v>
      </c>
      <c r="CM51" s="7" t="s">
        <v>13</v>
      </c>
      <c r="CN51" s="7" t="s">
        <v>14</v>
      </c>
      <c r="CO51" s="7" t="s">
        <v>15</v>
      </c>
      <c r="CP51" s="7" t="s">
        <v>16</v>
      </c>
      <c r="CQ51" s="7" t="s">
        <v>17</v>
      </c>
      <c r="CR51" s="6" t="s">
        <v>18</v>
      </c>
      <c r="CS51" s="7" t="s">
        <v>19</v>
      </c>
    </row>
    <row r="52" spans="2:97" ht="18" customHeight="1">
      <c r="B52" s="7"/>
      <c r="BB52" s="7">
        <f t="shared" si="0"/>
        <v>87</v>
      </c>
      <c r="BC52" s="7">
        <f t="shared" si="14"/>
        <v>3.145109202262387</v>
      </c>
      <c r="BD52" s="7">
        <f t="shared" si="15"/>
        <v>87</v>
      </c>
      <c r="BE52" s="10">
        <f t="shared" si="9"/>
        <v>1.5184364492350666</v>
      </c>
      <c r="BF52" s="7">
        <f t="shared" si="2"/>
        <v>0.5092507371459302</v>
      </c>
      <c r="BG52" s="7">
        <f t="shared" si="16"/>
        <v>7.721575482130727</v>
      </c>
      <c r="BH52" s="7">
        <f t="shared" si="4"/>
        <v>0.5545385954868701</v>
      </c>
      <c r="BI52" s="7">
        <f t="shared" si="5"/>
        <v>31.77272109851006</v>
      </c>
      <c r="BJ52" s="7">
        <f t="shared" si="17"/>
        <v>3.145109202262387</v>
      </c>
      <c r="BK52" s="7">
        <f t="shared" si="18"/>
        <v>3.699503980401245</v>
      </c>
      <c r="CI52" s="7">
        <f>C199</f>
        <v>47</v>
      </c>
      <c r="CJ52" s="7">
        <f>CI52*PI()/180</f>
        <v>0.8203047484373349</v>
      </c>
      <c r="CK52" s="7">
        <f>SIN(ε)*SIN(CJ52)/SIN(ε-CJ52)*d</f>
        <v>3.007382346514042</v>
      </c>
      <c r="CL52" s="7">
        <f>SIN(ε)*COS(CJ52)/SIN(ε-CJ52)*d</f>
        <v>2.804429407908425</v>
      </c>
      <c r="CM52" s="7">
        <f>IF(CJ52&gt;=ωo,0,Y-(X-CL52)*TAN(β)-CK52)</f>
        <v>2.7173006578795285</v>
      </c>
      <c r="CN52" s="7">
        <f>CL52-H*TAN(α)</f>
        <v>1.304429407908425</v>
      </c>
      <c r="CO52" s="7">
        <f>IF(CJ52&gt;=ωo,0,1/2*γ*CM52^2*COS(ε)*COS(β)/SIN(ε-β))</f>
        <v>66.45350578781265</v>
      </c>
      <c r="CP52" s="7">
        <f>IF(CJ52&gt;=ωo,1/2*γ*H^2*COS(CJ52+α)*COS(α+β)/COS(α)^2/SIN(CJ52-β),γ/2*(2*H*CL52+CN52^2*TAN(β)-H^2*TAN(α)-CK52*CL52))</f>
        <v>130.55600408038032</v>
      </c>
      <c r="CQ52" s="7">
        <f>IF(CJ52&gt;=ωo,0,SIN(ε-φB)/COS(ε-φB-δ1)*CO52)</f>
        <v>27.081397721801277</v>
      </c>
      <c r="CR52" s="7">
        <f>IF(CJ52&gt;=ωo,0,ATAN(CQ52*COS(δ1)/(CP52+CQ52*SIN(δ1))))</f>
        <v>0.16950348683121624</v>
      </c>
      <c r="CS52" s="7">
        <f>SIN(CJ52-φ+CR52)/COS(CJ52-φ-δ2+α)/COS(CR52)*(CP52+CQ52*SIN(δ1))</f>
        <v>53.67065709079993</v>
      </c>
    </row>
    <row r="53" spans="2:63" ht="18" customHeight="1">
      <c r="B53" s="7"/>
      <c r="BB53" s="7">
        <f t="shared" si="0"/>
        <v>88</v>
      </c>
      <c r="BC53" s="7">
        <f t="shared" si="14"/>
        <v>3.1185818039565416</v>
      </c>
      <c r="BD53" s="7">
        <f t="shared" si="15"/>
        <v>88</v>
      </c>
      <c r="BE53" s="10">
        <f t="shared" si="9"/>
        <v>1.53588974175501</v>
      </c>
      <c r="BF53" s="7">
        <f t="shared" si="2"/>
        <v>0.3425618486108089</v>
      </c>
      <c r="BG53" s="7">
        <f t="shared" si="16"/>
        <v>7.656447915744229</v>
      </c>
      <c r="BH53" s="7">
        <f t="shared" si="4"/>
        <v>0.5719397608956328</v>
      </c>
      <c r="BI53" s="7">
        <f t="shared" si="5"/>
        <v>32.7697344350412</v>
      </c>
      <c r="BJ53" s="7">
        <f t="shared" si="17"/>
        <v>3.1185818039565416</v>
      </c>
      <c r="BK53" s="7">
        <f t="shared" si="18"/>
        <v>3.708832766866089</v>
      </c>
    </row>
    <row r="54" spans="2:96" ht="18" customHeight="1">
      <c r="B54" s="7"/>
      <c r="BB54" s="7">
        <f t="shared" si="0"/>
        <v>89</v>
      </c>
      <c r="BC54" s="7">
        <f>BJ54</f>
        <v>3.089798765303458</v>
      </c>
      <c r="BD54" s="7">
        <f>BD53+1</f>
        <v>89</v>
      </c>
      <c r="BE54" s="10">
        <f t="shared" si="9"/>
        <v>1.5533430342749535</v>
      </c>
      <c r="BF54" s="7">
        <f t="shared" si="2"/>
        <v>0.17287424309460078</v>
      </c>
      <c r="BG54" s="7">
        <f>SIN(BE54-$BI$7)/SIN($BI$10+BE54-$BI$8-$BI$7)*($BF$12+BF54)</f>
        <v>7.585782513918118</v>
      </c>
      <c r="BH54" s="7">
        <f t="shared" si="4"/>
        <v>0.590715584648331</v>
      </c>
      <c r="BI54" s="7">
        <f t="shared" si="5"/>
        <v>33.845509892952286</v>
      </c>
      <c r="BJ54" s="7">
        <f>BG54*SIN($BI$10-$BI$8)</f>
        <v>3.089798765303458</v>
      </c>
      <c r="BK54" s="7">
        <f>BJ54/COS(BH54)</f>
        <v>3.7202182301914224</v>
      </c>
      <c r="CG54" s="6" t="s">
        <v>26</v>
      </c>
      <c r="CH54" s="7" t="s">
        <v>19</v>
      </c>
      <c r="CI54" s="6" t="s">
        <v>26</v>
      </c>
      <c r="CJ54" s="6" t="s">
        <v>27</v>
      </c>
      <c r="CK54" s="6" t="s">
        <v>11</v>
      </c>
      <c r="CL54" s="6" t="s">
        <v>12</v>
      </c>
      <c r="CM54" s="7" t="s">
        <v>13</v>
      </c>
      <c r="CN54" s="7" t="s">
        <v>14</v>
      </c>
      <c r="CO54" s="7" t="s">
        <v>15</v>
      </c>
      <c r="CP54" s="7" t="s">
        <v>16</v>
      </c>
      <c r="CQ54" s="7" t="s">
        <v>17</v>
      </c>
      <c r="CR54" s="6" t="s">
        <v>18</v>
      </c>
    </row>
    <row r="55" spans="2:96" ht="18" customHeight="1">
      <c r="B55" s="7"/>
      <c r="BB55" s="7">
        <f t="shared" si="0"/>
        <v>90</v>
      </c>
      <c r="BC55" s="7">
        <f>BJ55</f>
        <v>3.0587004735866326</v>
      </c>
      <c r="BD55" s="7">
        <f>BD54+1</f>
        <v>90</v>
      </c>
      <c r="BE55" s="10">
        <f t="shared" si="9"/>
        <v>1.5707963267948966</v>
      </c>
      <c r="BF55" s="7">
        <f t="shared" si="2"/>
        <v>6.1257422745431E-16</v>
      </c>
      <c r="BG55" s="7">
        <f>SIN(BE55-$BI$7)/SIN($BI$10+BE55-$BI$8-$BI$7)*($BF$12+BF55)</f>
        <v>7.509432921133214</v>
      </c>
      <c r="BH55" s="7">
        <f t="shared" si="4"/>
        <v>0.6108652381980153</v>
      </c>
      <c r="BI55" s="7">
        <f t="shared" si="5"/>
        <v>35</v>
      </c>
      <c r="BJ55" s="7">
        <f>BG55*SIN($BI$10-$BI$8)</f>
        <v>3.0587004735866326</v>
      </c>
      <c r="BK55" s="7">
        <f>BJ55/COS(BH55)</f>
        <v>3.733983812787192</v>
      </c>
      <c r="CG55" s="7">
        <f>CI55</f>
        <v>35</v>
      </c>
      <c r="CH55" s="7">
        <f aca="true" t="shared" si="19" ref="CH55:CH86">SIN(CJ55-φ+CR55)/COS(CJ55-φ-δ2+α)/COS(CR55)*(CP55+CQ55*SIN(δ1))</f>
        <v>50.97926495578223</v>
      </c>
      <c r="CI55" s="7">
        <f>φ*180/PI()</f>
        <v>35</v>
      </c>
      <c r="CJ55" s="7">
        <f>CI55*PI()/180</f>
        <v>0.6108652381980153</v>
      </c>
      <c r="CK55" s="7">
        <f>SIN(ε)*SIN(CJ55)/SIN(ε-CJ55)*d</f>
        <v>1.2075136229983103</v>
      </c>
      <c r="CL55" s="7">
        <f>SIN(ε)*COS(CJ55)/SIN(ε-CJ55)*d</f>
        <v>1.7245081737989862</v>
      </c>
      <c r="CM55" s="7">
        <f>IF(CJ55&gt;=ωo,0,Y-(X-CL55)*TAN(β)-CK55)</f>
        <v>3.9172131402233488</v>
      </c>
      <c r="CN55" s="7">
        <f>CL55-H*TAN(α)</f>
        <v>0.22450817379898624</v>
      </c>
      <c r="CO55" s="7">
        <f>IF(CJ55&gt;=ωo,0,1/2*γ*CM55^2*COS(ε)*COS(β)/SIN(ε-β))</f>
        <v>138.1010290734462</v>
      </c>
      <c r="CP55" s="7">
        <f>IF(CJ55&gt;=ωo,1/2*γ*H^2*COS(CJ55+α)*COS(α+β)/COS(α)^2/SIN(CJ55-β),γ/2*(2*H*CL55+CN55^2*TAN(β)-H^2*TAN(α)-CK55*CL55))</f>
        <v>76.90716802990404</v>
      </c>
      <c r="CQ55" s="7">
        <f>IF(CJ55&gt;=ωo,0,SIN(ε-φB)/COS(ε-φB-δ1)*CO55)</f>
        <v>56.27948217013309</v>
      </c>
      <c r="CR55" s="7">
        <f aca="true" t="shared" si="20" ref="CR55:CR86">IF(CJ55&gt;=ωo,0,ATAN(CQ55*COS(δ1)/(CP55+CQ55*SIN(δ1))))</f>
        <v>0.46289404762325476</v>
      </c>
    </row>
    <row r="56" spans="2:96" ht="18" customHeight="1">
      <c r="B56" s="7"/>
      <c r="BE56" s="10"/>
      <c r="CG56" s="7">
        <f aca="true" t="shared" si="21" ref="CG56:CG119">CI56</f>
        <v>35.5</v>
      </c>
      <c r="CH56" s="7">
        <f t="shared" si="19"/>
        <v>51.14645316049911</v>
      </c>
      <c r="CI56" s="7">
        <f>CI55+0.5</f>
        <v>35.5</v>
      </c>
      <c r="CJ56" s="7">
        <f>CI56*PI()/180</f>
        <v>0.619591884457987</v>
      </c>
      <c r="CK56" s="7">
        <f>SIN(ε)*SIN(CJ56)/SIN(ε-CJ56)*d</f>
        <v>1.2469631856415253</v>
      </c>
      <c r="CL56" s="7">
        <f>SIN(ε)*COS(CJ56)/SIN(ε-CJ56)*d</f>
        <v>1.748177911384915</v>
      </c>
      <c r="CM56" s="7">
        <f aca="true" t="shared" si="22" ref="CM56:CM71">IF(CJ56&gt;=ωo,0,Y-(X-CL56)*TAN(β)-CK56)</f>
        <v>3.890913431794539</v>
      </c>
      <c r="CN56" s="7">
        <f>CL56-H*TAN(α)</f>
        <v>0.24817791138491496</v>
      </c>
      <c r="CO56" s="7">
        <f>IF(CJ56&gt;=ωo,0,1/2*γ*CM56^2*COS(ε)*COS(β)/SIN(ε-β))</f>
        <v>136.25286600347243</v>
      </c>
      <c r="CP56" s="7">
        <f>IF(CJ56&gt;=ωo,1/2*γ*H^2*COS(CJ56+α)*COS(α+β)/COS(α)^2/SIN(CJ56-β),γ/2*(2*H*CL56+CN56^2*TAN(β)-H^2*TAN(α)-CK56*CL56))</f>
        <v>78.36083547344566</v>
      </c>
      <c r="CQ56" s="7">
        <f>IF(CJ56&gt;=ωo,0,SIN(ε-φB)/COS(ε-φB-δ1)*CO56)</f>
        <v>55.52631138464409</v>
      </c>
      <c r="CR56" s="7">
        <f t="shared" si="20"/>
        <v>0.4531777624354897</v>
      </c>
    </row>
    <row r="57" spans="2:96" ht="18" customHeight="1">
      <c r="B57" s="7"/>
      <c r="BE57" s="10"/>
      <c r="CG57" s="7">
        <f t="shared" si="21"/>
        <v>36</v>
      </c>
      <c r="CH57" s="7">
        <f t="shared" si="19"/>
        <v>51.310807918728656</v>
      </c>
      <c r="CI57" s="7">
        <f aca="true" t="shared" si="23" ref="CI57:CI72">CI56+0.5</f>
        <v>36</v>
      </c>
      <c r="CJ57" s="7">
        <f aca="true" t="shared" si="24" ref="CJ57:CJ72">CI57*PI()/180</f>
        <v>0.6283185307179586</v>
      </c>
      <c r="CK57" s="7">
        <f aca="true" t="shared" si="25" ref="CK57:CK72">SIN(ε)*SIN(CJ57)/SIN(ε-CJ57)*d</f>
        <v>1.2880258718455424</v>
      </c>
      <c r="CL57" s="7">
        <f aca="true" t="shared" si="26" ref="CL57:CL72">SIN(ε)*COS(CJ57)/SIN(ε-CJ57)*d</f>
        <v>1.7728155231073255</v>
      </c>
      <c r="CM57" s="7">
        <f t="shared" si="22"/>
        <v>3.863538307658528</v>
      </c>
      <c r="CN57" s="7">
        <f aca="true" t="shared" si="27" ref="CN57:CN72">CL57-H*TAN(α)</f>
        <v>0.2728155231073255</v>
      </c>
      <c r="CO57" s="7">
        <f aca="true" t="shared" si="28" ref="CO57:CO72">IF(CJ57&gt;=ωo,0,1/2*γ*CM57^2*COS(ε)*COS(β)/SIN(ε-β))</f>
        <v>134.3423542927043</v>
      </c>
      <c r="CP57" s="7">
        <f aca="true" t="shared" si="29" ref="CP57:CP72">IF(CJ57&gt;=ωo,1/2*γ*H^2*COS(CJ57+α)*COS(α+β)/COS(α)^2/SIN(CJ57-β),γ/2*(2*H*CL57+CN57^2*TAN(β)-H^2*TAN(α)-CK57*CL57))</f>
        <v>79.86072032217366</v>
      </c>
      <c r="CQ57" s="7">
        <f aca="true" t="shared" si="30" ref="CQ57:CQ72">IF(CJ57&gt;=ωo,0,SIN(ε-φB)/COS(ε-φB-δ1)*CO57)</f>
        <v>54.74773203238726</v>
      </c>
      <c r="CR57" s="7">
        <f t="shared" si="20"/>
        <v>0.44327136996463096</v>
      </c>
    </row>
    <row r="58" spans="2:96" ht="18" customHeight="1">
      <c r="B58" s="7"/>
      <c r="CG58" s="7">
        <f t="shared" si="21"/>
        <v>36.5</v>
      </c>
      <c r="CH58" s="7">
        <f t="shared" si="19"/>
        <v>51.47220388001964</v>
      </c>
      <c r="CI58" s="7">
        <f t="shared" si="23"/>
        <v>36.5</v>
      </c>
      <c r="CJ58" s="7">
        <f t="shared" si="24"/>
        <v>0.6370451769779303</v>
      </c>
      <c r="CK58" s="7">
        <f t="shared" si="25"/>
        <v>1.3308093417249254</v>
      </c>
      <c r="CL58" s="7">
        <f t="shared" si="26"/>
        <v>1.7984856050349551</v>
      </c>
      <c r="CM58" s="7">
        <f t="shared" si="22"/>
        <v>3.835015994405606</v>
      </c>
      <c r="CN58" s="7">
        <f t="shared" si="27"/>
        <v>0.29848560503495514</v>
      </c>
      <c r="CO58" s="7">
        <f t="shared" si="28"/>
        <v>132.36612909612137</v>
      </c>
      <c r="CP58" s="7">
        <f t="shared" si="29"/>
        <v>81.40911081996276</v>
      </c>
      <c r="CQ58" s="7">
        <f t="shared" si="30"/>
        <v>53.94237285829953</v>
      </c>
      <c r="CR58" s="7">
        <f t="shared" si="20"/>
        <v>0.43317022737388206</v>
      </c>
    </row>
    <row r="59" spans="2:96" ht="18" customHeight="1">
      <c r="B59" s="7"/>
      <c r="CG59" s="7">
        <f t="shared" si="21"/>
        <v>37</v>
      </c>
      <c r="CH59" s="7">
        <f t="shared" si="19"/>
        <v>51.6305008686295</v>
      </c>
      <c r="CI59" s="7">
        <f t="shared" si="23"/>
        <v>37</v>
      </c>
      <c r="CJ59" s="7">
        <f t="shared" si="24"/>
        <v>0.6457718232379019</v>
      </c>
      <c r="CK59" s="7">
        <f t="shared" si="25"/>
        <v>1.3754310191925139</v>
      </c>
      <c r="CL59" s="7">
        <f t="shared" si="26"/>
        <v>1.8252586115155083</v>
      </c>
      <c r="CM59" s="7">
        <f t="shared" si="22"/>
        <v>3.805268209427213</v>
      </c>
      <c r="CN59" s="7">
        <f t="shared" si="27"/>
        <v>0.3252586115155083</v>
      </c>
      <c r="CO59" s="7">
        <f t="shared" si="28"/>
        <v>130.3205953110965</v>
      </c>
      <c r="CP59" s="7">
        <f t="shared" si="29"/>
        <v>83.00842783031172</v>
      </c>
      <c r="CQ59" s="7">
        <f t="shared" si="30"/>
        <v>53.10876877181957</v>
      </c>
      <c r="CR59" s="7">
        <f t="shared" si="20"/>
        <v>0.4228696847162349</v>
      </c>
    </row>
    <row r="60" spans="2:96" ht="18" customHeight="1">
      <c r="B60" s="7"/>
      <c r="CG60" s="7">
        <f t="shared" si="21"/>
        <v>37.5</v>
      </c>
      <c r="CH60" s="7">
        <f t="shared" si="19"/>
        <v>51.785542212633636</v>
      </c>
      <c r="CI60" s="7">
        <f t="shared" si="23"/>
        <v>37.5</v>
      </c>
      <c r="CJ60" s="7">
        <f t="shared" si="24"/>
        <v>0.6544984694978736</v>
      </c>
      <c r="CK60" s="7">
        <f t="shared" si="25"/>
        <v>1.4220192254436879</v>
      </c>
      <c r="CL60" s="7">
        <f t="shared" si="26"/>
        <v>1.8532115352662126</v>
      </c>
      <c r="CM60" s="7">
        <f t="shared" si="22"/>
        <v>3.774209405259764</v>
      </c>
      <c r="CN60" s="7">
        <f t="shared" si="27"/>
        <v>0.35321153526621263</v>
      </c>
      <c r="CO60" s="7">
        <f t="shared" si="28"/>
        <v>128.20190971276133</v>
      </c>
      <c r="CP60" s="7">
        <f t="shared" si="29"/>
        <v>84.66123136613507</v>
      </c>
      <c r="CQ60" s="7">
        <f t="shared" si="30"/>
        <v>52.24535356662072</v>
      </c>
      <c r="CR60" s="7">
        <f t="shared" si="20"/>
        <v>0.41236510469315957</v>
      </c>
    </row>
    <row r="61" spans="2:96" ht="18" customHeight="1">
      <c r="B61" s="7"/>
      <c r="CG61" s="7">
        <f t="shared" si="21"/>
        <v>38</v>
      </c>
      <c r="CH61" s="7">
        <f t="shared" si="19"/>
        <v>51.93715283128096</v>
      </c>
      <c r="CI61" s="7">
        <f t="shared" si="23"/>
        <v>38</v>
      </c>
      <c r="CJ61" s="7">
        <f t="shared" si="24"/>
        <v>0.6632251157578452</v>
      </c>
      <c r="CK61" s="7">
        <f t="shared" si="25"/>
        <v>1.4707144740859697</v>
      </c>
      <c r="CL61" s="7">
        <f t="shared" si="26"/>
        <v>1.8824286844515818</v>
      </c>
      <c r="CM61" s="7">
        <f t="shared" si="22"/>
        <v>3.741745906164909</v>
      </c>
      <c r="CN61" s="7">
        <f t="shared" si="27"/>
        <v>0.38242868445158185</v>
      </c>
      <c r="CO61" s="7">
        <f t="shared" si="28"/>
        <v>126.00596183671672</v>
      </c>
      <c r="CP61" s="7">
        <f t="shared" si="29"/>
        <v>86.37022675575692</v>
      </c>
      <c r="CQ61" s="7">
        <f t="shared" si="30"/>
        <v>51.35045212985686</v>
      </c>
      <c r="CR61" s="7">
        <f t="shared" si="20"/>
        <v>0.4016518860923211</v>
      </c>
    </row>
    <row r="62" spans="2:96" ht="18" customHeight="1">
      <c r="B62" s="7"/>
      <c r="CG62" s="7">
        <f t="shared" si="21"/>
        <v>38.5</v>
      </c>
      <c r="CH62" s="7">
        <f t="shared" si="19"/>
        <v>52.0851370394718</v>
      </c>
      <c r="CI62" s="7">
        <f t="shared" si="23"/>
        <v>38.5</v>
      </c>
      <c r="CJ62" s="7">
        <f t="shared" si="24"/>
        <v>0.6719517620178169</v>
      </c>
      <c r="CK62" s="7">
        <f t="shared" si="25"/>
        <v>1.5216709554632708</v>
      </c>
      <c r="CL62" s="7">
        <f t="shared" si="26"/>
        <v>1.9130025732779625</v>
      </c>
      <c r="CM62" s="7">
        <f t="shared" si="22"/>
        <v>3.707774918580042</v>
      </c>
      <c r="CN62" s="7">
        <f t="shared" si="27"/>
        <v>0.4130025732779625</v>
      </c>
      <c r="CO62" s="7">
        <f t="shared" si="28"/>
        <v>123.72835362166111</v>
      </c>
      <c r="CP62" s="7">
        <f t="shared" si="29"/>
        <v>88.13827015703951</v>
      </c>
      <c r="CQ62" s="7">
        <f t="shared" si="30"/>
        <v>50.42227214604516</v>
      </c>
      <c r="CR62" s="7">
        <f t="shared" si="20"/>
        <v>0.39072549155296415</v>
      </c>
    </row>
    <row r="63" spans="2:96" ht="18" customHeight="1">
      <c r="B63" s="7"/>
      <c r="CG63" s="7">
        <f t="shared" si="21"/>
        <v>39</v>
      </c>
      <c r="CH63" s="7">
        <f t="shared" si="19"/>
        <v>52.229276020018695</v>
      </c>
      <c r="CI63" s="7">
        <f t="shared" si="23"/>
        <v>39</v>
      </c>
      <c r="CJ63" s="7">
        <f t="shared" si="24"/>
        <v>0.6806784082777885</v>
      </c>
      <c r="CK63" s="7">
        <f t="shared" si="25"/>
        <v>1.5750582432239821</v>
      </c>
      <c r="CL63" s="7">
        <f t="shared" si="26"/>
        <v>1.945034945934389</v>
      </c>
      <c r="CM63" s="7">
        <f t="shared" si="22"/>
        <v>3.6721833934062347</v>
      </c>
      <c r="CN63" s="7">
        <f t="shared" si="27"/>
        <v>0.44503494593438897</v>
      </c>
      <c r="CO63" s="7">
        <f t="shared" si="28"/>
        <v>121.36437787327675</v>
      </c>
      <c r="CP63" s="7">
        <f t="shared" si="29"/>
        <v>89.96837302781674</v>
      </c>
      <c r="CQ63" s="7">
        <f t="shared" si="30"/>
        <v>49.45889532058307</v>
      </c>
      <c r="CR63" s="7">
        <f t="shared" si="20"/>
        <v>0.3795814804423776</v>
      </c>
    </row>
    <row r="64" spans="2:96" ht="18" customHeight="1">
      <c r="B64" s="7"/>
      <c r="CG64" s="7">
        <f t="shared" si="21"/>
        <v>39.5</v>
      </c>
      <c r="CH64" s="7">
        <f t="shared" si="19"/>
        <v>52.36932490424074</v>
      </c>
      <c r="CI64" s="7">
        <f t="shared" si="23"/>
        <v>39.5</v>
      </c>
      <c r="CJ64" s="7">
        <f t="shared" si="24"/>
        <v>0.6894050545377601</v>
      </c>
      <c r="CK64" s="7">
        <f t="shared" si="25"/>
        <v>1.6310632629488768</v>
      </c>
      <c r="CL64" s="7">
        <f t="shared" si="26"/>
        <v>1.978637957769326</v>
      </c>
      <c r="CM64" s="7">
        <f t="shared" si="22"/>
        <v>3.6348467135896376</v>
      </c>
      <c r="CN64" s="7">
        <f t="shared" si="27"/>
        <v>0.47863795776932605</v>
      </c>
      <c r="CO64" s="7">
        <f t="shared" si="28"/>
        <v>118.90899568164046</v>
      </c>
      <c r="CP64" s="7">
        <f t="shared" si="29"/>
        <v>91.86370502220406</v>
      </c>
      <c r="CQ64" s="7">
        <f t="shared" si="30"/>
        <v>48.458268176801504</v>
      </c>
      <c r="CR64" s="7">
        <f t="shared" si="20"/>
        <v>0.368215547796426</v>
      </c>
    </row>
    <row r="65" spans="2:96" ht="18" customHeight="1">
      <c r="B65" s="33" t="s">
        <v>97</v>
      </c>
      <c r="C65" s="2" t="s">
        <v>54</v>
      </c>
      <c r="D65" s="2" t="s">
        <v>55</v>
      </c>
      <c r="E65" s="16" t="s">
        <v>98</v>
      </c>
      <c r="F65" s="2" t="s">
        <v>99</v>
      </c>
      <c r="G65" s="3" t="s">
        <v>100</v>
      </c>
      <c r="CG65" s="7">
        <f t="shared" si="21"/>
        <v>40</v>
      </c>
      <c r="CH65" s="7">
        <f t="shared" si="19"/>
        <v>52.50500938894515</v>
      </c>
      <c r="CI65" s="7">
        <f t="shared" si="23"/>
        <v>40</v>
      </c>
      <c r="CJ65" s="7">
        <f t="shared" si="24"/>
        <v>0.6981317007977318</v>
      </c>
      <c r="CK65" s="7">
        <f t="shared" si="25"/>
        <v>1.689892571021096</v>
      </c>
      <c r="CL65" s="7">
        <f t="shared" si="26"/>
        <v>2.013935542612657</v>
      </c>
      <c r="CM65" s="7">
        <f t="shared" si="22"/>
        <v>3.595627174874825</v>
      </c>
      <c r="CN65" s="7">
        <f t="shared" si="27"/>
        <v>0.5139355426126571</v>
      </c>
      <c r="CO65" s="7">
        <f t="shared" si="28"/>
        <v>116.35681302628483</v>
      </c>
      <c r="CP65" s="7">
        <f t="shared" si="29"/>
        <v>93.82759459683747</v>
      </c>
      <c r="CQ65" s="7">
        <f t="shared" si="30"/>
        <v>47.418192521966084</v>
      </c>
      <c r="CR65" s="7">
        <f t="shared" si="20"/>
        <v>0.35662357049236415</v>
      </c>
    </row>
    <row r="66" spans="2:96" ht="18" customHeight="1">
      <c r="B66" s="18">
        <v>0</v>
      </c>
      <c r="C66" s="19">
        <v>0</v>
      </c>
      <c r="D66" s="19">
        <v>0</v>
      </c>
      <c r="E66" s="19">
        <f aca="true" t="shared" si="31" ref="E66:E72">1/2*(C67*D66-C66*D67)</f>
        <v>0</v>
      </c>
      <c r="F66" s="19">
        <f aca="true" t="shared" si="32" ref="F66:F72">-1/2*(D67-D66)*(C66^2+1/3*(C67-C66)*(C67+2*C66))</f>
        <v>0</v>
      </c>
      <c r="G66" s="20">
        <f aca="true" t="shared" si="33" ref="G66:G72">1/2*(C67-C66)*(D66^2+1/3*(D67-D66)*(D67+2*D66))</f>
        <v>0</v>
      </c>
      <c r="CG66" s="7">
        <f t="shared" si="21"/>
        <v>40.5</v>
      </c>
      <c r="CH66" s="7">
        <f t="shared" si="19"/>
        <v>52.63602180231637</v>
      </c>
      <c r="CI66" s="7">
        <f t="shared" si="23"/>
        <v>40.5</v>
      </c>
      <c r="CJ66" s="7">
        <f t="shared" si="24"/>
        <v>0.7068583470577035</v>
      </c>
      <c r="CK66" s="7">
        <f t="shared" si="25"/>
        <v>1.7517750023179597</v>
      </c>
      <c r="CL66" s="7">
        <f t="shared" si="26"/>
        <v>2.0510650013907754</v>
      </c>
      <c r="CM66" s="7">
        <f t="shared" si="22"/>
        <v>3.5543722206769166</v>
      </c>
      <c r="CN66" s="7">
        <f t="shared" si="27"/>
        <v>0.5510650013907754</v>
      </c>
      <c r="CO66" s="7">
        <f t="shared" si="28"/>
        <v>113.70205694807778</v>
      </c>
      <c r="CP66" s="7">
        <f t="shared" si="29"/>
        <v>95.86352636207596</v>
      </c>
      <c r="CQ66" s="7">
        <f t="shared" si="30"/>
        <v>46.33631573674643</v>
      </c>
      <c r="CR66" s="7">
        <f t="shared" si="20"/>
        <v>0.34480166209779156</v>
      </c>
    </row>
    <row r="67" spans="2:96" ht="18" customHeight="1">
      <c r="B67" s="18">
        <f>B66+1</f>
        <v>1</v>
      </c>
      <c r="C67" s="19">
        <v>0</v>
      </c>
      <c r="D67" s="19">
        <f>Hf</f>
        <v>0.5</v>
      </c>
      <c r="E67" s="19">
        <f t="shared" si="31"/>
        <v>0.125</v>
      </c>
      <c r="F67" s="19">
        <f t="shared" si="32"/>
        <v>-0.00833333333333334</v>
      </c>
      <c r="G67" s="20">
        <f t="shared" si="33"/>
        <v>0.09083333333333336</v>
      </c>
      <c r="CG67" s="7">
        <f t="shared" si="21"/>
        <v>41</v>
      </c>
      <c r="CH67" s="7">
        <f t="shared" si="19"/>
        <v>52.762016511827134</v>
      </c>
      <c r="CI67" s="7">
        <f>CI66+0.5</f>
        <v>41</v>
      </c>
      <c r="CJ67" s="7">
        <f>CI67*PI()/180</f>
        <v>0.715584993317675</v>
      </c>
      <c r="CK67" s="7">
        <f>SIN(ε)*SIN(CJ67)/SIN(ε-CJ67)*d</f>
        <v>1.8169647582958606</v>
      </c>
      <c r="CL67" s="7">
        <f>SIN(ε)*COS(CJ67)/SIN(ε-CJ67)*d</f>
        <v>2.090178854977516</v>
      </c>
      <c r="CM67" s="7">
        <f t="shared" si="22"/>
        <v>3.510912383358316</v>
      </c>
      <c r="CN67" s="7">
        <f>CL67-H*TAN(α)</f>
        <v>0.5901788549775162</v>
      </c>
      <c r="CO67" s="7">
        <f>IF(CJ67&gt;=ωo,0,1/2*γ*CM67^2*COS(ε)*COS(β)/SIN(ε-β))</f>
        <v>110.93855187256891</v>
      </c>
      <c r="CP67" s="7">
        <f>IF(CJ67&gt;=ωo,1/2*γ*H^2*COS(CJ67+α)*COS(α+β)/COS(α)^2/SIN(CJ67-β),γ/2*(2*H*CL67+CN67^2*TAN(β)-H^2*TAN(α)-CK67*CL67))</f>
        <v>97.97513387780583</v>
      </c>
      <c r="CQ67" s="7">
        <f>IF(CJ67&gt;=ωo,0,SIN(ε-φB)/COS(ε-φB-δ1)*CO67)</f>
        <v>45.21012112641185</v>
      </c>
      <c r="CR67" s="7">
        <f t="shared" si="20"/>
        <v>0.3327462381960694</v>
      </c>
    </row>
    <row r="68" spans="2:96" ht="18" customHeight="1">
      <c r="B68" s="18">
        <f>B67+1</f>
        <v>2</v>
      </c>
      <c r="C68" s="19">
        <f>Bt</f>
        <v>0.5</v>
      </c>
      <c r="D68" s="19">
        <f>H-Hw</f>
        <v>0.7000000000000002</v>
      </c>
      <c r="E68" s="19">
        <f t="shared" si="31"/>
        <v>-0.3224999999999998</v>
      </c>
      <c r="F68" s="19">
        <f t="shared" si="32"/>
        <v>-6.161541666666666</v>
      </c>
      <c r="G68" s="20">
        <f t="shared" si="33"/>
        <v>10.388083333333332</v>
      </c>
      <c r="CG68" s="7">
        <f t="shared" si="21"/>
        <v>41.5</v>
      </c>
      <c r="CH68" s="7">
        <f t="shared" si="19"/>
        <v>52.88260454289768</v>
      </c>
      <c r="CI68" s="7">
        <f t="shared" si="23"/>
        <v>41.5</v>
      </c>
      <c r="CJ68" s="7">
        <f t="shared" si="24"/>
        <v>0.7243116395776468</v>
      </c>
      <c r="CK68" s="7">
        <f t="shared" si="25"/>
        <v>1.885745023364864</v>
      </c>
      <c r="CL68" s="7">
        <f t="shared" si="26"/>
        <v>2.1314470140189186</v>
      </c>
      <c r="CM68" s="7">
        <f t="shared" si="22"/>
        <v>3.465058873312314</v>
      </c>
      <c r="CN68" s="7">
        <f t="shared" si="27"/>
        <v>0.6314470140189186</v>
      </c>
      <c r="CO68" s="7">
        <f t="shared" si="28"/>
        <v>108.05969695968362</v>
      </c>
      <c r="CP68" s="7">
        <f t="shared" si="29"/>
        <v>100.16618614000116</v>
      </c>
      <c r="CQ68" s="7">
        <f t="shared" si="30"/>
        <v>44.03691869028836</v>
      </c>
      <c r="CR68" s="7">
        <f t="shared" si="20"/>
        <v>0.3204540944538933</v>
      </c>
    </row>
    <row r="69" spans="2:96" ht="18" customHeight="1">
      <c r="B69" s="18">
        <v>3</v>
      </c>
      <c r="C69" s="19">
        <f>Bt+Hw*nf</f>
        <v>2.65</v>
      </c>
      <c r="D69" s="19">
        <f>H</f>
        <v>5</v>
      </c>
      <c r="E69" s="19">
        <f t="shared" si="31"/>
        <v>1.25</v>
      </c>
      <c r="F69" s="19">
        <f t="shared" si="32"/>
        <v>0</v>
      </c>
      <c r="G69" s="20">
        <f t="shared" si="33"/>
        <v>6.25</v>
      </c>
      <c r="CG69" s="7">
        <f t="shared" si="21"/>
        <v>42</v>
      </c>
      <c r="CH69" s="7">
        <f t="shared" si="19"/>
        <v>52.99734724620057</v>
      </c>
      <c r="CI69" s="7">
        <f t="shared" si="23"/>
        <v>42</v>
      </c>
      <c r="CJ69" s="7">
        <f t="shared" si="24"/>
        <v>0.7330382858376184</v>
      </c>
      <c r="CK69" s="7">
        <f t="shared" si="25"/>
        <v>1.9584322180871616</v>
      </c>
      <c r="CL69" s="7">
        <f t="shared" si="26"/>
        <v>2.1750593308522967</v>
      </c>
      <c r="CM69" s="7">
        <f t="shared" si="22"/>
        <v>3.4166007434974484</v>
      </c>
      <c r="CN69" s="7">
        <f t="shared" si="27"/>
        <v>0.6750593308522967</v>
      </c>
      <c r="CO69" s="7">
        <f t="shared" si="28"/>
        <v>105.05844576420584</v>
      </c>
      <c r="CP69" s="7">
        <f t="shared" si="29"/>
        <v>102.44056538825588</v>
      </c>
      <c r="CQ69" s="7">
        <f t="shared" si="30"/>
        <v>42.813836832917474</v>
      </c>
      <c r="CR69" s="7">
        <f t="shared" si="20"/>
        <v>0.3079225003106478</v>
      </c>
    </row>
    <row r="70" spans="2:96" ht="18" customHeight="1">
      <c r="B70" s="18">
        <v>4</v>
      </c>
      <c r="C70" s="19">
        <f>C69+bu</f>
        <v>3.15</v>
      </c>
      <c r="D70" s="19">
        <f>H</f>
        <v>5</v>
      </c>
      <c r="E70" s="19">
        <f t="shared" si="31"/>
        <v>4.125</v>
      </c>
      <c r="F70" s="19">
        <f t="shared" si="32"/>
        <v>14.868749999999999</v>
      </c>
      <c r="G70" s="20">
        <f t="shared" si="33"/>
        <v>-6.250000000000002</v>
      </c>
      <c r="CG70" s="7">
        <f t="shared" si="21"/>
        <v>42.5</v>
      </c>
      <c r="CH70" s="7">
        <f t="shared" si="19"/>
        <v>53.10574881229175</v>
      </c>
      <c r="CI70" s="7">
        <f t="shared" si="23"/>
        <v>42.5</v>
      </c>
      <c r="CJ70" s="7">
        <f t="shared" si="24"/>
        <v>0.7417649320975901</v>
      </c>
      <c r="CK70" s="7">
        <f t="shared" si="25"/>
        <v>2.0353810239872203</v>
      </c>
      <c r="CL70" s="7">
        <f t="shared" si="26"/>
        <v>2.221228614392332</v>
      </c>
      <c r="CM70" s="7">
        <f t="shared" si="22"/>
        <v>3.3653015395640757</v>
      </c>
      <c r="CN70" s="7">
        <f t="shared" si="27"/>
        <v>0.7212286143923321</v>
      </c>
      <c r="CO70" s="7">
        <f t="shared" si="28"/>
        <v>101.92729006973103</v>
      </c>
      <c r="CP70" s="7">
        <f t="shared" si="29"/>
        <v>104.80223302373012</v>
      </c>
      <c r="CQ70" s="7">
        <f t="shared" si="30"/>
        <v>41.53781577600422</v>
      </c>
      <c r="CR70" s="7">
        <f t="shared" si="20"/>
        <v>0.2951493119875329</v>
      </c>
    </row>
    <row r="71" spans="2:96" ht="18" customHeight="1">
      <c r="B71" s="18">
        <v>5</v>
      </c>
      <c r="C71" s="35">
        <f>C70-H*nr</f>
        <v>1.65</v>
      </c>
      <c r="D71" s="43">
        <v>0</v>
      </c>
      <c r="E71" s="19">
        <f t="shared" si="31"/>
        <v>0</v>
      </c>
      <c r="F71" s="19">
        <f t="shared" si="32"/>
        <v>0</v>
      </c>
      <c r="G71" s="20">
        <f t="shared" si="33"/>
        <v>0</v>
      </c>
      <c r="CG71" s="7">
        <f t="shared" si="21"/>
        <v>43</v>
      </c>
      <c r="CH71" s="7">
        <f t="shared" si="19"/>
        <v>53.207247382023525</v>
      </c>
      <c r="CI71" s="7">
        <f t="shared" si="23"/>
        <v>43</v>
      </c>
      <c r="CJ71" s="7">
        <f t="shared" si="24"/>
        <v>0.7504915783575616</v>
      </c>
      <c r="CK71" s="7">
        <f t="shared" si="25"/>
        <v>2.116990348382193</v>
      </c>
      <c r="CL71" s="7">
        <f t="shared" si="26"/>
        <v>2.2701942090293152</v>
      </c>
      <c r="CM71" s="7">
        <f t="shared" si="22"/>
        <v>3.3108953233007608</v>
      </c>
      <c r="CN71" s="7">
        <f t="shared" si="27"/>
        <v>0.7701942090293152</v>
      </c>
      <c r="CO71" s="7">
        <f t="shared" si="28"/>
        <v>98.65825057669363</v>
      </c>
      <c r="CP71" s="7">
        <f t="shared" si="29"/>
        <v>107.25517927281774</v>
      </c>
      <c r="CQ71" s="7">
        <f t="shared" si="30"/>
        <v>40.20560376356503</v>
      </c>
      <c r="CR71" s="7">
        <f t="shared" si="20"/>
        <v>0.28213310961751487</v>
      </c>
    </row>
    <row r="72" spans="2:96" ht="18" customHeight="1">
      <c r="B72" s="18">
        <v>0</v>
      </c>
      <c r="C72" s="43">
        <v>0</v>
      </c>
      <c r="D72" s="43">
        <v>0</v>
      </c>
      <c r="E72" s="19">
        <f t="shared" si="31"/>
        <v>0</v>
      </c>
      <c r="F72" s="19">
        <f t="shared" si="32"/>
        <v>0</v>
      </c>
      <c r="G72" s="20">
        <f t="shared" si="33"/>
        <v>0</v>
      </c>
      <c r="CG72" s="7">
        <f t="shared" si="21"/>
        <v>43.5</v>
      </c>
      <c r="CH72" s="7">
        <f t="shared" si="19"/>
        <v>53.3012044364268</v>
      </c>
      <c r="CI72" s="7">
        <f t="shared" si="23"/>
        <v>43.5</v>
      </c>
      <c r="CJ72" s="7">
        <f t="shared" si="24"/>
        <v>0.7592182246175333</v>
      </c>
      <c r="CK72" s="7">
        <f t="shared" si="25"/>
        <v>2.2037104410001214</v>
      </c>
      <c r="CL72" s="7">
        <f t="shared" si="26"/>
        <v>2.3222262646000726</v>
      </c>
      <c r="CM72" s="7">
        <f aca="true" t="shared" si="34" ref="CM72:CM87">IF(CJ72&gt;=ωo,0,Y-(X-CL72)*TAN(β)-CK72)</f>
        <v>3.253081928222142</v>
      </c>
      <c r="CN72" s="7">
        <f t="shared" si="27"/>
        <v>0.8222262646000726</v>
      </c>
      <c r="CO72" s="7">
        <f t="shared" si="28"/>
        <v>95.24287828552939</v>
      </c>
      <c r="CP72" s="7">
        <f t="shared" si="29"/>
        <v>109.80335063780272</v>
      </c>
      <c r="CQ72" s="7">
        <f t="shared" si="30"/>
        <v>38.81375762559948</v>
      </c>
      <c r="CR72" s="7">
        <f t="shared" si="20"/>
        <v>0.26887336480109103</v>
      </c>
    </row>
    <row r="73" spans="2:96" ht="18" customHeight="1">
      <c r="B73" s="1" t="s">
        <v>60</v>
      </c>
      <c r="C73" s="40"/>
      <c r="D73" s="40"/>
      <c r="E73" s="41">
        <f>SUM(E66:E72)</f>
        <v>5.1775</v>
      </c>
      <c r="F73" s="41">
        <f>SUM(F66:F72)</f>
        <v>8.698875</v>
      </c>
      <c r="G73" s="44">
        <f>SUM(G66:G72)</f>
        <v>10.478916666666665</v>
      </c>
      <c r="CG73" s="7">
        <f t="shared" si="21"/>
        <v>44</v>
      </c>
      <c r="CH73" s="7">
        <f t="shared" si="19"/>
        <v>53.38689206559492</v>
      </c>
      <c r="CI73" s="7">
        <f aca="true" t="shared" si="35" ref="CI73:CI78">CI72+0.5</f>
        <v>44</v>
      </c>
      <c r="CJ73" s="7">
        <f aca="true" t="shared" si="36" ref="CJ73:CJ78">CI73*PI()/180</f>
        <v>0.767944870877505</v>
      </c>
      <c r="CK73" s="7">
        <f aca="true" t="shared" si="37" ref="CK73:CK78">SIN(ε)*SIN(CJ73)/SIN(ε-CJ73)*d</f>
        <v>2.2960514304886317</v>
      </c>
      <c r="CL73" s="7">
        <f aca="true" t="shared" si="38" ref="CL73:CL78">SIN(ε)*COS(CJ73)/SIN(ε-CJ73)*d</f>
        <v>2.3776308582931787</v>
      </c>
      <c r="CM73" s="7">
        <f t="shared" si="34"/>
        <v>3.1915212685631342</v>
      </c>
      <c r="CN73" s="7">
        <f aca="true" t="shared" si="39" ref="CN73:CN78">CL73-H*TAN(α)</f>
        <v>0.8776308582931787</v>
      </c>
      <c r="CO73" s="7">
        <f aca="true" t="shared" si="40" ref="CO73:CO78">IF(CJ73&gt;=ωo,0,1/2*γ*CM73^2*COS(ε)*COS(β)/SIN(ε-β))</f>
        <v>91.67227206921753</v>
      </c>
      <c r="CP73" s="7">
        <f aca="true" t="shared" si="41" ref="CP73:CP78">IF(CJ73&gt;=ωo,1/2*γ*H^2*COS(CJ73+α)*COS(α+β)/COS(α)^2/SIN(CJ73-β),γ/2*(2*H*CL73+CN73^2*TAN(β)-H^2*TAN(α)-CK73*CL73))</f>
        <v>112.45054695922943</v>
      </c>
      <c r="CQ73" s="7">
        <f aca="true" t="shared" si="42" ref="CQ73:CQ78">IF(CJ73&gt;=ωo,0,SIN(ε-φB)/COS(ε-φB-δ1)*CO73)</f>
        <v>37.3586499393228</v>
      </c>
      <c r="CR73" s="7">
        <f t="shared" si="20"/>
        <v>0.25537064696842005</v>
      </c>
    </row>
    <row r="74" spans="2:96" ht="18" customHeight="1">
      <c r="B74" s="11"/>
      <c r="C74" s="11"/>
      <c r="D74" s="11"/>
      <c r="E74" s="11"/>
      <c r="F74" s="11"/>
      <c r="G74" s="11"/>
      <c r="CG74" s="7">
        <f t="shared" si="21"/>
        <v>44.5</v>
      </c>
      <c r="CH74" s="7">
        <f t="shared" si="19"/>
        <v>53.463477605896706</v>
      </c>
      <c r="CI74" s="7">
        <f t="shared" si="35"/>
        <v>44.5</v>
      </c>
      <c r="CJ74" s="7">
        <f t="shared" si="36"/>
        <v>0.7766715171374767</v>
      </c>
      <c r="CK74" s="7">
        <f t="shared" si="37"/>
        <v>2.394593622691801</v>
      </c>
      <c r="CL74" s="7">
        <f t="shared" si="38"/>
        <v>2.436756173615081</v>
      </c>
      <c r="CM74" s="7">
        <f t="shared" si="34"/>
        <v>3.125826473761022</v>
      </c>
      <c r="CN74" s="7">
        <f t="shared" si="39"/>
        <v>0.9367561736150809</v>
      </c>
      <c r="CO74" s="7">
        <f t="shared" si="40"/>
        <v>87.93712029658737</v>
      </c>
      <c r="CP74" s="7">
        <f t="shared" si="41"/>
        <v>115.20027680982795</v>
      </c>
      <c r="CQ74" s="7">
        <f t="shared" si="42"/>
        <v>35.83648599166183</v>
      </c>
      <c r="CR74" s="7">
        <f t="shared" si="20"/>
        <v>0.24162687982961883</v>
      </c>
    </row>
    <row r="75" spans="2:96" ht="18" customHeight="1">
      <c r="B75" s="7"/>
      <c r="C75" s="45" t="s">
        <v>165</v>
      </c>
      <c r="D75" s="10"/>
      <c r="E75" s="92">
        <f>γc*E73</f>
        <v>119.08250000000001</v>
      </c>
      <c r="F75" s="7" t="s">
        <v>166</v>
      </c>
      <c r="G75" s="52"/>
      <c r="H75" s="52"/>
      <c r="CG75" s="7">
        <f t="shared" si="21"/>
        <v>45</v>
      </c>
      <c r="CH75" s="7">
        <f t="shared" si="19"/>
        <v>53.53000498930781</v>
      </c>
      <c r="CI75" s="7">
        <f t="shared" si="35"/>
        <v>45</v>
      </c>
      <c r="CJ75" s="7">
        <f t="shared" si="36"/>
        <v>0.7853981633974483</v>
      </c>
      <c r="CK75" s="7">
        <f t="shared" si="37"/>
        <v>2.499999999999999</v>
      </c>
      <c r="CL75" s="7">
        <f t="shared" si="38"/>
        <v>2.4999999999999996</v>
      </c>
      <c r="CM75" s="7">
        <f t="shared" si="34"/>
        <v>3.0555555555555562</v>
      </c>
      <c r="CN75" s="7">
        <f t="shared" si="39"/>
        <v>0.9999999999999996</v>
      </c>
      <c r="CO75" s="7">
        <f t="shared" si="40"/>
        <v>84.02777777777781</v>
      </c>
      <c r="CP75" s="7">
        <f t="shared" si="41"/>
        <v>118.05555555555554</v>
      </c>
      <c r="CQ75" s="7">
        <f t="shared" si="42"/>
        <v>34.243335136375485</v>
      </c>
      <c r="CR75" s="7">
        <f t="shared" si="20"/>
        <v>0.22764566330603597</v>
      </c>
    </row>
    <row r="76" spans="2:96" ht="18" customHeight="1">
      <c r="B76" s="7"/>
      <c r="C76" s="45" t="s">
        <v>167</v>
      </c>
      <c r="D76" s="9" t="s">
        <v>259</v>
      </c>
      <c r="E76" s="92">
        <f>F73/E73</f>
        <v>1.680130371801062</v>
      </c>
      <c r="F76" s="7" t="s">
        <v>4</v>
      </c>
      <c r="G76" s="52"/>
      <c r="H76" s="52"/>
      <c r="CG76" s="7">
        <f t="shared" si="21"/>
        <v>45.5</v>
      </c>
      <c r="CH76" s="7">
        <f t="shared" si="19"/>
        <v>53.585371954731265</v>
      </c>
      <c r="CI76" s="7">
        <f t="shared" si="35"/>
        <v>45.5</v>
      </c>
      <c r="CJ76" s="7">
        <f t="shared" si="36"/>
        <v>0.7941248096574199</v>
      </c>
      <c r="CK76" s="7">
        <f t="shared" si="37"/>
        <v>2.613031490893359</v>
      </c>
      <c r="CL76" s="7">
        <f t="shared" si="38"/>
        <v>2.567818894536015</v>
      </c>
      <c r="CM76" s="7">
        <f t="shared" si="34"/>
        <v>2.980201228293316</v>
      </c>
      <c r="CN76" s="7">
        <f t="shared" si="39"/>
        <v>1.067818894536015</v>
      </c>
      <c r="CO76" s="7">
        <f t="shared" si="40"/>
        <v>79.93439425008889</v>
      </c>
      <c r="CP76" s="7">
        <f t="shared" si="41"/>
        <v>121.01862417431079</v>
      </c>
      <c r="CQ76" s="7">
        <f t="shared" si="42"/>
        <v>32.57518315512148</v>
      </c>
      <c r="CR76" s="7">
        <f t="shared" si="20"/>
        <v>0.21343268224579276</v>
      </c>
    </row>
    <row r="77" spans="3:96" ht="18" customHeight="1">
      <c r="C77" s="52"/>
      <c r="D77" s="9" t="s">
        <v>260</v>
      </c>
      <c r="E77" s="92">
        <f>G73/E73</f>
        <v>2.0239336874295826</v>
      </c>
      <c r="F77" s="7" t="s">
        <v>4</v>
      </c>
      <c r="G77" s="15"/>
      <c r="CG77" s="7">
        <f t="shared" si="21"/>
        <v>46</v>
      </c>
      <c r="CH77" s="7">
        <f t="shared" si="19"/>
        <v>53.6283020103172</v>
      </c>
      <c r="CI77" s="7">
        <f t="shared" si="35"/>
        <v>46</v>
      </c>
      <c r="CJ77" s="7">
        <f t="shared" si="36"/>
        <v>0.8028514559173915</v>
      </c>
      <c r="CK77" s="7">
        <f t="shared" si="37"/>
        <v>2.7345657534267165</v>
      </c>
      <c r="CL77" s="7">
        <f t="shared" si="38"/>
        <v>2.6407394520560294</v>
      </c>
      <c r="CM77" s="7">
        <f t="shared" si="34"/>
        <v>2.8991783866044116</v>
      </c>
      <c r="CN77" s="7">
        <f t="shared" si="39"/>
        <v>1.1407394520560294</v>
      </c>
      <c r="CO77" s="7">
        <f t="shared" si="40"/>
        <v>75.64711785618742</v>
      </c>
      <c r="CP77" s="7">
        <f t="shared" si="41"/>
        <v>124.09055794287873</v>
      </c>
      <c r="CQ77" s="7">
        <f t="shared" si="42"/>
        <v>30.828015179706274</v>
      </c>
      <c r="CR77" s="7">
        <f t="shared" si="20"/>
        <v>0.19899623185845713</v>
      </c>
    </row>
    <row r="78" spans="85:96" ht="18" customHeight="1">
      <c r="CG78" s="7">
        <f t="shared" si="21"/>
        <v>46.5</v>
      </c>
      <c r="CH78" s="7">
        <f t="shared" si="19"/>
        <v>53.6573096812952</v>
      </c>
      <c r="CI78" s="7">
        <f t="shared" si="35"/>
        <v>46.5</v>
      </c>
      <c r="CJ78" s="7">
        <f t="shared" si="36"/>
        <v>0.8115781021773631</v>
      </c>
      <c r="CK78" s="7">
        <f t="shared" si="37"/>
        <v>2.865620453715135</v>
      </c>
      <c r="CL78" s="7">
        <f t="shared" si="38"/>
        <v>2.7193722722290805</v>
      </c>
      <c r="CM78" s="7">
        <f t="shared" si="34"/>
        <v>2.8118085864121327</v>
      </c>
      <c r="CN78" s="7">
        <f t="shared" si="39"/>
        <v>1.2193722722290805</v>
      </c>
      <c r="CO78" s="7">
        <f t="shared" si="40"/>
        <v>71.15640773958894</v>
      </c>
      <c r="CP78" s="7">
        <f t="shared" si="41"/>
        <v>127.270721056593</v>
      </c>
      <c r="CQ78" s="7">
        <f t="shared" si="42"/>
        <v>28.99794308224255</v>
      </c>
      <c r="CR78" s="7">
        <f t="shared" si="20"/>
        <v>0.1843479026243647</v>
      </c>
    </row>
    <row r="79" spans="1:96" ht="18" customHeight="1">
      <c r="A79" s="54" t="s">
        <v>287</v>
      </c>
      <c r="CG79" s="7">
        <f t="shared" si="21"/>
        <v>47</v>
      </c>
      <c r="CH79" s="7">
        <f t="shared" si="19"/>
        <v>53.67065709079993</v>
      </c>
      <c r="CI79" s="7">
        <f aca="true" t="shared" si="43" ref="CI79:CI93">CI78+0.5</f>
        <v>47</v>
      </c>
      <c r="CJ79" s="7">
        <f aca="true" t="shared" si="44" ref="CJ79:CJ93">CI79*PI()/180</f>
        <v>0.8203047484373349</v>
      </c>
      <c r="CK79" s="7">
        <f aca="true" t="shared" si="45" ref="CK79:CK93">SIN(ε)*SIN(CJ79)/SIN(ε-CJ79)*d</f>
        <v>3.007382346514042</v>
      </c>
      <c r="CL79" s="7">
        <f aca="true" t="shared" si="46" ref="CL79:CL93">SIN(ε)*COS(CJ79)/SIN(ε-CJ79)*d</f>
        <v>2.804429407908425</v>
      </c>
      <c r="CM79" s="7">
        <f t="shared" si="34"/>
        <v>2.7173006578795285</v>
      </c>
      <c r="CN79" s="7">
        <f aca="true" t="shared" si="47" ref="CN79:CN93">CL79-H*TAN(α)</f>
        <v>1.304429407908425</v>
      </c>
      <c r="CO79" s="7">
        <f aca="true" t="shared" si="48" ref="CO79:CO93">IF(CJ79&gt;=ωo,0,1/2*γ*CM79^2*COS(ε)*COS(β)/SIN(ε-β))</f>
        <v>66.45350578781265</v>
      </c>
      <c r="CP79" s="7">
        <f aca="true" t="shared" si="49" ref="CP79:CP93">IF(CJ79&gt;=ωo,1/2*γ*H^2*COS(CJ79+α)*COS(α+β)/COS(α)^2/SIN(CJ79-β),γ/2*(2*H*CL79+CN79^2*TAN(β)-H^2*TAN(α)-CK79*CL79))</f>
        <v>130.55600408038032</v>
      </c>
      <c r="CQ79" s="7">
        <f aca="true" t="shared" si="50" ref="CQ79:CQ93">IF(CJ79&gt;=ωo,0,SIN(ε-φB)/COS(ε-φB-δ1)*CO79)</f>
        <v>27.081397721801277</v>
      </c>
      <c r="CR79" s="7">
        <f t="shared" si="20"/>
        <v>0.16950348683121624</v>
      </c>
    </row>
    <row r="80" spans="85:96" ht="18" customHeight="1">
      <c r="CG80" s="7">
        <f t="shared" si="21"/>
        <v>47.5</v>
      </c>
      <c r="CH80" s="7">
        <f t="shared" si="19"/>
        <v>53.666299244155766</v>
      </c>
      <c r="CI80" s="7">
        <f t="shared" si="43"/>
        <v>47.5</v>
      </c>
      <c r="CJ80" s="7">
        <f t="shared" si="44"/>
        <v>0.8290313946973066</v>
      </c>
      <c r="CK80" s="7">
        <f t="shared" si="45"/>
        <v>3.161243918201121</v>
      </c>
      <c r="CL80" s="7">
        <f t="shared" si="46"/>
        <v>2.8967463509206723</v>
      </c>
      <c r="CM80" s="7">
        <f t="shared" si="34"/>
        <v>2.6147262767548085</v>
      </c>
      <c r="CN80" s="7">
        <f t="shared" si="47"/>
        <v>1.3967463509206723</v>
      </c>
      <c r="CO80" s="7">
        <f t="shared" si="48"/>
        <v>61.531141521168564</v>
      </c>
      <c r="CP80" s="7">
        <f t="shared" si="49"/>
        <v>133.93975263015352</v>
      </c>
      <c r="CQ80" s="7">
        <f t="shared" si="50"/>
        <v>25.07541620350163</v>
      </c>
      <c r="CR80" s="7">
        <f t="shared" si="20"/>
        <v>0.1544841988364837</v>
      </c>
    </row>
    <row r="81" spans="1:96" ht="18" customHeight="1">
      <c r="A81" s="55" t="s">
        <v>288</v>
      </c>
      <c r="C81" s="10"/>
      <c r="CG81" s="7">
        <f t="shared" si="21"/>
        <v>48</v>
      </c>
      <c r="CH81" s="7">
        <f t="shared" si="19"/>
        <v>53.641814434024894</v>
      </c>
      <c r="CI81" s="7">
        <f t="shared" si="43"/>
        <v>48</v>
      </c>
      <c r="CJ81" s="7">
        <f t="shared" si="44"/>
        <v>0.8377580409572781</v>
      </c>
      <c r="CK81" s="7">
        <f t="shared" si="45"/>
        <v>3.328849990476609</v>
      </c>
      <c r="CL81" s="7">
        <f t="shared" si="46"/>
        <v>2.9973099942859656</v>
      </c>
      <c r="CM81" s="7">
        <f t="shared" si="34"/>
        <v>2.5029888952378165</v>
      </c>
      <c r="CN81" s="7">
        <f t="shared" si="47"/>
        <v>1.4973099942859656</v>
      </c>
      <c r="CO81" s="7">
        <f t="shared" si="48"/>
        <v>56.384580687154426</v>
      </c>
      <c r="CP81" s="7">
        <f t="shared" si="49"/>
        <v>137.41025274141285</v>
      </c>
      <c r="CQ81" s="7">
        <f t="shared" si="50"/>
        <v>22.978069205881777</v>
      </c>
      <c r="CR81" s="7">
        <f t="shared" si="20"/>
        <v>0.13931834842698335</v>
      </c>
    </row>
    <row r="82" spans="1:96" ht="18" customHeight="1">
      <c r="A82" s="55"/>
      <c r="C82" s="10"/>
      <c r="CG82" s="7">
        <f t="shared" si="21"/>
        <v>48.5</v>
      </c>
      <c r="CH82" s="7">
        <f t="shared" si="19"/>
        <v>53.59431482370585</v>
      </c>
      <c r="CI82" s="7">
        <f t="shared" si="43"/>
        <v>48.5</v>
      </c>
      <c r="CJ82" s="7">
        <f t="shared" si="44"/>
        <v>0.8464846872172498</v>
      </c>
      <c r="CK82" s="7">
        <f t="shared" si="45"/>
        <v>3.512157593600255</v>
      </c>
      <c r="CL82" s="7">
        <f t="shared" si="46"/>
        <v>3.107294556160153</v>
      </c>
      <c r="CM82" s="7">
        <f t="shared" si="34"/>
        <v>2.38078382648872</v>
      </c>
      <c r="CN82" s="7">
        <f t="shared" si="47"/>
        <v>1.607294556160153</v>
      </c>
      <c r="CO82" s="7">
        <f t="shared" si="48"/>
        <v>51.013184656232426</v>
      </c>
      <c r="CP82" s="7">
        <f t="shared" si="49"/>
        <v>140.94857274109836</v>
      </c>
      <c r="CQ82" s="7">
        <f t="shared" si="50"/>
        <v>20.789096472085372</v>
      </c>
      <c r="CR82" s="7">
        <f t="shared" si="20"/>
        <v>0.12404368313948266</v>
      </c>
    </row>
    <row r="83" spans="1:96" ht="18" customHeight="1">
      <c r="A83" s="55"/>
      <c r="B83" s="39" t="str">
        <f>IF(AM9=1,"試行くさび法を適用する","改良試行くさび法を適用する")</f>
        <v>改良試行くさび法を適用する</v>
      </c>
      <c r="C83" s="10"/>
      <c r="CG83" s="7">
        <f t="shared" si="21"/>
        <v>49</v>
      </c>
      <c r="CH83" s="7">
        <f t="shared" si="19"/>
        <v>53.52033029591689</v>
      </c>
      <c r="CI83" s="7">
        <f t="shared" si="43"/>
        <v>49</v>
      </c>
      <c r="CJ83" s="7">
        <f t="shared" si="44"/>
        <v>0.8552113334772214</v>
      </c>
      <c r="CK83" s="7">
        <f t="shared" si="45"/>
        <v>3.7135137367308615</v>
      </c>
      <c r="CL83" s="7">
        <f t="shared" si="46"/>
        <v>3.228108242038516</v>
      </c>
      <c r="CM83" s="7">
        <f t="shared" si="34"/>
        <v>2.2465463977349818</v>
      </c>
      <c r="CN83" s="7">
        <f t="shared" si="47"/>
        <v>1.728108242038516</v>
      </c>
      <c r="CO83" s="7">
        <f t="shared" si="48"/>
        <v>45.4227364545842</v>
      </c>
      <c r="CP83" s="7">
        <f t="shared" si="49"/>
        <v>144.52545951144043</v>
      </c>
      <c r="CQ83" s="7">
        <f t="shared" si="50"/>
        <v>18.510854724006972</v>
      </c>
      <c r="CR83" s="7">
        <f t="shared" si="20"/>
        <v>0.108710742643825</v>
      </c>
    </row>
    <row r="84" spans="3:96" ht="18" customHeight="1">
      <c r="C84" s="10"/>
      <c r="CG84" s="7">
        <f t="shared" si="21"/>
        <v>49.5</v>
      </c>
      <c r="CH84" s="7">
        <f t="shared" si="19"/>
        <v>53.415655754848</v>
      </c>
      <c r="CI84" s="7">
        <f t="shared" si="43"/>
        <v>49.5</v>
      </c>
      <c r="CJ84" s="7">
        <f t="shared" si="44"/>
        <v>0.8639379797371932</v>
      </c>
      <c r="CK84" s="7">
        <f t="shared" si="45"/>
        <v>3.935757643977967</v>
      </c>
      <c r="CL84" s="7">
        <f t="shared" si="46"/>
        <v>3.3614545863867793</v>
      </c>
      <c r="CM84" s="7">
        <f t="shared" si="34"/>
        <v>2.098383792903577</v>
      </c>
      <c r="CN84" s="7">
        <f t="shared" si="47"/>
        <v>1.8614545863867793</v>
      </c>
      <c r="CO84" s="7">
        <f t="shared" si="48"/>
        <v>39.62893088088361</v>
      </c>
      <c r="CP84" s="7">
        <f t="shared" si="49"/>
        <v>148.0968260126699</v>
      </c>
      <c r="CQ84" s="7">
        <f t="shared" si="50"/>
        <v>16.149739968599285</v>
      </c>
      <c r="CR84" s="7">
        <f t="shared" si="20"/>
        <v>0.09338778661385262</v>
      </c>
    </row>
    <row r="85" spans="2:96" ht="18" customHeight="1">
      <c r="B85" s="46" t="s">
        <v>229</v>
      </c>
      <c r="C85" s="10"/>
      <c r="CG85" s="7">
        <f t="shared" si="21"/>
        <v>50</v>
      </c>
      <c r="CH85" s="7">
        <f t="shared" si="19"/>
        <v>53.275147725762274</v>
      </c>
      <c r="CI85" s="7">
        <f t="shared" si="43"/>
        <v>50</v>
      </c>
      <c r="CJ85" s="7">
        <f t="shared" si="44"/>
        <v>0.8726646259971648</v>
      </c>
      <c r="CK85" s="7">
        <f t="shared" si="45"/>
        <v>4.182356932447759</v>
      </c>
      <c r="CL85" s="7">
        <f t="shared" si="46"/>
        <v>3.5094141594686556</v>
      </c>
      <c r="CM85" s="7">
        <f t="shared" si="34"/>
        <v>1.93398426725705</v>
      </c>
      <c r="CN85" s="7">
        <f t="shared" si="47"/>
        <v>2.0094141594686556</v>
      </c>
      <c r="CO85" s="7">
        <f t="shared" si="48"/>
        <v>33.662656313980094</v>
      </c>
      <c r="CP85" s="7">
        <f t="shared" si="49"/>
        <v>151.59710769487566</v>
      </c>
      <c r="CQ85" s="7">
        <f t="shared" si="50"/>
        <v>13.718339961206233</v>
      </c>
      <c r="CR85" s="7">
        <f t="shared" si="20"/>
        <v>0.07816824555805539</v>
      </c>
    </row>
    <row r="86" spans="3:96" ht="18" customHeight="1">
      <c r="C86" s="47" t="s">
        <v>262</v>
      </c>
      <c r="D86" s="92">
        <v>0</v>
      </c>
      <c r="E86" s="6" t="s">
        <v>37</v>
      </c>
      <c r="CG86" s="7">
        <f t="shared" si="21"/>
        <v>50.5</v>
      </c>
      <c r="CH86" s="7">
        <f t="shared" si="19"/>
        <v>53.092449463179506</v>
      </c>
      <c r="CI86" s="7">
        <f t="shared" si="43"/>
        <v>50.5</v>
      </c>
      <c r="CJ86" s="7">
        <f t="shared" si="44"/>
        <v>0.8813912722571364</v>
      </c>
      <c r="CK86" s="7">
        <f t="shared" si="45"/>
        <v>4.457591649058344</v>
      </c>
      <c r="CL86" s="7">
        <f t="shared" si="46"/>
        <v>3.6745549894350056</v>
      </c>
      <c r="CM86" s="7">
        <f t="shared" si="34"/>
        <v>1.7504944561833264</v>
      </c>
      <c r="CN86" s="7">
        <f t="shared" si="47"/>
        <v>2.1745549894350056</v>
      </c>
      <c r="CO86" s="7">
        <f t="shared" si="48"/>
        <v>27.578077570157035</v>
      </c>
      <c r="CP86" s="7">
        <f t="shared" si="49"/>
        <v>154.92933927259284</v>
      </c>
      <c r="CQ86" s="7">
        <f t="shared" si="50"/>
        <v>11.23872816379057</v>
      </c>
      <c r="CR86" s="7">
        <f t="shared" si="20"/>
        <v>0.0631823621600196</v>
      </c>
    </row>
    <row r="87" spans="3:96" ht="18" customHeight="1">
      <c r="C87" s="10"/>
      <c r="CG87" s="7">
        <f t="shared" si="21"/>
        <v>51</v>
      </c>
      <c r="CH87" s="7">
        <f aca="true" t="shared" si="51" ref="CH87:CH118">SIN(CJ87-φ+CR87)/COS(CJ87-φ-δ2+α)/COS(CR87)*(CP87+CQ87*SIN(δ1))</f>
        <v>52.859613431057305</v>
      </c>
      <c r="CI87" s="7">
        <f t="shared" si="43"/>
        <v>51</v>
      </c>
      <c r="CJ87" s="7">
        <f t="shared" si="44"/>
        <v>0.890117918517108</v>
      </c>
      <c r="CK87" s="7">
        <f t="shared" si="45"/>
        <v>4.766807009904503</v>
      </c>
      <c r="CL87" s="7">
        <f t="shared" si="46"/>
        <v>3.860084205942701</v>
      </c>
      <c r="CM87" s="7">
        <f t="shared" si="34"/>
        <v>1.5443508822858876</v>
      </c>
      <c r="CN87" s="7">
        <f t="shared" si="47"/>
        <v>2.360084205942701</v>
      </c>
      <c r="CO87" s="7">
        <f t="shared" si="48"/>
        <v>21.46517682855479</v>
      </c>
      <c r="CP87" s="7">
        <f t="shared" si="49"/>
        <v>157.9500864057335</v>
      </c>
      <c r="CQ87" s="7">
        <f t="shared" si="50"/>
        <v>8.747574472880482</v>
      </c>
      <c r="CR87" s="7">
        <f aca="true" t="shared" si="52" ref="CR87:CR118">IF(CJ87&gt;=ωo,0,ATAN(CQ87*COS(δ1)/(CP87+CQ87*SIN(δ1))))</f>
        <v>0.04861608287406107</v>
      </c>
    </row>
    <row r="88" spans="2:96" ht="18" customHeight="1">
      <c r="B88" s="46" t="s">
        <v>230</v>
      </c>
      <c r="C88" s="10"/>
      <c r="CG88" s="7">
        <f t="shared" si="21"/>
        <v>51.5</v>
      </c>
      <c r="CH88" s="7">
        <f t="shared" si="51"/>
        <v>52.56657349204867</v>
      </c>
      <c r="CI88" s="7">
        <f t="shared" si="43"/>
        <v>51.5</v>
      </c>
      <c r="CJ88" s="7">
        <f t="shared" si="44"/>
        <v>0.8988445647770796</v>
      </c>
      <c r="CK88" s="7">
        <f t="shared" si="45"/>
        <v>5.116766749172533</v>
      </c>
      <c r="CL88" s="7">
        <f t="shared" si="46"/>
        <v>4.07006004950352</v>
      </c>
      <c r="CM88" s="7">
        <f aca="true" t="shared" si="53" ref="CM88:CM103">IF(CJ88&gt;=ωo,0,Y-(X-CL88)*TAN(β)-CK88)</f>
        <v>1.311044389440534</v>
      </c>
      <c r="CN88" s="7">
        <f t="shared" si="47"/>
        <v>2.57006004950352</v>
      </c>
      <c r="CO88" s="7">
        <f t="shared" si="48"/>
        <v>15.46953651975152</v>
      </c>
      <c r="CP88" s="7">
        <f t="shared" si="49"/>
        <v>160.44612932185655</v>
      </c>
      <c r="CQ88" s="7">
        <f t="shared" si="50"/>
        <v>6.3042072212261235</v>
      </c>
      <c r="CR88" s="7">
        <f t="shared" si="52"/>
        <v>0.034743110023204876</v>
      </c>
    </row>
    <row r="89" spans="3:96" ht="18" customHeight="1">
      <c r="C89" s="10"/>
      <c r="CG89" s="7">
        <f t="shared" si="21"/>
        <v>52</v>
      </c>
      <c r="CH89" s="7">
        <f t="shared" si="51"/>
        <v>52.200392047236406</v>
      </c>
      <c r="CI89" s="7">
        <f>CI88+0.5</f>
        <v>52</v>
      </c>
      <c r="CJ89" s="7">
        <f>CI89*PI()/180</f>
        <v>0.9075712110370514</v>
      </c>
      <c r="CK89" s="7">
        <f>SIN(ε)*SIN(CJ89)/SIN(ε-CJ89)*d</f>
        <v>5.51615712326176</v>
      </c>
      <c r="CL89" s="7">
        <f>SIN(ε)*COS(CJ89)/SIN(ε-CJ89)*d</f>
        <v>4.309694273957055</v>
      </c>
      <c r="CM89" s="7">
        <f t="shared" si="53"/>
        <v>1.0447841400477156</v>
      </c>
      <c r="CN89" s="7">
        <f>CL89-H*TAN(α)</f>
        <v>2.8096942739570547</v>
      </c>
      <c r="CO89" s="7">
        <f>IF(CJ89&gt;=ωo,0,1/2*γ*CM89^2*COS(ε)*COS(β)/SIN(ε-β))</f>
        <v>9.8241650936572</v>
      </c>
      <c r="CP89" s="7">
        <f>IF(CJ89&gt;=ωo,1/2*γ*H^2*COS(CJ89+α)*COS(α+β)/COS(α)^2/SIN(CJ89-β),γ/2*(2*H*CL89+CN89^2*TAN(β)-H^2*TAN(α)-CK89*CL89))</f>
        <v>162.09759700705854</v>
      </c>
      <c r="CQ89" s="7">
        <f>IF(CJ89&gt;=ωo,0,SIN(ε-φB)/COS(ε-φB-δ1)*CO89)</f>
        <v>4.003582941665672</v>
      </c>
      <c r="CR89" s="7">
        <f t="shared" si="52"/>
        <v>0.021982251781860446</v>
      </c>
    </row>
    <row r="90" spans="2:96" ht="18" customHeight="1">
      <c r="B90" s="6" t="s">
        <v>231</v>
      </c>
      <c r="CG90" s="7">
        <f t="shared" si="21"/>
        <v>52.5</v>
      </c>
      <c r="CH90" s="7">
        <f t="shared" si="51"/>
        <v>51.74416161752933</v>
      </c>
      <c r="CI90" s="7">
        <f t="shared" si="43"/>
        <v>52.5</v>
      </c>
      <c r="CJ90" s="7">
        <f t="shared" si="44"/>
        <v>0.9162978572970231</v>
      </c>
      <c r="CK90" s="7">
        <f t="shared" si="45"/>
        <v>5.976322242325546</v>
      </c>
      <c r="CL90" s="7">
        <f t="shared" si="46"/>
        <v>4.585793345395328</v>
      </c>
      <c r="CM90" s="7">
        <f t="shared" si="53"/>
        <v>0.7380073940051926</v>
      </c>
      <c r="CN90" s="7">
        <f t="shared" si="47"/>
        <v>3.085793345395328</v>
      </c>
      <c r="CO90" s="7">
        <f t="shared" si="48"/>
        <v>4.901894222457019</v>
      </c>
      <c r="CP90" s="7">
        <f t="shared" si="49"/>
        <v>162.41821668762086</v>
      </c>
      <c r="CQ90" s="7">
        <f t="shared" si="50"/>
        <v>1.9976394842498182</v>
      </c>
      <c r="CR90" s="7">
        <f t="shared" si="52"/>
        <v>0.011006920510123405</v>
      </c>
    </row>
    <row r="91" spans="85:96" ht="18" customHeight="1">
      <c r="CG91" s="7">
        <f t="shared" si="21"/>
        <v>53</v>
      </c>
      <c r="CH91" s="7">
        <f t="shared" si="51"/>
        <v>51.17536050105148</v>
      </c>
      <c r="CI91" s="7">
        <f t="shared" si="43"/>
        <v>53</v>
      </c>
      <c r="CJ91" s="7">
        <f t="shared" si="44"/>
        <v>0.9250245035569946</v>
      </c>
      <c r="CK91" s="7">
        <f t="shared" si="45"/>
        <v>6.512364859999238</v>
      </c>
      <c r="CL91" s="7">
        <f t="shared" si="46"/>
        <v>4.907418915999543</v>
      </c>
      <c r="CM91" s="7">
        <f t="shared" si="53"/>
        <v>0.38064564888939767</v>
      </c>
      <c r="CN91" s="7">
        <f t="shared" si="47"/>
        <v>3.4074189159995427</v>
      </c>
      <c r="CO91" s="7">
        <f t="shared" si="48"/>
        <v>1.3040199901658753</v>
      </c>
      <c r="CP91" s="7">
        <f t="shared" si="49"/>
        <v>160.65566474317504</v>
      </c>
      <c r="CQ91" s="7">
        <f t="shared" si="50"/>
        <v>0.5314194273455181</v>
      </c>
      <c r="CR91" s="7">
        <f t="shared" si="52"/>
        <v>0.0029719356806317287</v>
      </c>
    </row>
    <row r="92" spans="85:96" ht="18" customHeight="1">
      <c r="CG92" s="7">
        <f t="shared" si="21"/>
        <v>53.5</v>
      </c>
      <c r="CH92" s="7">
        <f t="shared" si="51"/>
        <v>50.46391795116557</v>
      </c>
      <c r="CI92" s="7">
        <f t="shared" si="43"/>
        <v>53.5</v>
      </c>
      <c r="CJ92" s="7">
        <f t="shared" si="44"/>
        <v>0.9337511498169663</v>
      </c>
      <c r="CK92" s="7">
        <f t="shared" si="45"/>
        <v>7.144843663114615</v>
      </c>
      <c r="CL92" s="7">
        <f t="shared" si="46"/>
        <v>5.286906197868768</v>
      </c>
      <c r="CM92" s="7">
        <f t="shared" si="53"/>
        <v>0</v>
      </c>
      <c r="CN92" s="7">
        <f t="shared" si="47"/>
        <v>3.7869061978687677</v>
      </c>
      <c r="CO92" s="7">
        <f t="shared" si="48"/>
        <v>0</v>
      </c>
      <c r="CP92" s="7">
        <f t="shared" si="49"/>
        <v>155.6408913381334</v>
      </c>
      <c r="CQ92" s="7">
        <f t="shared" si="50"/>
        <v>0</v>
      </c>
      <c r="CR92" s="7">
        <f t="shared" si="52"/>
        <v>0</v>
      </c>
    </row>
    <row r="93" spans="85:96" ht="18" customHeight="1">
      <c r="CG93" s="7">
        <f t="shared" si="21"/>
        <v>54</v>
      </c>
      <c r="CH93" s="7">
        <f t="shared" si="51"/>
        <v>49.66438813186908</v>
      </c>
      <c r="CI93" s="7">
        <f t="shared" si="43"/>
        <v>54</v>
      </c>
      <c r="CJ93" s="7">
        <f t="shared" si="44"/>
        <v>0.9424777960769379</v>
      </c>
      <c r="CK93" s="7">
        <f t="shared" si="45"/>
        <v>7.902481606481221</v>
      </c>
      <c r="CL93" s="7">
        <f t="shared" si="46"/>
        <v>5.741488963888732</v>
      </c>
      <c r="CM93" s="7">
        <f t="shared" si="53"/>
        <v>0</v>
      </c>
      <c r="CN93" s="7">
        <f t="shared" si="47"/>
        <v>4.241488963888732</v>
      </c>
      <c r="CO93" s="7">
        <f t="shared" si="48"/>
        <v>0</v>
      </c>
      <c r="CP93" s="7">
        <f t="shared" si="49"/>
        <v>149.00771774851378</v>
      </c>
      <c r="CQ93" s="7">
        <f t="shared" si="50"/>
        <v>0</v>
      </c>
      <c r="CR93" s="7">
        <f t="shared" si="52"/>
        <v>0</v>
      </c>
    </row>
    <row r="94" spans="85:96" ht="18" customHeight="1">
      <c r="CG94" s="7">
        <f t="shared" si="21"/>
        <v>54.5</v>
      </c>
      <c r="CH94" s="7">
        <f t="shared" si="51"/>
        <v>48.833165567084265</v>
      </c>
      <c r="CI94" s="7">
        <f>CI93+0.5</f>
        <v>54.5</v>
      </c>
      <c r="CJ94" s="7">
        <f>CI94*PI()/180</f>
        <v>0.9512044423369095</v>
      </c>
      <c r="CK94" s="7">
        <f>SIN(ε)*SIN(CJ94)/SIN(ε-CJ94)*d</f>
        <v>8.826665378230347</v>
      </c>
      <c r="CL94" s="7">
        <f>SIN(ε)*COS(CJ94)/SIN(ε-CJ94)*d</f>
        <v>6.295999226938208</v>
      </c>
      <c r="CM94" s="7">
        <f t="shared" si="53"/>
        <v>0</v>
      </c>
      <c r="CN94" s="7">
        <f>CL94-H*TAN(α)</f>
        <v>4.795999226938208</v>
      </c>
      <c r="CO94" s="7">
        <f>IF(CJ94&gt;=ωo,0,1/2*γ*CM94^2*COS(ε)*COS(β)/SIN(ε-β))</f>
        <v>0</v>
      </c>
      <c r="CP94" s="7">
        <f>IF(CJ94&gt;=ωo,1/2*γ*H^2*COS(CJ94+α)*COS(α+β)/COS(α)^2/SIN(CJ94-β),γ/2*(2*H*CL94+CN94^2*TAN(β)-H^2*TAN(α)-CK94*CL94))</f>
        <v>142.6188569179828</v>
      </c>
      <c r="CQ94" s="7">
        <f>IF(CJ94&gt;=ωo,0,SIN(ε-φB)/COS(ε-φB-δ1)*CO94)</f>
        <v>0</v>
      </c>
      <c r="CR94" s="7">
        <f t="shared" si="52"/>
        <v>0</v>
      </c>
    </row>
    <row r="95" spans="85:96" ht="18" customHeight="1">
      <c r="CG95" s="7">
        <f t="shared" si="21"/>
        <v>55</v>
      </c>
      <c r="CH95" s="7">
        <f t="shared" si="51"/>
        <v>47.9714901544214</v>
      </c>
      <c r="CI95" s="7">
        <f aca="true" t="shared" si="54" ref="CI95:CI104">CI94+0.5</f>
        <v>55</v>
      </c>
      <c r="CJ95" s="7">
        <f aca="true" t="shared" si="55" ref="CJ95:CJ149">CI95*PI()/180</f>
        <v>0.9599310885968813</v>
      </c>
      <c r="CK95" s="7">
        <f aca="true" t="shared" si="56" ref="CK95:CK149">SIN(ε)*SIN(CJ95)/SIN(ε-CJ95)*d</f>
        <v>9.979289161931558</v>
      </c>
      <c r="CL95" s="7">
        <f aca="true" t="shared" si="57" ref="CL95:CL104">SIN(ε)*COS(CJ95)/SIN(ε-CJ95)*d</f>
        <v>6.987573497158935</v>
      </c>
      <c r="CM95" s="7">
        <f t="shared" si="53"/>
        <v>0</v>
      </c>
      <c r="CN95" s="7">
        <f aca="true" t="shared" si="58" ref="CN95:CN104">CL95-H*TAN(α)</f>
        <v>5.487573497158935</v>
      </c>
      <c r="CO95" s="7">
        <f aca="true" t="shared" si="59" ref="CO95:CO104">IF(CJ95&gt;=ωo,0,1/2*γ*CM95^2*COS(ε)*COS(β)/SIN(ε-β))</f>
        <v>0</v>
      </c>
      <c r="CP95" s="7">
        <f aca="true" t="shared" si="60" ref="CP95:CP104">IF(CJ95&gt;=ωo,1/2*γ*H^2*COS(CJ95+α)*COS(α+β)/COS(α)^2/SIN(CJ95-β),γ/2*(2*H*CL95+CN95^2*TAN(β)-H^2*TAN(α)-CK95*CL95))</f>
        <v>136.46013410961007</v>
      </c>
      <c r="CQ95" s="7">
        <f aca="true" t="shared" si="61" ref="CQ95:CQ104">IF(CJ95&gt;=ωo,0,SIN(ε-φB)/COS(ε-φB-δ1)*CO95)</f>
        <v>0</v>
      </c>
      <c r="CR95" s="7">
        <f t="shared" si="52"/>
        <v>0</v>
      </c>
    </row>
    <row r="96" spans="85:96" ht="18" customHeight="1">
      <c r="CG96" s="7">
        <f t="shared" si="21"/>
        <v>55.5</v>
      </c>
      <c r="CH96" s="7">
        <f t="shared" si="51"/>
        <v>47.08048418447764</v>
      </c>
      <c r="CI96" s="7">
        <f t="shared" si="54"/>
        <v>55.5</v>
      </c>
      <c r="CJ96" s="7">
        <f t="shared" si="55"/>
        <v>0.9686577348568529</v>
      </c>
      <c r="CK96" s="7">
        <f t="shared" si="56"/>
        <v>11.457252716075422</v>
      </c>
      <c r="CL96" s="7">
        <f t="shared" si="57"/>
        <v>7.874351629645252</v>
      </c>
      <c r="CM96" s="7">
        <f t="shared" si="53"/>
        <v>0</v>
      </c>
      <c r="CN96" s="7">
        <f t="shared" si="58"/>
        <v>6.374351629645252</v>
      </c>
      <c r="CO96" s="7">
        <f t="shared" si="59"/>
        <v>0</v>
      </c>
      <c r="CP96" s="7">
        <f t="shared" si="60"/>
        <v>130.51844542274543</v>
      </c>
      <c r="CQ96" s="7">
        <f t="shared" si="61"/>
        <v>0</v>
      </c>
      <c r="CR96" s="7">
        <f t="shared" si="52"/>
        <v>0</v>
      </c>
    </row>
    <row r="97" spans="85:96" ht="18" customHeight="1">
      <c r="CG97" s="7">
        <f t="shared" si="21"/>
        <v>56</v>
      </c>
      <c r="CH97" s="7">
        <f t="shared" si="51"/>
        <v>46.161162685152725</v>
      </c>
      <c r="CI97" s="7">
        <f t="shared" si="54"/>
        <v>56</v>
      </c>
      <c r="CJ97" s="7">
        <f t="shared" si="55"/>
        <v>0.9773843811168246</v>
      </c>
      <c r="CK97" s="7">
        <f t="shared" si="56"/>
        <v>13.421284470268498</v>
      </c>
      <c r="CL97" s="7">
        <f t="shared" si="57"/>
        <v>9.052770682161098</v>
      </c>
      <c r="CM97" s="7">
        <f t="shared" si="53"/>
        <v>0</v>
      </c>
      <c r="CN97" s="7">
        <f t="shared" si="58"/>
        <v>7.552770682161098</v>
      </c>
      <c r="CO97" s="7">
        <f t="shared" si="59"/>
        <v>0</v>
      </c>
      <c r="CP97" s="7">
        <f t="shared" si="60"/>
        <v>124.78165842881607</v>
      </c>
      <c r="CQ97" s="7">
        <f t="shared" si="61"/>
        <v>0</v>
      </c>
      <c r="CR97" s="7">
        <f t="shared" si="52"/>
        <v>0</v>
      </c>
    </row>
    <row r="98" spans="85:96" ht="18" customHeight="1">
      <c r="CG98" s="7">
        <f t="shared" si="21"/>
        <v>56.5</v>
      </c>
      <c r="CH98" s="7">
        <f t="shared" si="51"/>
        <v>45.21444260730529</v>
      </c>
      <c r="CI98" s="7">
        <f t="shared" si="54"/>
        <v>56.5</v>
      </c>
      <c r="CJ98" s="7">
        <f t="shared" si="55"/>
        <v>0.9861110273767961</v>
      </c>
      <c r="CK98" s="7">
        <f t="shared" si="56"/>
        <v>16.15885807091327</v>
      </c>
      <c r="CL98" s="7">
        <f t="shared" si="57"/>
        <v>10.695314842547962</v>
      </c>
      <c r="CM98" s="7">
        <f t="shared" si="53"/>
        <v>0</v>
      </c>
      <c r="CN98" s="7">
        <f t="shared" si="58"/>
        <v>9.195314842547962</v>
      </c>
      <c r="CO98" s="7">
        <f t="shared" si="59"/>
        <v>0</v>
      </c>
      <c r="CP98" s="7">
        <f t="shared" si="60"/>
        <v>119.23852366810917</v>
      </c>
      <c r="CQ98" s="7">
        <f t="shared" si="61"/>
        <v>0</v>
      </c>
      <c r="CR98" s="7">
        <f t="shared" si="52"/>
        <v>0</v>
      </c>
    </row>
    <row r="99" spans="85:96" ht="18" customHeight="1">
      <c r="CG99" s="7">
        <f t="shared" si="21"/>
        <v>57</v>
      </c>
      <c r="CH99" s="7">
        <f t="shared" si="51"/>
        <v>44.241150995765594</v>
      </c>
      <c r="CI99" s="7">
        <f t="shared" si="54"/>
        <v>57</v>
      </c>
      <c r="CJ99" s="7">
        <f t="shared" si="55"/>
        <v>0.9948376736367678</v>
      </c>
      <c r="CK99" s="7">
        <f t="shared" si="56"/>
        <v>20.239803950830417</v>
      </c>
      <c r="CL99" s="7">
        <f t="shared" si="57"/>
        <v>13.14388237049825</v>
      </c>
      <c r="CM99" s="7">
        <f t="shared" si="53"/>
        <v>0</v>
      </c>
      <c r="CN99" s="7">
        <f t="shared" si="58"/>
        <v>11.64388237049825</v>
      </c>
      <c r="CO99" s="7">
        <f t="shared" si="59"/>
        <v>0</v>
      </c>
      <c r="CP99" s="7">
        <f t="shared" si="60"/>
        <v>113.87859564725838</v>
      </c>
      <c r="CQ99" s="7">
        <f t="shared" si="61"/>
        <v>0</v>
      </c>
      <c r="CR99" s="7">
        <f t="shared" si="52"/>
        <v>0</v>
      </c>
    </row>
    <row r="100" spans="85:96" ht="18" customHeight="1">
      <c r="CG100" s="7">
        <f t="shared" si="21"/>
        <v>57.5</v>
      </c>
      <c r="CH100" s="7">
        <f t="shared" si="51"/>
        <v>43.24203226940306</v>
      </c>
      <c r="CI100" s="7">
        <f t="shared" si="54"/>
        <v>57.5</v>
      </c>
      <c r="CJ100" s="7">
        <f t="shared" si="55"/>
        <v>1.0035643198967394</v>
      </c>
      <c r="CK100" s="7">
        <f t="shared" si="56"/>
        <v>26.97580157833316</v>
      </c>
      <c r="CL100" s="7">
        <f t="shared" si="57"/>
        <v>17.185480946999895</v>
      </c>
      <c r="CM100" s="7">
        <f t="shared" si="53"/>
        <v>0</v>
      </c>
      <c r="CN100" s="7">
        <f t="shared" si="58"/>
        <v>15.685480946999895</v>
      </c>
      <c r="CO100" s="7">
        <f t="shared" si="59"/>
        <v>0</v>
      </c>
      <c r="CP100" s="7">
        <f t="shared" si="60"/>
        <v>108.69216216843691</v>
      </c>
      <c r="CQ100" s="7">
        <f t="shared" si="61"/>
        <v>0</v>
      </c>
      <c r="CR100" s="7">
        <f t="shared" si="52"/>
        <v>0</v>
      </c>
    </row>
    <row r="101" spans="85:96" ht="18" customHeight="1">
      <c r="CG101" s="7">
        <f t="shared" si="21"/>
        <v>58</v>
      </c>
      <c r="CH101" s="7">
        <f t="shared" si="51"/>
        <v>42.2177547167854</v>
      </c>
      <c r="CI101" s="7">
        <f t="shared" si="54"/>
        <v>58</v>
      </c>
      <c r="CJ101" s="7">
        <f t="shared" si="55"/>
        <v>1.0122909661567112</v>
      </c>
      <c r="CK101" s="7">
        <f t="shared" si="56"/>
        <v>40.210135095034</v>
      </c>
      <c r="CL101" s="7">
        <f t="shared" si="57"/>
        <v>25.1260810570204</v>
      </c>
      <c r="CM101" s="7">
        <f t="shared" si="53"/>
        <v>0</v>
      </c>
      <c r="CN101" s="7">
        <f t="shared" si="58"/>
        <v>23.6260810570204</v>
      </c>
      <c r="CO101" s="7">
        <f t="shared" si="59"/>
        <v>0</v>
      </c>
      <c r="CP101" s="7">
        <f t="shared" si="60"/>
        <v>103.67018098280225</v>
      </c>
      <c r="CQ101" s="7">
        <f t="shared" si="61"/>
        <v>0</v>
      </c>
      <c r="CR101" s="7">
        <f t="shared" si="52"/>
        <v>0</v>
      </c>
    </row>
    <row r="102" spans="85:96" ht="18" customHeight="1">
      <c r="CG102" s="7">
        <f t="shared" si="21"/>
        <v>58.5</v>
      </c>
      <c r="CH102" s="7">
        <f t="shared" si="51"/>
        <v>41.168916299423174</v>
      </c>
      <c r="CI102" s="7">
        <f t="shared" si="54"/>
        <v>58.5</v>
      </c>
      <c r="CJ102" s="7">
        <f t="shared" si="55"/>
        <v>1.0210176124166828</v>
      </c>
      <c r="CK102" s="7">
        <f t="shared" si="56"/>
        <v>78.1201898717858</v>
      </c>
      <c r="CL102" s="7">
        <f t="shared" si="57"/>
        <v>47.872113923071474</v>
      </c>
      <c r="CM102" s="7">
        <f t="shared" si="53"/>
        <v>0</v>
      </c>
      <c r="CN102" s="7">
        <f t="shared" si="58"/>
        <v>46.372113923071474</v>
      </c>
      <c r="CO102" s="7">
        <f t="shared" si="59"/>
        <v>0</v>
      </c>
      <c r="CP102" s="7">
        <f t="shared" si="60"/>
        <v>98.80422289759768</v>
      </c>
      <c r="CQ102" s="7">
        <f t="shared" si="61"/>
        <v>0</v>
      </c>
      <c r="CR102" s="7">
        <f t="shared" si="52"/>
        <v>0</v>
      </c>
    </row>
    <row r="103" spans="85:96" ht="18" customHeight="1">
      <c r="CG103" s="7">
        <f t="shared" si="21"/>
        <v>59</v>
      </c>
      <c r="CH103" s="7">
        <f t="shared" si="51"/>
        <v>40.09604984223151</v>
      </c>
      <c r="CI103" s="7">
        <f t="shared" si="54"/>
        <v>59</v>
      </c>
      <c r="CJ103" s="7">
        <f t="shared" si="55"/>
        <v>1.0297442586766543</v>
      </c>
      <c r="CK103" s="7">
        <f t="shared" si="56"/>
        <v>1161.9543235459257</v>
      </c>
      <c r="CL103" s="7">
        <f t="shared" si="57"/>
        <v>698.1725941275554</v>
      </c>
      <c r="CM103" s="7">
        <f t="shared" si="53"/>
        <v>0</v>
      </c>
      <c r="CN103" s="7">
        <f t="shared" si="58"/>
        <v>696.6725941275554</v>
      </c>
      <c r="CO103" s="7">
        <f t="shared" si="59"/>
        <v>0</v>
      </c>
      <c r="CP103" s="7">
        <f t="shared" si="60"/>
        <v>94.08642058260303</v>
      </c>
      <c r="CQ103" s="7">
        <f t="shared" si="61"/>
        <v>0</v>
      </c>
      <c r="CR103" s="7">
        <f t="shared" si="52"/>
        <v>0</v>
      </c>
    </row>
    <row r="104" spans="85:96" ht="18" customHeight="1">
      <c r="CG104" s="7">
        <f t="shared" si="21"/>
        <v>59.5</v>
      </c>
      <c r="CH104" s="7">
        <f t="shared" si="51"/>
        <v>38.999627680303334</v>
      </c>
      <c r="CI104" s="7">
        <f t="shared" si="54"/>
        <v>59.5</v>
      </c>
      <c r="CJ104" s="7">
        <f t="shared" si="55"/>
        <v>1.038470904936626</v>
      </c>
      <c r="CK104" s="7">
        <f t="shared" si="56"/>
        <v>-91.2826562219558</v>
      </c>
      <c r="CL104" s="7">
        <f t="shared" si="57"/>
        <v>-53.76959373317348</v>
      </c>
      <c r="CM104" s="7">
        <f>IF(CJ104&gt;=ωo,0,Y-(X-CL104)*TAN(β)-CK104)</f>
        <v>0</v>
      </c>
      <c r="CN104" s="7">
        <f t="shared" si="58"/>
        <v>-55.26959373317348</v>
      </c>
      <c r="CO104" s="7">
        <f t="shared" si="59"/>
        <v>0</v>
      </c>
      <c r="CP104" s="7">
        <f t="shared" si="60"/>
        <v>89.50942242073465</v>
      </c>
      <c r="CQ104" s="7">
        <f t="shared" si="61"/>
        <v>0</v>
      </c>
      <c r="CR104" s="7">
        <f t="shared" si="52"/>
        <v>0</v>
      </c>
    </row>
    <row r="105" spans="85:96" ht="18" customHeight="1">
      <c r="CG105" s="7">
        <f t="shared" si="21"/>
        <v>60</v>
      </c>
      <c r="CH105" s="7">
        <f t="shared" si="51"/>
        <v>37.88006582207648</v>
      </c>
      <c r="CI105" s="7">
        <f>CI104+0.5</f>
        <v>60</v>
      </c>
      <c r="CJ105" s="7">
        <f t="shared" si="55"/>
        <v>1.0471975511965976</v>
      </c>
      <c r="CK105" s="7">
        <f t="shared" si="56"/>
        <v>-44.15063509461138</v>
      </c>
      <c r="CL105" s="7">
        <f>SIN(ε)*COS(CJ105)/SIN(ε-CJ105)*d</f>
        <v>-25.490381056766825</v>
      </c>
      <c r="CM105" s="7">
        <f>IF(CJ105&gt;=ωo,0,Y-(X-CL105)*TAN(β)-CK105)</f>
        <v>0</v>
      </c>
      <c r="CN105" s="7">
        <f>CL105-H*TAN(α)</f>
        <v>-26.990381056766825</v>
      </c>
      <c r="CO105" s="7">
        <f>IF(CJ105&gt;=ωo,0,1/2*γ*CM105^2*COS(ε)*COS(β)/SIN(ε-β))</f>
        <v>0</v>
      </c>
      <c r="CP105" s="7">
        <f>IF(CJ105&gt;=ωo,1/2*γ*H^2*COS(CJ105+α)*COS(α+β)/COS(α)^2/SIN(CJ105-β),γ/2*(2*H*CL105+CN105^2*TAN(β)-H^2*TAN(α)-CK105*CL105))</f>
        <v>85.06635083228144</v>
      </c>
      <c r="CQ105" s="7">
        <f>IF(CJ105&gt;=ωo,0,SIN(ε-φB)/COS(ε-φB-δ1)*CO105)</f>
        <v>0</v>
      </c>
      <c r="CR105" s="7">
        <f t="shared" si="52"/>
        <v>0</v>
      </c>
    </row>
    <row r="106" spans="85:96" ht="18" customHeight="1">
      <c r="CG106" s="7">
        <f t="shared" si="21"/>
        <v>60.5</v>
      </c>
      <c r="CH106" s="7">
        <f t="shared" si="51"/>
        <v>36.737727681251556</v>
      </c>
      <c r="CI106" s="7">
        <f>CI105+0.5</f>
        <v>60.5</v>
      </c>
      <c r="CJ106" s="7">
        <f t="shared" si="55"/>
        <v>1.0559241974565694</v>
      </c>
      <c r="CK106" s="7">
        <f t="shared" si="56"/>
        <v>-29.216510924725</v>
      </c>
      <c r="CL106" s="7">
        <f>SIN(ε)*COS(CJ106)/SIN(ε-CJ106)*d</f>
        <v>-16.529906554834998</v>
      </c>
      <c r="CM106" s="7">
        <f>IF(CJ106&gt;=ωo,0,Y-(X-CL106)*TAN(β)-CK106)</f>
        <v>0</v>
      </c>
      <c r="CN106" s="7">
        <f>CL106-H*TAN(α)</f>
        <v>-18.029906554834998</v>
      </c>
      <c r="CO106" s="7">
        <f>IF(CJ106&gt;=ωo,0,1/2*γ*CM106^2*COS(ε)*COS(β)/SIN(ε-β))</f>
        <v>0</v>
      </c>
      <c r="CP106" s="7">
        <f>IF(CJ106&gt;=ωo,1/2*γ*H^2*COS(CJ106+α)*COS(α+β)/COS(α)^2/SIN(CJ106-β),γ/2*(2*H*CL106+CN106^2*TAN(β)-H^2*TAN(α)-CK106*CL106))</f>
        <v>80.75076457483634</v>
      </c>
      <c r="CQ106" s="7">
        <f>IF(CJ106&gt;=ωo,0,SIN(ε-φB)/COS(ε-φB-δ1)*CO106)</f>
        <v>0</v>
      </c>
      <c r="CR106" s="7">
        <f t="shared" si="52"/>
        <v>0</v>
      </c>
    </row>
    <row r="107" spans="85:96" ht="18" customHeight="1">
      <c r="CG107" s="7">
        <f t="shared" si="21"/>
        <v>61</v>
      </c>
      <c r="CH107" s="7">
        <f t="shared" si="51"/>
        <v>35.57292742317543</v>
      </c>
      <c r="CI107" s="7">
        <f>CI106+0.5</f>
        <v>61</v>
      </c>
      <c r="CJ107" s="7">
        <f t="shared" si="55"/>
        <v>1.064650843716541</v>
      </c>
      <c r="CK107" s="7">
        <f t="shared" si="56"/>
        <v>-21.886172902851783</v>
      </c>
      <c r="CL107" s="7">
        <f>SIN(ε)*COS(CJ107)/SIN(ε-CJ107)*d</f>
        <v>-12.131703741711068</v>
      </c>
      <c r="CM107" s="7">
        <f>IF(CJ107&gt;=ωo,0,Y-(X-CL107)*TAN(β)-CK107)</f>
        <v>0</v>
      </c>
      <c r="CN107" s="7">
        <f>CL107-H*TAN(α)</f>
        <v>-13.631703741711068</v>
      </c>
      <c r="CO107" s="7">
        <f>IF(CJ107&gt;=ωo,0,1/2*γ*CM107^2*COS(ε)*COS(β)/SIN(ε-β))</f>
        <v>0</v>
      </c>
      <c r="CP107" s="7">
        <f>IF(CJ107&gt;=ωo,1/2*γ*H^2*COS(CJ107+α)*COS(α+β)/COS(α)^2/SIN(CJ107-β),γ/2*(2*H*CL107+CN107^2*TAN(β)-H^2*TAN(α)-CK107*CL107))</f>
        <v>76.55662458333458</v>
      </c>
      <c r="CQ107" s="7">
        <f>IF(CJ107&gt;=ωo,0,SIN(ε-φB)/COS(ε-φB-δ1)*CO107)</f>
        <v>0</v>
      </c>
      <c r="CR107" s="7">
        <f t="shared" si="52"/>
        <v>0</v>
      </c>
    </row>
    <row r="108" spans="85:96" ht="18" customHeight="1">
      <c r="CG108" s="7">
        <f t="shared" si="21"/>
        <v>61.5</v>
      </c>
      <c r="CH108" s="7">
        <f t="shared" si="51"/>
        <v>34.385932965676865</v>
      </c>
      <c r="CI108" s="7">
        <f>CI107+0.5</f>
        <v>61.5</v>
      </c>
      <c r="CJ108" s="7">
        <f t="shared" si="55"/>
        <v>1.0733774899765127</v>
      </c>
      <c r="CK108" s="7">
        <f t="shared" si="56"/>
        <v>-17.530235162175956</v>
      </c>
      <c r="CL108" s="7">
        <f>SIN(ε)*COS(CJ108)/SIN(ε-CJ108)*d</f>
        <v>-9.518141097305572</v>
      </c>
      <c r="CM108" s="7">
        <f>IF(CJ108&gt;=ωo,0,Y-(X-CL108)*TAN(β)-CK108)</f>
        <v>0</v>
      </c>
      <c r="CN108" s="7">
        <f>CL108-H*TAN(α)</f>
        <v>-11.018141097305572</v>
      </c>
      <c r="CO108" s="7">
        <f>IF(CJ108&gt;=ωo,0,1/2*γ*CM108^2*COS(ε)*COS(β)/SIN(ε-β))</f>
        <v>0</v>
      </c>
      <c r="CP108" s="7">
        <f>IF(CJ108&gt;=ωo,1/2*γ*H^2*COS(CJ108+α)*COS(α+β)/COS(α)^2/SIN(CJ108-β),γ/2*(2*H*CL108+CN108^2*TAN(β)-H^2*TAN(α)-CK108*CL108))</f>
        <v>72.47826296830459</v>
      </c>
      <c r="CQ108" s="7">
        <f>IF(CJ108&gt;=ωo,0,SIN(ε-φB)/COS(ε-φB-δ1)*CO108)</f>
        <v>0</v>
      </c>
      <c r="CR108" s="7">
        <f t="shared" si="52"/>
        <v>0</v>
      </c>
    </row>
    <row r="109" spans="85:96" ht="18" customHeight="1">
      <c r="CG109" s="7">
        <f t="shared" si="21"/>
        <v>62</v>
      </c>
      <c r="CH109" s="7">
        <f t="shared" si="51"/>
        <v>33.17696866939356</v>
      </c>
      <c r="CI109" s="7">
        <f aca="true" t="shared" si="62" ref="CI109:CI129">CI108+0.5</f>
        <v>62</v>
      </c>
      <c r="CJ109" s="7">
        <f t="shared" si="55"/>
        <v>1.0821041362364843</v>
      </c>
      <c r="CK109" s="7">
        <f t="shared" si="56"/>
        <v>-14.64331055268028</v>
      </c>
      <c r="CL109" s="7">
        <f aca="true" t="shared" si="63" ref="CL109:CL129">SIN(ε)*COS(CJ109)/SIN(ε-CJ109)*d</f>
        <v>-7.785986331608168</v>
      </c>
      <c r="CM109" s="7">
        <f aca="true" t="shared" si="64" ref="CM109:CM129">IF(CJ109&gt;=ωo,0,Y-(X-CL109)*TAN(β)-CK109)</f>
        <v>0</v>
      </c>
      <c r="CN109" s="7">
        <f aca="true" t="shared" si="65" ref="CN109:CN129">CL109-H*TAN(α)</f>
        <v>-9.285986331608168</v>
      </c>
      <c r="CO109" s="7">
        <f aca="true" t="shared" si="66" ref="CO109:CO129">IF(CJ109&gt;=ωo,0,1/2*γ*CM109^2*COS(ε)*COS(β)/SIN(ε-β))</f>
        <v>0</v>
      </c>
      <c r="CP109" s="7">
        <f aca="true" t="shared" si="67" ref="CP109:CP129">IF(CJ109&gt;=ωo,1/2*γ*H^2*COS(CJ109+α)*COS(α+β)/COS(α)^2/SIN(CJ109-β),γ/2*(2*H*CL109+CN109^2*TAN(β)-H^2*TAN(α)-CK109*CL109))</f>
        <v>68.51035483681243</v>
      </c>
      <c r="CQ109" s="7">
        <f aca="true" t="shared" si="68" ref="CQ109:CQ129">IF(CJ109&gt;=ωo,0,SIN(ε-φB)/COS(ε-φB-δ1)*CO109)</f>
        <v>0</v>
      </c>
      <c r="CR109" s="7">
        <f t="shared" si="52"/>
        <v>0</v>
      </c>
    </row>
    <row r="110" spans="85:96" ht="18" customHeight="1">
      <c r="CG110" s="7">
        <f t="shared" si="21"/>
        <v>62.5</v>
      </c>
      <c r="CH110" s="7">
        <f t="shared" si="51"/>
        <v>31.946217748337062</v>
      </c>
      <c r="CI110" s="7">
        <f t="shared" si="62"/>
        <v>62.5</v>
      </c>
      <c r="CJ110" s="7">
        <f t="shared" si="55"/>
        <v>1.0908307824964558</v>
      </c>
      <c r="CK110" s="7">
        <f t="shared" si="56"/>
        <v>-12.589234152150542</v>
      </c>
      <c r="CL110" s="7">
        <f t="shared" si="63"/>
        <v>-6.553540491290327</v>
      </c>
      <c r="CM110" s="7">
        <f t="shared" si="64"/>
        <v>0</v>
      </c>
      <c r="CN110" s="7">
        <f t="shared" si="65"/>
        <v>-8.053540491290327</v>
      </c>
      <c r="CO110" s="7">
        <f t="shared" si="66"/>
        <v>0</v>
      </c>
      <c r="CP110" s="7">
        <f t="shared" si="67"/>
        <v>64.6478926407001</v>
      </c>
      <c r="CQ110" s="7">
        <f t="shared" si="68"/>
        <v>0</v>
      </c>
      <c r="CR110" s="7">
        <f t="shared" si="52"/>
        <v>0</v>
      </c>
    </row>
    <row r="111" spans="85:96" ht="18" customHeight="1">
      <c r="CG111" s="7">
        <f t="shared" si="21"/>
        <v>63</v>
      </c>
      <c r="CH111" s="7">
        <f t="shared" si="51"/>
        <v>30.693824427716326</v>
      </c>
      <c r="CI111" s="7">
        <f t="shared" si="62"/>
        <v>63</v>
      </c>
      <c r="CJ111" s="7">
        <f t="shared" si="55"/>
        <v>1.0995574287564276</v>
      </c>
      <c r="CK111" s="7">
        <f t="shared" si="56"/>
        <v>-11.052831922479944</v>
      </c>
      <c r="CL111" s="7">
        <f t="shared" si="63"/>
        <v>-5.631699153487966</v>
      </c>
      <c r="CM111" s="7">
        <f t="shared" si="64"/>
        <v>0</v>
      </c>
      <c r="CN111" s="7">
        <f t="shared" si="65"/>
        <v>-7.131699153487966</v>
      </c>
      <c r="CO111" s="7">
        <f t="shared" si="66"/>
        <v>0</v>
      </c>
      <c r="CP111" s="7">
        <f t="shared" si="67"/>
        <v>60.88616279153159</v>
      </c>
      <c r="CQ111" s="7">
        <f t="shared" si="68"/>
        <v>0</v>
      </c>
      <c r="CR111" s="7">
        <f t="shared" si="52"/>
        <v>0</v>
      </c>
    </row>
    <row r="112" spans="85:96" ht="18" customHeight="1">
      <c r="CG112" s="7">
        <f t="shared" si="21"/>
        <v>63.5</v>
      </c>
      <c r="CH112" s="7">
        <f t="shared" si="51"/>
        <v>29.419895872793504</v>
      </c>
      <c r="CI112" s="7">
        <f t="shared" si="62"/>
        <v>63.5</v>
      </c>
      <c r="CJ112" s="7">
        <f t="shared" si="55"/>
        <v>1.1082840750163994</v>
      </c>
      <c r="CK112" s="7">
        <f t="shared" si="56"/>
        <v>-9.860144504429156</v>
      </c>
      <c r="CL112" s="7">
        <f t="shared" si="63"/>
        <v>-4.916086702657494</v>
      </c>
      <c r="CM112" s="7">
        <f t="shared" si="64"/>
        <v>0</v>
      </c>
      <c r="CN112" s="7">
        <f t="shared" si="65"/>
        <v>-6.416086702657494</v>
      </c>
      <c r="CO112" s="7">
        <f t="shared" si="66"/>
        <v>0</v>
      </c>
      <c r="CP112" s="7">
        <f t="shared" si="67"/>
        <v>57.22072431191998</v>
      </c>
      <c r="CQ112" s="7">
        <f t="shared" si="68"/>
        <v>0</v>
      </c>
      <c r="CR112" s="7">
        <f t="shared" si="52"/>
        <v>0</v>
      </c>
    </row>
    <row r="113" spans="85:96" ht="18" customHeight="1">
      <c r="CG113" s="7">
        <f t="shared" si="21"/>
        <v>64</v>
      </c>
      <c r="CH113" s="7">
        <f t="shared" si="51"/>
        <v>28.124503909707755</v>
      </c>
      <c r="CI113" s="7">
        <f t="shared" si="62"/>
        <v>64</v>
      </c>
      <c r="CJ113" s="7">
        <f t="shared" si="55"/>
        <v>1.117010721276371</v>
      </c>
      <c r="CK113" s="7">
        <f t="shared" si="56"/>
        <v>-8.907304330131888</v>
      </c>
      <c r="CL113" s="7">
        <f t="shared" si="63"/>
        <v>-4.344382598079132</v>
      </c>
      <c r="CM113" s="7">
        <f t="shared" si="64"/>
        <v>0</v>
      </c>
      <c r="CN113" s="7">
        <f t="shared" si="65"/>
        <v>-5.844382598079132</v>
      </c>
      <c r="CO113" s="7">
        <f t="shared" si="66"/>
        <v>0</v>
      </c>
      <c r="CP113" s="7">
        <f t="shared" si="67"/>
        <v>53.64738931927014</v>
      </c>
      <c r="CQ113" s="7">
        <f t="shared" si="68"/>
        <v>0</v>
      </c>
      <c r="CR113" s="7">
        <f t="shared" si="52"/>
        <v>0</v>
      </c>
    </row>
    <row r="114" spans="85:96" ht="18" customHeight="1">
      <c r="CG114" s="7">
        <f t="shared" si="21"/>
        <v>64.5</v>
      </c>
      <c r="CH114" s="7">
        <f t="shared" si="51"/>
        <v>26.807686556722498</v>
      </c>
      <c r="CI114" s="7">
        <f t="shared" si="62"/>
        <v>64.5</v>
      </c>
      <c r="CJ114" s="7">
        <f t="shared" si="55"/>
        <v>1.1257373675363425</v>
      </c>
      <c r="CK114" s="7">
        <f t="shared" si="56"/>
        <v>-8.128464377305592</v>
      </c>
      <c r="CL114" s="7">
        <f t="shared" si="63"/>
        <v>-3.877078626383355</v>
      </c>
      <c r="CM114" s="7">
        <f t="shared" si="64"/>
        <v>0</v>
      </c>
      <c r="CN114" s="7">
        <f t="shared" si="65"/>
        <v>-5.377078626383355</v>
      </c>
      <c r="CO114" s="7">
        <f t="shared" si="66"/>
        <v>0</v>
      </c>
      <c r="CP114" s="7">
        <f t="shared" si="67"/>
        <v>50.162205160994375</v>
      </c>
      <c r="CQ114" s="7">
        <f t="shared" si="68"/>
        <v>0</v>
      </c>
      <c r="CR114" s="7">
        <f t="shared" si="52"/>
        <v>0</v>
      </c>
    </row>
    <row r="115" spans="85:96" ht="18" customHeight="1">
      <c r="CG115" s="7">
        <f t="shared" si="21"/>
        <v>65</v>
      </c>
      <c r="CH115" s="7">
        <f t="shared" si="51"/>
        <v>25.469449382167966</v>
      </c>
      <c r="CI115" s="7">
        <f t="shared" si="62"/>
        <v>65</v>
      </c>
      <c r="CJ115" s="7">
        <f t="shared" si="55"/>
        <v>1.1344640137963142</v>
      </c>
      <c r="CK115" s="7">
        <f t="shared" si="56"/>
        <v>-7.479859999455827</v>
      </c>
      <c r="CL115" s="7">
        <f t="shared" si="63"/>
        <v>-3.4879159996734956</v>
      </c>
      <c r="CM115" s="7">
        <f t="shared" si="64"/>
        <v>0</v>
      </c>
      <c r="CN115" s="7">
        <f t="shared" si="65"/>
        <v>-4.987915999673495</v>
      </c>
      <c r="CO115" s="7">
        <f t="shared" si="66"/>
        <v>0</v>
      </c>
      <c r="CP115" s="7">
        <f t="shared" si="67"/>
        <v>46.76143804038755</v>
      </c>
      <c r="CQ115" s="7">
        <f t="shared" si="68"/>
        <v>0</v>
      </c>
      <c r="CR115" s="7">
        <f t="shared" si="52"/>
        <v>0</v>
      </c>
    </row>
    <row r="116" spans="2:96" ht="18" customHeight="1">
      <c r="B116" s="9" t="s">
        <v>232</v>
      </c>
      <c r="C116" s="7">
        <f>ROUND(BF12,3)</f>
        <v>9</v>
      </c>
      <c r="D116" s="7" t="s">
        <v>168</v>
      </c>
      <c r="CG116" s="7">
        <f t="shared" si="21"/>
        <v>65.5</v>
      </c>
      <c r="CH116" s="7">
        <f t="shared" si="51"/>
        <v>24.10976670343388</v>
      </c>
      <c r="CI116" s="7">
        <f t="shared" si="62"/>
        <v>65.5</v>
      </c>
      <c r="CJ116" s="7">
        <f t="shared" si="55"/>
        <v>1.143190660056286</v>
      </c>
      <c r="CK116" s="7">
        <f t="shared" si="56"/>
        <v>-6.931268081323365</v>
      </c>
      <c r="CL116" s="7">
        <f t="shared" si="63"/>
        <v>-3.1587608487940195</v>
      </c>
      <c r="CM116" s="7">
        <f t="shared" si="64"/>
        <v>0</v>
      </c>
      <c r="CN116" s="7">
        <f t="shared" si="65"/>
        <v>-4.658760848794019</v>
      </c>
      <c r="CO116" s="7">
        <f t="shared" si="66"/>
        <v>0</v>
      </c>
      <c r="CP116" s="7">
        <f t="shared" si="67"/>
        <v>43.441557990002664</v>
      </c>
      <c r="CQ116" s="7">
        <f t="shared" si="68"/>
        <v>0</v>
      </c>
      <c r="CR116" s="7">
        <f t="shared" si="52"/>
        <v>0</v>
      </c>
    </row>
    <row r="117" spans="2:96" ht="18" customHeight="1">
      <c r="B117" s="24" t="s">
        <v>264</v>
      </c>
      <c r="C117" s="16" t="s">
        <v>233</v>
      </c>
      <c r="D117" s="16" t="s">
        <v>234</v>
      </c>
      <c r="E117" s="51" t="s">
        <v>235</v>
      </c>
      <c r="F117" s="16" t="s">
        <v>236</v>
      </c>
      <c r="G117" s="17" t="s">
        <v>169</v>
      </c>
      <c r="CG117" s="7">
        <f t="shared" si="21"/>
        <v>66</v>
      </c>
      <c r="CH117" s="7">
        <f t="shared" si="51"/>
        <v>22.728582639669668</v>
      </c>
      <c r="CI117" s="7">
        <f t="shared" si="62"/>
        <v>66</v>
      </c>
      <c r="CJ117" s="7">
        <f t="shared" si="55"/>
        <v>1.1519173063162575</v>
      </c>
      <c r="CK117" s="7">
        <f t="shared" si="56"/>
        <v>-6.461145606945945</v>
      </c>
      <c r="CL117" s="7">
        <f t="shared" si="63"/>
        <v>-2.876687364167567</v>
      </c>
      <c r="CM117" s="7">
        <f t="shared" si="64"/>
        <v>0</v>
      </c>
      <c r="CN117" s="7">
        <f t="shared" si="65"/>
        <v>-4.376687364167568</v>
      </c>
      <c r="CO117" s="7">
        <f t="shared" si="66"/>
        <v>0</v>
      </c>
      <c r="CP117" s="7">
        <f t="shared" si="67"/>
        <v>40.19922506486196</v>
      </c>
      <c r="CQ117" s="7">
        <f t="shared" si="68"/>
        <v>0</v>
      </c>
      <c r="CR117" s="7">
        <f t="shared" si="52"/>
        <v>0</v>
      </c>
    </row>
    <row r="118" spans="2:96" ht="18" customHeight="1">
      <c r="B118" s="18">
        <f>BL5-5</f>
        <v>70</v>
      </c>
      <c r="C118" s="19">
        <f aca="true" t="shared" si="69" ref="C118:C128">VLOOKUP($B118,$BD$15:$BK$55,3,FALSE)</f>
        <v>3.0275204866730676</v>
      </c>
      <c r="D118" s="19">
        <f aca="true" t="shared" si="70" ref="D118:D128">VLOOKUP($B118,$BD$15:$BK$55,4,FALSE)</f>
        <v>8.045200294979198</v>
      </c>
      <c r="E118" s="19">
        <f aca="true" t="shared" si="71" ref="E118:E128">VLOOKUP($B118,$BD$15:$BK$55,6,FALSE)</f>
        <v>26.759876135954734</v>
      </c>
      <c r="F118" s="19">
        <f aca="true" t="shared" si="72" ref="F118:F128">VLOOKUP($B118,$BD$15:$BK$55,7,FALSE)</f>
        <v>3.2769262620483905</v>
      </c>
      <c r="G118" s="20">
        <f aca="true" t="shared" si="73" ref="G118:G128">VLOOKUP($B118,$BD$15:$BK$55,8,FALSE)</f>
        <v>3.6699757213302577</v>
      </c>
      <c r="CG118" s="7">
        <f t="shared" si="21"/>
        <v>66.5</v>
      </c>
      <c r="CH118" s="7">
        <f t="shared" si="51"/>
        <v>21.32581202935278</v>
      </c>
      <c r="CI118" s="7">
        <f t="shared" si="62"/>
        <v>66.5</v>
      </c>
      <c r="CJ118" s="7">
        <f t="shared" si="55"/>
        <v>1.160643952576229</v>
      </c>
      <c r="CK118" s="7">
        <f t="shared" si="56"/>
        <v>-6.05372224319772</v>
      </c>
      <c r="CL118" s="7">
        <f t="shared" si="63"/>
        <v>-2.6322333459186313</v>
      </c>
      <c r="CM118" s="7">
        <f t="shared" si="64"/>
        <v>0</v>
      </c>
      <c r="CN118" s="7">
        <f t="shared" si="65"/>
        <v>-4.132233345918632</v>
      </c>
      <c r="CO118" s="7">
        <f t="shared" si="66"/>
        <v>0</v>
      </c>
      <c r="CP118" s="7">
        <f t="shared" si="67"/>
        <v>37.03127664148252</v>
      </c>
      <c r="CQ118" s="7">
        <f t="shared" si="68"/>
        <v>0</v>
      </c>
      <c r="CR118" s="7">
        <f t="shared" si="52"/>
        <v>0</v>
      </c>
    </row>
    <row r="119" spans="2:96" ht="18" customHeight="1">
      <c r="B119" s="18">
        <f>B118+1</f>
        <v>71</v>
      </c>
      <c r="C119" s="19">
        <f t="shared" si="69"/>
        <v>2.890368524287961</v>
      </c>
      <c r="D119" s="19">
        <f t="shared" si="70"/>
        <v>8.067238088634626</v>
      </c>
      <c r="E119" s="19">
        <f t="shared" si="71"/>
        <v>26.41611608160906</v>
      </c>
      <c r="F119" s="19">
        <f t="shared" si="72"/>
        <v>3.2859025736552185</v>
      </c>
      <c r="G119" s="20">
        <f t="shared" si="73"/>
        <v>3.668994555473118</v>
      </c>
      <c r="CG119" s="7">
        <f t="shared" si="21"/>
        <v>67</v>
      </c>
      <c r="CH119" s="7">
        <f aca="true" t="shared" si="74" ref="CH119:CH149">SIN(CJ119-φ+CR119)/COS(CJ119-φ-δ2+α)/COS(CR119)*(CP119+CQ119*SIN(δ1))</f>
        <v>19.901341222549163</v>
      </c>
      <c r="CI119" s="7">
        <f t="shared" si="62"/>
        <v>67</v>
      </c>
      <c r="CJ119" s="7">
        <f t="shared" si="55"/>
        <v>1.1693705988362006</v>
      </c>
      <c r="CK119" s="7">
        <f t="shared" si="56"/>
        <v>-5.697188166423795</v>
      </c>
      <c r="CL119" s="7">
        <f t="shared" si="63"/>
        <v>-2.4183128998542767</v>
      </c>
      <c r="CM119" s="7">
        <f t="shared" si="64"/>
        <v>0</v>
      </c>
      <c r="CN119" s="7">
        <f t="shared" si="65"/>
        <v>-3.9183128998542767</v>
      </c>
      <c r="CO119" s="7">
        <f t="shared" si="66"/>
        <v>0</v>
      </c>
      <c r="CP119" s="7">
        <f t="shared" si="67"/>
        <v>33.934715720708155</v>
      </c>
      <c r="CQ119" s="7">
        <f t="shared" si="68"/>
        <v>0</v>
      </c>
      <c r="CR119" s="7">
        <f aca="true" t="shared" si="75" ref="CR119:CR149">IF(CJ119&gt;=ωo,0,ATAN(CQ119*COS(δ1)/(CP119+CQ119*SIN(δ1))))</f>
        <v>0</v>
      </c>
    </row>
    <row r="120" spans="2:96" ht="18" customHeight="1">
      <c r="B120" s="18">
        <f aca="true" t="shared" si="76" ref="B120:B128">B119+1</f>
        <v>72</v>
      </c>
      <c r="C120" s="19">
        <f t="shared" si="69"/>
        <v>2.7523649682200846</v>
      </c>
      <c r="D120" s="19">
        <f t="shared" si="70"/>
        <v>8.083824370509886</v>
      </c>
      <c r="E120" s="19">
        <f t="shared" si="71"/>
        <v>26.15727784313646</v>
      </c>
      <c r="F120" s="19">
        <f t="shared" si="72"/>
        <v>3.292658405787912</v>
      </c>
      <c r="G120" s="20">
        <f t="shared" si="73"/>
        <v>3.668343248262329</v>
      </c>
      <c r="CG120" s="7">
        <f aca="true" t="shared" si="77" ref="CG120:CG149">CI120</f>
        <v>67.5</v>
      </c>
      <c r="CH120" s="7">
        <f t="shared" si="74"/>
        <v>18.455028756505286</v>
      </c>
      <c r="CI120" s="7">
        <f t="shared" si="62"/>
        <v>67.5</v>
      </c>
      <c r="CJ120" s="7">
        <f t="shared" si="55"/>
        <v>1.1780972450961724</v>
      </c>
      <c r="CK120" s="7">
        <f t="shared" si="56"/>
        <v>-5.382524218523387</v>
      </c>
      <c r="CL120" s="7">
        <f t="shared" si="63"/>
        <v>-2.229514531114032</v>
      </c>
      <c r="CM120" s="7">
        <f t="shared" si="64"/>
        <v>0</v>
      </c>
      <c r="CN120" s="7">
        <f t="shared" si="65"/>
        <v>-3.729514531114032</v>
      </c>
      <c r="CO120" s="7">
        <f t="shared" si="66"/>
        <v>0</v>
      </c>
      <c r="CP120" s="7">
        <f t="shared" si="67"/>
        <v>30.906700142956478</v>
      </c>
      <c r="CQ120" s="7">
        <f t="shared" si="68"/>
        <v>0</v>
      </c>
      <c r="CR120" s="7">
        <f t="shared" si="75"/>
        <v>0</v>
      </c>
    </row>
    <row r="121" spans="2:96" ht="18" customHeight="1">
      <c r="B121" s="18">
        <f t="shared" si="76"/>
        <v>73</v>
      </c>
      <c r="C121" s="19">
        <f t="shared" si="69"/>
        <v>2.613416955317287</v>
      </c>
      <c r="D121" s="19">
        <f t="shared" si="70"/>
        <v>8.095079353941147</v>
      </c>
      <c r="E121" s="19">
        <f t="shared" si="71"/>
        <v>25.981587522579034</v>
      </c>
      <c r="F121" s="19">
        <f t="shared" si="72"/>
        <v>3.2972427230743113</v>
      </c>
      <c r="G121" s="20">
        <f t="shared" si="73"/>
        <v>3.667943938999854</v>
      </c>
      <c r="CG121" s="7">
        <f t="shared" si="77"/>
        <v>68</v>
      </c>
      <c r="CH121" s="7">
        <f t="shared" si="74"/>
        <v>16.986705922148726</v>
      </c>
      <c r="CI121" s="7">
        <f t="shared" si="62"/>
        <v>68</v>
      </c>
      <c r="CJ121" s="7">
        <f t="shared" si="55"/>
        <v>1.1868238913561442</v>
      </c>
      <c r="CK121" s="7">
        <f t="shared" si="56"/>
        <v>-5.102723587692149</v>
      </c>
      <c r="CL121" s="7">
        <f t="shared" si="63"/>
        <v>-2.0616341526152895</v>
      </c>
      <c r="CM121" s="7">
        <f t="shared" si="64"/>
        <v>0</v>
      </c>
      <c r="CN121" s="7">
        <f t="shared" si="65"/>
        <v>-3.5616341526152895</v>
      </c>
      <c r="CO121" s="7">
        <f t="shared" si="66"/>
        <v>0</v>
      </c>
      <c r="CP121" s="7">
        <f t="shared" si="67"/>
        <v>27.944532633875497</v>
      </c>
      <c r="CQ121" s="7">
        <f t="shared" si="68"/>
        <v>0</v>
      </c>
      <c r="CR121" s="7">
        <f t="shared" si="75"/>
        <v>0</v>
      </c>
    </row>
    <row r="122" spans="2:96" ht="18" customHeight="1">
      <c r="B122" s="18">
        <f t="shared" si="76"/>
        <v>74</v>
      </c>
      <c r="C122" s="19">
        <f t="shared" si="69"/>
        <v>2.473429187328326</v>
      </c>
      <c r="D122" s="19">
        <f t="shared" si="70"/>
        <v>8.101105566988549</v>
      </c>
      <c r="E122" s="19">
        <f t="shared" si="71"/>
        <v>25.887503065234082</v>
      </c>
      <c r="F122" s="19">
        <f t="shared" si="72"/>
        <v>3.2996972866739345</v>
      </c>
      <c r="G122" s="20">
        <f t="shared" si="73"/>
        <v>3.6677443172751567</v>
      </c>
      <c r="CG122" s="7">
        <f t="shared" si="77"/>
        <v>68.5</v>
      </c>
      <c r="CH122" s="7">
        <f t="shared" si="74"/>
        <v>15.496177228120434</v>
      </c>
      <c r="CI122" s="7">
        <f t="shared" si="62"/>
        <v>68.5</v>
      </c>
      <c r="CJ122" s="7">
        <f t="shared" si="55"/>
        <v>1.1955505376161157</v>
      </c>
      <c r="CK122" s="7">
        <f t="shared" si="56"/>
        <v>-4.85226021547607</v>
      </c>
      <c r="CL122" s="7">
        <f t="shared" si="63"/>
        <v>-1.9113561292856418</v>
      </c>
      <c r="CM122" s="7">
        <f t="shared" si="64"/>
        <v>0</v>
      </c>
      <c r="CN122" s="7">
        <f t="shared" si="65"/>
        <v>-3.411356129285642</v>
      </c>
      <c r="CO122" s="7">
        <f t="shared" si="66"/>
        <v>0</v>
      </c>
      <c r="CP122" s="7">
        <f t="shared" si="67"/>
        <v>25.045651606717634</v>
      </c>
      <c r="CQ122" s="7">
        <f t="shared" si="68"/>
        <v>0</v>
      </c>
      <c r="CR122" s="7">
        <f t="shared" si="75"/>
        <v>0</v>
      </c>
    </row>
    <row r="123" spans="2:96" ht="18" customHeight="1">
      <c r="B123" s="91">
        <f t="shared" si="76"/>
        <v>75</v>
      </c>
      <c r="C123" s="88">
        <f t="shared" si="69"/>
        <v>2.3323036568853475</v>
      </c>
      <c r="D123" s="88">
        <f t="shared" si="70"/>
        <v>8.101988647525843</v>
      </c>
      <c r="E123" s="88">
        <f t="shared" si="71"/>
        <v>25.87371508897443</v>
      </c>
      <c r="F123" s="88">
        <f t="shared" si="72"/>
        <v>3.300056978129468</v>
      </c>
      <c r="G123" s="89">
        <f t="shared" si="73"/>
        <v>3.667715895598562</v>
      </c>
      <c r="CG123" s="7">
        <f t="shared" si="77"/>
        <v>69</v>
      </c>
      <c r="CH123" s="7">
        <f t="shared" si="74"/>
        <v>13.98322076810612</v>
      </c>
      <c r="CI123" s="7">
        <f t="shared" si="62"/>
        <v>69</v>
      </c>
      <c r="CJ123" s="7">
        <f t="shared" si="55"/>
        <v>1.2042771838760873</v>
      </c>
      <c r="CK123" s="7">
        <f t="shared" si="56"/>
        <v>-4.626717261811841</v>
      </c>
      <c r="CL123" s="7">
        <f t="shared" si="63"/>
        <v>-1.776030357087104</v>
      </c>
      <c r="CM123" s="7">
        <f t="shared" si="64"/>
        <v>0</v>
      </c>
      <c r="CN123" s="7">
        <f t="shared" si="65"/>
        <v>-3.2760303570871043</v>
      </c>
      <c r="CO123" s="7">
        <f t="shared" si="66"/>
        <v>0</v>
      </c>
      <c r="CP123" s="7">
        <f t="shared" si="67"/>
        <v>22.20762265512233</v>
      </c>
      <c r="CQ123" s="7">
        <f t="shared" si="68"/>
        <v>0</v>
      </c>
      <c r="CR123" s="7">
        <f t="shared" si="75"/>
        <v>0</v>
      </c>
    </row>
    <row r="124" spans="2:96" ht="18" customHeight="1">
      <c r="B124" s="18">
        <f t="shared" si="76"/>
        <v>76</v>
      </c>
      <c r="C124" s="19">
        <f t="shared" si="69"/>
        <v>2.1899393581461157</v>
      </c>
      <c r="D124" s="19">
        <f t="shared" si="70"/>
        <v>8.097798011480931</v>
      </c>
      <c r="E124" s="19">
        <f t="shared" si="71"/>
        <v>25.939143657667675</v>
      </c>
      <c r="F124" s="19">
        <f t="shared" si="72"/>
        <v>3.298350071550793</v>
      </c>
      <c r="G124" s="20">
        <f t="shared" si="73"/>
        <v>3.667852657471932</v>
      </c>
      <c r="CG124" s="7">
        <f t="shared" si="77"/>
        <v>69.5</v>
      </c>
      <c r="CH124" s="7">
        <f t="shared" si="74"/>
        <v>12.447588496454756</v>
      </c>
      <c r="CI124" s="7">
        <f t="shared" si="62"/>
        <v>69.5</v>
      </c>
      <c r="CJ124" s="7">
        <f t="shared" si="55"/>
        <v>1.213003830136059</v>
      </c>
      <c r="CK124" s="7">
        <f t="shared" si="56"/>
        <v>-4.422522090593143</v>
      </c>
      <c r="CL124" s="7">
        <f t="shared" si="63"/>
        <v>-1.6535132543558855</v>
      </c>
      <c r="CM124" s="7">
        <f t="shared" si="64"/>
        <v>0</v>
      </c>
      <c r="CN124" s="7">
        <f t="shared" si="65"/>
        <v>-3.1535132543558855</v>
      </c>
      <c r="CO124" s="7">
        <f t="shared" si="66"/>
        <v>0</v>
      </c>
      <c r="CP124" s="7">
        <f t="shared" si="67"/>
        <v>19.428130676551756</v>
      </c>
      <c r="CQ124" s="7">
        <f t="shared" si="68"/>
        <v>0</v>
      </c>
      <c r="CR124" s="7">
        <f t="shared" si="75"/>
        <v>0</v>
      </c>
    </row>
    <row r="125" spans="2:96" ht="18" customHeight="1">
      <c r="B125" s="18">
        <f t="shared" si="76"/>
        <v>77</v>
      </c>
      <c r="C125" s="19">
        <f t="shared" si="69"/>
        <v>2.0462319802039795</v>
      </c>
      <c r="D125" s="19">
        <f t="shared" si="70"/>
        <v>8.0885874029516</v>
      </c>
      <c r="E125" s="19">
        <f t="shared" si="71"/>
        <v>26.08293157318206</v>
      </c>
      <c r="F125" s="19">
        <f t="shared" si="72"/>
        <v>3.2945984576850638</v>
      </c>
      <c r="G125" s="20">
        <f t="shared" si="73"/>
        <v>3.6681700537831445</v>
      </c>
      <c r="CG125" s="7">
        <f t="shared" si="77"/>
        <v>70</v>
      </c>
      <c r="CH125" s="7">
        <f t="shared" si="74"/>
        <v>10.889006416368115</v>
      </c>
      <c r="CI125" s="7">
        <f t="shared" si="62"/>
        <v>70</v>
      </c>
      <c r="CJ125" s="7">
        <f t="shared" si="55"/>
        <v>1.2217304763960306</v>
      </c>
      <c r="CK125" s="7">
        <f t="shared" si="56"/>
        <v>-4.236753770826661</v>
      </c>
      <c r="CL125" s="7">
        <f t="shared" si="63"/>
        <v>-1.542052262495997</v>
      </c>
      <c r="CM125" s="7">
        <f t="shared" si="64"/>
        <v>0</v>
      </c>
      <c r="CN125" s="7">
        <f t="shared" si="65"/>
        <v>-3.042052262495997</v>
      </c>
      <c r="CO125" s="7">
        <f t="shared" si="66"/>
        <v>0</v>
      </c>
      <c r="CP125" s="7">
        <f t="shared" si="67"/>
        <v>16.704972572464616</v>
      </c>
      <c r="CQ125" s="7">
        <f t="shared" si="68"/>
        <v>0</v>
      </c>
      <c r="CR125" s="7">
        <f t="shared" si="75"/>
        <v>0</v>
      </c>
    </row>
    <row r="126" spans="2:96" ht="18" customHeight="1">
      <c r="B126" s="18">
        <f t="shared" si="76"/>
        <v>78</v>
      </c>
      <c r="C126" s="19">
        <f t="shared" si="69"/>
        <v>1.9010735811994102</v>
      </c>
      <c r="D126" s="19">
        <f t="shared" si="70"/>
        <v>8.074395333333953</v>
      </c>
      <c r="E126" s="19">
        <f t="shared" si="71"/>
        <v>26.304434562725906</v>
      </c>
      <c r="F126" s="19">
        <f t="shared" si="72"/>
        <v>3.2888178227800626</v>
      </c>
      <c r="G126" s="20">
        <f t="shared" si="73"/>
        <v>3.668704322720878</v>
      </c>
      <c r="CG126" s="7">
        <f t="shared" si="77"/>
        <v>70.5</v>
      </c>
      <c r="CH126" s="7">
        <f t="shared" si="74"/>
        <v>9.307174684297937</v>
      </c>
      <c r="CI126" s="7">
        <f t="shared" si="62"/>
        <v>70.5</v>
      </c>
      <c r="CJ126" s="7">
        <f t="shared" si="55"/>
        <v>1.2304571226560022</v>
      </c>
      <c r="CK126" s="7">
        <f t="shared" si="56"/>
        <v>-4.067000953639941</v>
      </c>
      <c r="CL126" s="7">
        <f t="shared" si="63"/>
        <v>-1.4402005721839648</v>
      </c>
      <c r="CM126" s="7">
        <f t="shared" si="64"/>
        <v>0</v>
      </c>
      <c r="CN126" s="7">
        <f t="shared" si="65"/>
        <v>-2.940200572183965</v>
      </c>
      <c r="CO126" s="7">
        <f t="shared" si="66"/>
        <v>0</v>
      </c>
      <c r="CP126" s="7">
        <f t="shared" si="67"/>
        <v>14.036050476513006</v>
      </c>
      <c r="CQ126" s="7">
        <f t="shared" si="68"/>
        <v>0</v>
      </c>
      <c r="CR126" s="7">
        <f t="shared" si="75"/>
        <v>0</v>
      </c>
    </row>
    <row r="127" spans="2:96" ht="18" customHeight="1">
      <c r="B127" s="18">
        <f t="shared" si="76"/>
        <v>79</v>
      </c>
      <c r="C127" s="19">
        <f t="shared" si="69"/>
        <v>1.754352240868082</v>
      </c>
      <c r="D127" s="19">
        <f t="shared" si="70"/>
        <v>8.055245415158991</v>
      </c>
      <c r="E127" s="19">
        <f t="shared" si="71"/>
        <v>26.60320856443147</v>
      </c>
      <c r="F127" s="19">
        <f t="shared" si="72"/>
        <v>3.2810177845606567</v>
      </c>
      <c r="G127" s="20">
        <f t="shared" si="73"/>
        <v>3.669512110729183</v>
      </c>
      <c r="CG127" s="7">
        <f t="shared" si="77"/>
        <v>71</v>
      </c>
      <c r="CH127" s="7">
        <f t="shared" si="74"/>
        <v>7.701767633596986</v>
      </c>
      <c r="CI127" s="7">
        <f t="shared" si="62"/>
        <v>71</v>
      </c>
      <c r="CJ127" s="7">
        <f t="shared" si="55"/>
        <v>1.239183768915974</v>
      </c>
      <c r="CK127" s="7">
        <f t="shared" si="56"/>
        <v>-3.9112553876729566</v>
      </c>
      <c r="CL127" s="7">
        <f t="shared" si="63"/>
        <v>-1.3467532326037739</v>
      </c>
      <c r="CM127" s="7">
        <f t="shared" si="64"/>
        <v>0</v>
      </c>
      <c r="CN127" s="7">
        <f t="shared" si="65"/>
        <v>-2.846753232603774</v>
      </c>
      <c r="CO127" s="7">
        <f t="shared" si="66"/>
        <v>0</v>
      </c>
      <c r="CP127" s="7">
        <f t="shared" si="67"/>
        <v>11.419365466697098</v>
      </c>
      <c r="CQ127" s="7">
        <f t="shared" si="68"/>
        <v>0</v>
      </c>
      <c r="CR127" s="7">
        <f t="shared" si="75"/>
        <v>0</v>
      </c>
    </row>
    <row r="128" spans="2:96" ht="18" customHeight="1">
      <c r="B128" s="21">
        <f t="shared" si="76"/>
        <v>80</v>
      </c>
      <c r="C128" s="22">
        <f t="shared" si="69"/>
        <v>1.605951689034074</v>
      </c>
      <c r="D128" s="22">
        <f t="shared" si="70"/>
        <v>8.031146595004474</v>
      </c>
      <c r="E128" s="22">
        <f t="shared" si="71"/>
        <v>26.978994162812402</v>
      </c>
      <c r="F128" s="22">
        <f t="shared" si="72"/>
        <v>3.2712019870971676</v>
      </c>
      <c r="G128" s="23">
        <f t="shared" si="73"/>
        <v>3.670670374139809</v>
      </c>
      <c r="CG128" s="7">
        <f t="shared" si="77"/>
        <v>71.5</v>
      </c>
      <c r="CH128" s="7">
        <f t="shared" si="74"/>
        <v>6.072433719919288</v>
      </c>
      <c r="CI128" s="7">
        <f t="shared" si="62"/>
        <v>71.5</v>
      </c>
      <c r="CJ128" s="7">
        <f t="shared" si="55"/>
        <v>1.2479104151759457</v>
      </c>
      <c r="CK128" s="7">
        <f t="shared" si="56"/>
        <v>-3.767831065088588</v>
      </c>
      <c r="CL128" s="7">
        <f t="shared" si="63"/>
        <v>-1.2606986390531525</v>
      </c>
      <c r="CM128" s="7">
        <f t="shared" si="64"/>
        <v>0</v>
      </c>
      <c r="CN128" s="7">
        <f t="shared" si="65"/>
        <v>-2.7606986390531523</v>
      </c>
      <c r="CO128" s="7">
        <f t="shared" si="66"/>
        <v>0</v>
      </c>
      <c r="CP128" s="7">
        <f t="shared" si="67"/>
        <v>8.853011721560227</v>
      </c>
      <c r="CQ128" s="7">
        <f t="shared" si="68"/>
        <v>0</v>
      </c>
      <c r="CR128" s="7">
        <f t="shared" si="75"/>
        <v>0</v>
      </c>
    </row>
    <row r="129" spans="85:96" ht="18" customHeight="1">
      <c r="CG129" s="7">
        <f t="shared" si="77"/>
        <v>72</v>
      </c>
      <c r="CH129" s="7">
        <f t="shared" si="74"/>
        <v>4.418795390356773</v>
      </c>
      <c r="CI129" s="7">
        <f t="shared" si="62"/>
        <v>72</v>
      </c>
      <c r="CJ129" s="7">
        <f t="shared" si="55"/>
        <v>1.2566370614359172</v>
      </c>
      <c r="CK129" s="7">
        <f t="shared" si="56"/>
        <v>-3.63530207835849</v>
      </c>
      <c r="CL129" s="7">
        <f t="shared" si="63"/>
        <v>-1.1811812470150937</v>
      </c>
      <c r="CM129" s="7">
        <f t="shared" si="64"/>
        <v>0</v>
      </c>
      <c r="CN129" s="7">
        <f t="shared" si="65"/>
        <v>-2.6811812470150937</v>
      </c>
      <c r="CO129" s="7">
        <f t="shared" si="66"/>
        <v>0</v>
      </c>
      <c r="CP129" s="7">
        <f t="shared" si="67"/>
        <v>6.335171084228202</v>
      </c>
      <c r="CQ129" s="7">
        <f t="shared" si="68"/>
        <v>0</v>
      </c>
      <c r="CR129" s="7">
        <f t="shared" si="75"/>
        <v>0</v>
      </c>
    </row>
    <row r="130" spans="3:96" ht="18" customHeight="1">
      <c r="C130" s="15"/>
      <c r="CG130" s="7">
        <f t="shared" si="77"/>
        <v>72.5</v>
      </c>
      <c r="CH130" s="7">
        <f t="shared" si="74"/>
        <v>2.7404488778190292</v>
      </c>
      <c r="CI130" s="7">
        <f aca="true" t="shared" si="78" ref="CI130:CI149">CI129+0.5</f>
        <v>72.5</v>
      </c>
      <c r="CJ130" s="7">
        <f t="shared" si="55"/>
        <v>1.2653637076958888</v>
      </c>
      <c r="CK130" s="7">
        <f t="shared" si="56"/>
        <v>-3.5124543238242003</v>
      </c>
      <c r="CL130" s="7">
        <f aca="true" t="shared" si="79" ref="CL130:CL149">SIN(ε)*COS(CJ130)/SIN(ε-CJ130)*d</f>
        <v>-1.10747259429452</v>
      </c>
      <c r="CM130" s="7">
        <f aca="true" t="shared" si="80" ref="CM130:CM149">IF(CJ130&gt;=ωo,0,Y-(X-CL130)*TAN(β)-CK130)</f>
        <v>0</v>
      </c>
      <c r="CN130" s="7">
        <f aca="true" t="shared" si="81" ref="CN130:CN149">CL130-H*TAN(α)</f>
        <v>-2.60747259429452</v>
      </c>
      <c r="CO130" s="7">
        <f aca="true" t="shared" si="82" ref="CO130:CO149">IF(CJ130&gt;=ωo,0,1/2*γ*CM130^2*COS(ε)*COS(β)/SIN(ε-β))</f>
        <v>0</v>
      </c>
      <c r="CP130" s="7">
        <f aca="true" t="shared" si="83" ref="CP130:CP149">IF(CJ130&gt;=ωo,1/2*γ*H^2*COS(CJ130+α)*COS(α+β)/COS(α)^2/SIN(CJ130-β),γ/2*(2*H*CL130+CN130^2*TAN(β)-H^2*TAN(α)-CK130*CL130))</f>
        <v>3.864108001425487</v>
      </c>
      <c r="CQ130" s="7">
        <f aca="true" t="shared" si="84" ref="CQ130:CQ149">IF(CJ130&gt;=ωo,0,SIN(ε-φB)/COS(ε-φB-δ1)*CO130)</f>
        <v>0</v>
      </c>
      <c r="CR130" s="7">
        <f t="shared" si="75"/>
        <v>0</v>
      </c>
    </row>
    <row r="131" spans="7:96" ht="18" customHeight="1">
      <c r="G131" s="6" t="s">
        <v>170</v>
      </c>
      <c r="CG131" s="7">
        <f t="shared" si="77"/>
        <v>73</v>
      </c>
      <c r="CH131" s="7">
        <f t="shared" si="74"/>
        <v>1.0369639217143443</v>
      </c>
      <c r="CI131" s="7">
        <f t="shared" si="78"/>
        <v>73</v>
      </c>
      <c r="CJ131" s="7">
        <f t="shared" si="55"/>
        <v>1.2740903539558606</v>
      </c>
      <c r="CK131" s="7">
        <f t="shared" si="56"/>
        <v>-3.3982475813546897</v>
      </c>
      <c r="CL131" s="7">
        <f t="shared" si="79"/>
        <v>-1.0389485488128138</v>
      </c>
      <c r="CM131" s="7">
        <f t="shared" si="80"/>
        <v>0</v>
      </c>
      <c r="CN131" s="7">
        <f t="shared" si="81"/>
        <v>-2.538948548812814</v>
      </c>
      <c r="CO131" s="7">
        <f t="shared" si="82"/>
        <v>0</v>
      </c>
      <c r="CP131" s="7">
        <f t="shared" si="83"/>
        <v>1.4381648075967193</v>
      </c>
      <c r="CQ131" s="7">
        <f t="shared" si="84"/>
        <v>0</v>
      </c>
      <c r="CR131" s="7">
        <f t="shared" si="75"/>
        <v>0</v>
      </c>
    </row>
    <row r="132" spans="7:96" ht="18" customHeight="1">
      <c r="G132" s="47" t="s">
        <v>261</v>
      </c>
      <c r="H132" s="93">
        <f>E123</f>
        <v>25.87371508897443</v>
      </c>
      <c r="I132" s="6" t="s">
        <v>37</v>
      </c>
      <c r="J132" s="6"/>
      <c r="K132" s="6"/>
      <c r="L132" s="6"/>
      <c r="M132" s="6"/>
      <c r="N132" s="6"/>
      <c r="O132" s="6"/>
      <c r="P132" s="6"/>
      <c r="Q132" s="6"/>
      <c r="CG132" s="7">
        <f t="shared" si="77"/>
        <v>73.5</v>
      </c>
      <c r="CH132" s="7">
        <f t="shared" si="74"/>
        <v>-0.6921165844427223</v>
      </c>
      <c r="CI132" s="7">
        <f t="shared" si="78"/>
        <v>73.5</v>
      </c>
      <c r="CJ132" s="7">
        <f t="shared" si="55"/>
        <v>1.2828170002158323</v>
      </c>
      <c r="CK132" s="7">
        <f t="shared" si="56"/>
        <v>-3.291785459249337</v>
      </c>
      <c r="CL132" s="7">
        <f t="shared" si="79"/>
        <v>-0.9750712755496023</v>
      </c>
      <c r="CM132" s="7">
        <f t="shared" si="80"/>
        <v>0</v>
      </c>
      <c r="CN132" s="7">
        <f t="shared" si="81"/>
        <v>-2.4750712755496025</v>
      </c>
      <c r="CO132" s="7">
        <f t="shared" si="82"/>
        <v>0</v>
      </c>
      <c r="CP132" s="7">
        <f t="shared" si="83"/>
        <v>-0.9442426730543048</v>
      </c>
      <c r="CQ132" s="7">
        <f t="shared" si="84"/>
        <v>0</v>
      </c>
      <c r="CR132" s="7">
        <f t="shared" si="75"/>
        <v>0</v>
      </c>
    </row>
    <row r="133" spans="85:96" ht="18" customHeight="1">
      <c r="CG133" s="7">
        <f t="shared" si="77"/>
        <v>74</v>
      </c>
      <c r="CH133" s="7">
        <f t="shared" si="74"/>
        <v>-2.447277018282189</v>
      </c>
      <c r="CI133" s="7">
        <f t="shared" si="78"/>
        <v>74</v>
      </c>
      <c r="CJ133" s="7">
        <f t="shared" si="55"/>
        <v>1.2915436464758039</v>
      </c>
      <c r="CK133" s="7">
        <f t="shared" si="56"/>
        <v>-3.1922913647172804</v>
      </c>
      <c r="CL133" s="7">
        <f t="shared" si="79"/>
        <v>-0.9153748188303679</v>
      </c>
      <c r="CM133" s="7">
        <f t="shared" si="80"/>
        <v>0</v>
      </c>
      <c r="CN133" s="7">
        <f t="shared" si="81"/>
        <v>-2.415374818830368</v>
      </c>
      <c r="CO133" s="7">
        <f t="shared" si="82"/>
        <v>0</v>
      </c>
      <c r="CP133" s="7">
        <f t="shared" si="83"/>
        <v>-3.2846292313732492</v>
      </c>
      <c r="CQ133" s="7">
        <f t="shared" si="84"/>
        <v>0</v>
      </c>
      <c r="CR133" s="7">
        <f t="shared" si="75"/>
        <v>0</v>
      </c>
    </row>
    <row r="134" spans="85:96" ht="18" customHeight="1">
      <c r="CG134" s="7">
        <f t="shared" si="77"/>
        <v>74.5</v>
      </c>
      <c r="CH134" s="7">
        <f t="shared" si="74"/>
        <v>-4.229029526874861</v>
      </c>
      <c r="CI134" s="7">
        <f t="shared" si="78"/>
        <v>74.5</v>
      </c>
      <c r="CJ134" s="7">
        <f t="shared" si="55"/>
        <v>1.3002702927357754</v>
      </c>
      <c r="CK134" s="7">
        <f t="shared" si="56"/>
        <v>-3.09908913613016</v>
      </c>
      <c r="CL134" s="7">
        <f t="shared" si="79"/>
        <v>-0.8594534816780954</v>
      </c>
      <c r="CM134" s="7">
        <f t="shared" si="80"/>
        <v>0</v>
      </c>
      <c r="CN134" s="7">
        <f t="shared" si="81"/>
        <v>-2.3594534816780954</v>
      </c>
      <c r="CO134" s="7">
        <f t="shared" si="82"/>
        <v>0</v>
      </c>
      <c r="CP134" s="7">
        <f t="shared" si="83"/>
        <v>-5.584444107500441</v>
      </c>
      <c r="CQ134" s="7">
        <f t="shared" si="84"/>
        <v>0</v>
      </c>
      <c r="CR134" s="7">
        <f t="shared" si="75"/>
        <v>0</v>
      </c>
    </row>
    <row r="135" spans="85:96" ht="18" customHeight="1">
      <c r="CG135" s="7">
        <f t="shared" si="77"/>
        <v>75</v>
      </c>
      <c r="CH135" s="7">
        <f t="shared" si="74"/>
        <v>-6.037914598647866</v>
      </c>
      <c r="CI135" s="7">
        <f t="shared" si="78"/>
        <v>75</v>
      </c>
      <c r="CJ135" s="7">
        <f t="shared" si="55"/>
        <v>1.3089969389957472</v>
      </c>
      <c r="CK135" s="7">
        <f t="shared" si="56"/>
        <v>-3.0115873149700745</v>
      </c>
      <c r="CL135" s="7">
        <f t="shared" si="79"/>
        <v>-0.8069523889820446</v>
      </c>
      <c r="CM135" s="7">
        <f t="shared" si="80"/>
        <v>0</v>
      </c>
      <c r="CN135" s="7">
        <f t="shared" si="81"/>
        <v>-2.3069523889820447</v>
      </c>
      <c r="CO135" s="7">
        <f t="shared" si="82"/>
        <v>0</v>
      </c>
      <c r="CP135" s="7">
        <f t="shared" si="83"/>
        <v>-7.8450745751710995</v>
      </c>
      <c r="CQ135" s="7">
        <f t="shared" si="84"/>
        <v>0</v>
      </c>
      <c r="CR135" s="7">
        <f t="shared" si="75"/>
        <v>0</v>
      </c>
    </row>
    <row r="136" spans="85:96" ht="18" customHeight="1">
      <c r="CG136" s="7">
        <f t="shared" si="77"/>
        <v>75.5</v>
      </c>
      <c r="CH136" s="7">
        <f t="shared" si="74"/>
        <v>-7.874501709881205</v>
      </c>
      <c r="CI136" s="7">
        <f t="shared" si="78"/>
        <v>75.5</v>
      </c>
      <c r="CJ136" s="7">
        <f t="shared" si="55"/>
        <v>1.3177235852557188</v>
      </c>
      <c r="CK136" s="7">
        <f t="shared" si="56"/>
        <v>-2.9292662837165513</v>
      </c>
      <c r="CL136" s="7">
        <f t="shared" si="79"/>
        <v>-0.7575597702299307</v>
      </c>
      <c r="CM136" s="7">
        <f t="shared" si="80"/>
        <v>0</v>
      </c>
      <c r="CN136" s="7">
        <f t="shared" si="81"/>
        <v>-2.2575597702299306</v>
      </c>
      <c r="CO136" s="7">
        <f t="shared" si="82"/>
        <v>0</v>
      </c>
      <c r="CP136" s="7">
        <f t="shared" si="83"/>
        <v>-10.067849294917687</v>
      </c>
      <c r="CQ136" s="7">
        <f t="shared" si="84"/>
        <v>0</v>
      </c>
      <c r="CR136" s="7">
        <f t="shared" si="75"/>
        <v>0</v>
      </c>
    </row>
    <row r="137" spans="85:96" ht="18" customHeight="1">
      <c r="CG137" s="7">
        <f t="shared" si="77"/>
        <v>76</v>
      </c>
      <c r="CH137" s="7">
        <f t="shared" si="74"/>
        <v>-9.73939004712757</v>
      </c>
      <c r="CI137" s="7">
        <f t="shared" si="78"/>
        <v>76</v>
      </c>
      <c r="CJ137" s="7">
        <f t="shared" si="55"/>
        <v>1.3264502315156903</v>
      </c>
      <c r="CK137" s="7">
        <f t="shared" si="56"/>
        <v>-2.851667678365559</v>
      </c>
      <c r="CL137" s="7">
        <f t="shared" si="79"/>
        <v>-0.7110006070193351</v>
      </c>
      <c r="CM137" s="7">
        <f t="shared" si="80"/>
        <v>0</v>
      </c>
      <c r="CN137" s="7">
        <f t="shared" si="81"/>
        <v>-2.211000607019335</v>
      </c>
      <c r="CO137" s="7">
        <f t="shared" si="82"/>
        <v>0</v>
      </c>
      <c r="CP137" s="7">
        <f t="shared" si="83"/>
        <v>-12.254041453413475</v>
      </c>
      <c r="CQ137" s="7">
        <f t="shared" si="84"/>
        <v>0</v>
      </c>
      <c r="CR137" s="7">
        <f t="shared" si="75"/>
        <v>0</v>
      </c>
    </row>
    <row r="138" spans="85:96" ht="18" customHeight="1">
      <c r="CG138" s="7">
        <f t="shared" si="77"/>
        <v>76.5</v>
      </c>
      <c r="CH138" s="7">
        <f t="shared" si="74"/>
        <v>-11.633209307282055</v>
      </c>
      <c r="CI138" s="7">
        <f t="shared" si="78"/>
        <v>76.5</v>
      </c>
      <c r="CJ138" s="7">
        <f t="shared" si="55"/>
        <v>1.335176877775662</v>
      </c>
      <c r="CK138" s="7">
        <f t="shared" si="56"/>
        <v>-2.778385619710045</v>
      </c>
      <c r="CL138" s="7">
        <f t="shared" si="79"/>
        <v>-0.6670313718260271</v>
      </c>
      <c r="CM138" s="7">
        <f t="shared" si="80"/>
        <v>0</v>
      </c>
      <c r="CN138" s="7">
        <f t="shared" si="81"/>
        <v>-2.167031371826027</v>
      </c>
      <c r="CO138" s="7">
        <f t="shared" si="82"/>
        <v>0</v>
      </c>
      <c r="CP138" s="7">
        <f t="shared" si="83"/>
        <v>-14.404871704744338</v>
      </c>
      <c r="CQ138" s="7">
        <f t="shared" si="84"/>
        <v>0</v>
      </c>
      <c r="CR138" s="7">
        <f t="shared" si="75"/>
        <v>0</v>
      </c>
    </row>
    <row r="139" spans="85:96" ht="18" customHeight="1">
      <c r="CG139" s="7">
        <f t="shared" si="77"/>
        <v>77</v>
      </c>
      <c r="CH139" s="7">
        <f t="shared" si="74"/>
        <v>-13.556620577415623</v>
      </c>
      <c r="CI139" s="7">
        <f t="shared" si="78"/>
        <v>77</v>
      </c>
      <c r="CJ139" s="7">
        <f t="shared" si="55"/>
        <v>1.3439035240356338</v>
      </c>
      <c r="CK139" s="7">
        <f t="shared" si="56"/>
        <v>-2.709059409020364</v>
      </c>
      <c r="CL139" s="7">
        <f t="shared" si="79"/>
        <v>-0.6254356454122182</v>
      </c>
      <c r="CM139" s="7">
        <f t="shared" si="80"/>
        <v>0</v>
      </c>
      <c r="CN139" s="7">
        <f t="shared" si="81"/>
        <v>-2.1254356454122183</v>
      </c>
      <c r="CO139" s="7">
        <f t="shared" si="82"/>
        <v>0</v>
      </c>
      <c r="CP139" s="7">
        <f t="shared" si="83"/>
        <v>-16.521510928078005</v>
      </c>
      <c r="CQ139" s="7">
        <f t="shared" si="84"/>
        <v>0</v>
      </c>
      <c r="CR139" s="7">
        <f t="shared" si="75"/>
        <v>0</v>
      </c>
    </row>
    <row r="140" spans="1:96" ht="18" customHeight="1">
      <c r="A140" s="55" t="s">
        <v>289</v>
      </c>
      <c r="CG140" s="7">
        <f t="shared" si="77"/>
        <v>77.5</v>
      </c>
      <c r="CH140" s="7">
        <f t="shared" si="74"/>
        <v>-15.510317296883995</v>
      </c>
      <c r="CI140" s="7">
        <f t="shared" si="78"/>
        <v>77.5</v>
      </c>
      <c r="CJ140" s="7">
        <f t="shared" si="55"/>
        <v>1.3526301702956054</v>
      </c>
      <c r="CK140" s="7">
        <f t="shared" si="56"/>
        <v>-2.643367410532089</v>
      </c>
      <c r="CL140" s="7">
        <f t="shared" si="79"/>
        <v>-0.5860204463192531</v>
      </c>
      <c r="CM140" s="7">
        <f t="shared" si="80"/>
        <v>0</v>
      </c>
      <c r="CN140" s="7">
        <f t="shared" si="81"/>
        <v>-2.086020446319253</v>
      </c>
      <c r="CO140" s="7">
        <f t="shared" si="82"/>
        <v>0</v>
      </c>
      <c r="CP140" s="7">
        <f t="shared" si="83"/>
        <v>-18.60508281500815</v>
      </c>
      <c r="CQ140" s="7">
        <f t="shared" si="84"/>
        <v>0</v>
      </c>
      <c r="CR140" s="7">
        <f t="shared" si="75"/>
        <v>0</v>
      </c>
    </row>
    <row r="141" spans="85:96" ht="18" customHeight="1">
      <c r="CG141" s="7">
        <f t="shared" si="77"/>
        <v>78</v>
      </c>
      <c r="CH141" s="7">
        <f t="shared" si="74"/>
        <v>-17.495026304627025</v>
      </c>
      <c r="CI141" s="7">
        <f t="shared" si="78"/>
        <v>78</v>
      </c>
      <c r="CJ141" s="7">
        <f t="shared" si="55"/>
        <v>1.361356816555577</v>
      </c>
      <c r="CK141" s="7">
        <f t="shared" si="56"/>
        <v>-2.581021901700966</v>
      </c>
      <c r="CL141" s="7">
        <f t="shared" si="79"/>
        <v>-0.5486131410205796</v>
      </c>
      <c r="CM141" s="7">
        <f t="shared" si="80"/>
        <v>0</v>
      </c>
      <c r="CN141" s="7">
        <f t="shared" si="81"/>
        <v>-2.0486131410205797</v>
      </c>
      <c r="CO141" s="7">
        <f t="shared" si="82"/>
        <v>0</v>
      </c>
      <c r="CP141" s="7">
        <f t="shared" si="83"/>
        <v>-20.656666298761927</v>
      </c>
      <c r="CQ141" s="7">
        <f t="shared" si="84"/>
        <v>0</v>
      </c>
      <c r="CR141" s="7">
        <f t="shared" si="75"/>
        <v>0</v>
      </c>
    </row>
    <row r="142" spans="2:96" ht="18" customHeight="1">
      <c r="B142" s="46" t="s">
        <v>171</v>
      </c>
      <c r="C142" s="10"/>
      <c r="CG142" s="7">
        <f t="shared" si="77"/>
        <v>78.5</v>
      </c>
      <c r="CH142" s="7">
        <f t="shared" si="74"/>
        <v>-19.511508974997707</v>
      </c>
      <c r="CI142" s="7">
        <f t="shared" si="78"/>
        <v>78.5</v>
      </c>
      <c r="CJ142" s="7">
        <f t="shared" si="55"/>
        <v>1.3700834628155485</v>
      </c>
      <c r="CK142" s="7">
        <f t="shared" si="56"/>
        <v>-2.521764717199737</v>
      </c>
      <c r="CL142" s="7">
        <f t="shared" si="79"/>
        <v>-0.513058830319842</v>
      </c>
      <c r="CM142" s="7">
        <f t="shared" si="80"/>
        <v>0</v>
      </c>
      <c r="CN142" s="7">
        <f t="shared" si="81"/>
        <v>-2.0130588303198422</v>
      </c>
      <c r="CO142" s="7">
        <f t="shared" si="82"/>
        <v>0</v>
      </c>
      <c r="CP142" s="7">
        <f t="shared" si="83"/>
        <v>-22.677297836477837</v>
      </c>
      <c r="CQ142" s="7">
        <f t="shared" si="84"/>
        <v>0</v>
      </c>
      <c r="CR142" s="7">
        <f t="shared" si="75"/>
        <v>0</v>
      </c>
    </row>
    <row r="143" spans="3:96" ht="18" customHeight="1">
      <c r="C143" s="10"/>
      <c r="CG143" s="7">
        <f t="shared" si="77"/>
        <v>79</v>
      </c>
      <c r="CH143" s="7">
        <f t="shared" si="74"/>
        <v>-21.56056244589692</v>
      </c>
      <c r="CI143" s="7">
        <f t="shared" si="78"/>
        <v>79</v>
      </c>
      <c r="CJ143" s="7">
        <f t="shared" si="55"/>
        <v>1.3788101090755203</v>
      </c>
      <c r="CK143" s="7">
        <f t="shared" si="56"/>
        <v>-2.465363547499785</v>
      </c>
      <c r="CL143" s="7">
        <f t="shared" si="79"/>
        <v>-0.4792181284998708</v>
      </c>
      <c r="CM143" s="7">
        <f t="shared" si="80"/>
        <v>0</v>
      </c>
      <c r="CN143" s="7">
        <f t="shared" si="81"/>
        <v>-1.9792181284998707</v>
      </c>
      <c r="CO143" s="7">
        <f t="shared" si="82"/>
        <v>0</v>
      </c>
      <c r="CP143" s="7">
        <f t="shared" si="83"/>
        <v>-24.66797355486145</v>
      </c>
      <c r="CQ143" s="7">
        <f t="shared" si="84"/>
        <v>0</v>
      </c>
      <c r="CR143" s="7">
        <f t="shared" si="75"/>
        <v>0</v>
      </c>
    </row>
    <row r="144" spans="3:96" ht="18" customHeight="1">
      <c r="C144" s="10"/>
      <c r="CG144" s="7">
        <f t="shared" si="77"/>
        <v>79.5</v>
      </c>
      <c r="CH144" s="7">
        <f t="shared" si="74"/>
        <v>-23.643020943449383</v>
      </c>
      <c r="CI144" s="7">
        <f t="shared" si="78"/>
        <v>79.5</v>
      </c>
      <c r="CJ144" s="7">
        <f t="shared" si="55"/>
        <v>1.387536755335492</v>
      </c>
      <c r="CK144" s="7">
        <f t="shared" si="56"/>
        <v>-2.4116087800812784</v>
      </c>
      <c r="CL144" s="7">
        <f t="shared" si="79"/>
        <v>-0.44696526804876685</v>
      </c>
      <c r="CM144" s="7">
        <f t="shared" si="80"/>
        <v>0</v>
      </c>
      <c r="CN144" s="7">
        <f t="shared" si="81"/>
        <v>-1.9469652680487668</v>
      </c>
      <c r="CO144" s="7">
        <f t="shared" si="82"/>
        <v>0</v>
      </c>
      <c r="CP144" s="7">
        <f t="shared" si="83"/>
        <v>-26.629651268709445</v>
      </c>
      <c r="CQ144" s="7">
        <f t="shared" si="84"/>
        <v>0</v>
      </c>
      <c r="CR144" s="7">
        <f t="shared" si="75"/>
        <v>0</v>
      </c>
    </row>
    <row r="145" spans="3:96" ht="18" customHeight="1">
      <c r="C145" s="10"/>
      <c r="CG145" s="7">
        <f t="shared" si="77"/>
        <v>80</v>
      </c>
      <c r="CH145" s="7">
        <f t="shared" si="74"/>
        <v>-25.75975720794329</v>
      </c>
      <c r="CI145" s="7">
        <f t="shared" si="78"/>
        <v>80</v>
      </c>
      <c r="CJ145" s="7">
        <f t="shared" si="55"/>
        <v>1.3962634015954636</v>
      </c>
      <c r="CK145" s="7">
        <f t="shared" si="56"/>
        <v>-2.360310792677329</v>
      </c>
      <c r="CL145" s="7">
        <f t="shared" si="79"/>
        <v>-0.4161864756063972</v>
      </c>
      <c r="CM145" s="7">
        <f t="shared" si="80"/>
        <v>0</v>
      </c>
      <c r="CN145" s="7">
        <f t="shared" si="81"/>
        <v>-1.916186475606397</v>
      </c>
      <c r="CO145" s="7">
        <f t="shared" si="82"/>
        <v>0</v>
      </c>
      <c r="CP145" s="7">
        <f t="shared" si="83"/>
        <v>-28.56325238104999</v>
      </c>
      <c r="CQ145" s="7">
        <f t="shared" si="84"/>
        <v>0</v>
      </c>
      <c r="CR145" s="7">
        <f t="shared" si="75"/>
        <v>0</v>
      </c>
    </row>
    <row r="146" spans="3:96" ht="18" customHeight="1">
      <c r="C146" s="10"/>
      <c r="CG146" s="7">
        <f t="shared" si="77"/>
        <v>80.5</v>
      </c>
      <c r="CH146" s="7">
        <f t="shared" si="74"/>
        <v>-27.911684026265558</v>
      </c>
      <c r="CI146" s="7">
        <f t="shared" si="78"/>
        <v>80.5</v>
      </c>
      <c r="CJ146" s="7">
        <f t="shared" si="55"/>
        <v>1.4049900478554351</v>
      </c>
      <c r="CK146" s="7">
        <f t="shared" si="56"/>
        <v>-2.311297624840957</v>
      </c>
      <c r="CL146" s="7">
        <f t="shared" si="79"/>
        <v>-0.38677857490457423</v>
      </c>
      <c r="CM146" s="7">
        <f t="shared" si="80"/>
        <v>0</v>
      </c>
      <c r="CN146" s="7">
        <f t="shared" si="81"/>
        <v>-1.8867785749045742</v>
      </c>
      <c r="CO146" s="7">
        <f t="shared" si="82"/>
        <v>0</v>
      </c>
      <c r="CP146" s="7">
        <f t="shared" si="83"/>
        <v>-30.4696636729637</v>
      </c>
      <c r="CQ146" s="7">
        <f t="shared" si="84"/>
        <v>0</v>
      </c>
      <c r="CR146" s="7">
        <f t="shared" si="75"/>
        <v>0</v>
      </c>
    </row>
    <row r="147" spans="3:96" ht="18" customHeight="1">
      <c r="C147" s="10"/>
      <c r="CG147" s="7">
        <f t="shared" si="77"/>
        <v>81</v>
      </c>
      <c r="CH147" s="7">
        <f t="shared" si="74"/>
        <v>-30.0997558766151</v>
      </c>
      <c r="CI147" s="7">
        <f t="shared" si="78"/>
        <v>81</v>
      </c>
      <c r="CJ147" s="7">
        <f t="shared" si="55"/>
        <v>1.413716694115407</v>
      </c>
      <c r="CK147" s="7">
        <f t="shared" si="56"/>
        <v>-2.264412967547802</v>
      </c>
      <c r="CL147" s="7">
        <f t="shared" si="79"/>
        <v>-0.3586477805286811</v>
      </c>
      <c r="CM147" s="7">
        <f t="shared" si="80"/>
        <v>0</v>
      </c>
      <c r="CN147" s="7">
        <f t="shared" si="81"/>
        <v>-1.8586477805286812</v>
      </c>
      <c r="CO147" s="7">
        <f t="shared" si="82"/>
        <v>0</v>
      </c>
      <c r="CP147" s="7">
        <f t="shared" si="83"/>
        <v>-32.34973899053295</v>
      </c>
      <c r="CQ147" s="7">
        <f t="shared" si="84"/>
        <v>0</v>
      </c>
      <c r="CR147" s="7">
        <f t="shared" si="75"/>
        <v>0</v>
      </c>
    </row>
    <row r="148" spans="3:96" ht="18" customHeight="1">
      <c r="C148" s="10"/>
      <c r="CG148" s="7">
        <f t="shared" si="77"/>
        <v>81.5</v>
      </c>
      <c r="CH148" s="7">
        <f t="shared" si="74"/>
        <v>-32.32497069185719</v>
      </c>
      <c r="CI148" s="7">
        <f t="shared" si="78"/>
        <v>81.5</v>
      </c>
      <c r="CJ148" s="7">
        <f t="shared" si="55"/>
        <v>1.4224433403753785</v>
      </c>
      <c r="CK148" s="7">
        <f t="shared" si="56"/>
        <v>-2.2195144212824998</v>
      </c>
      <c r="CL148" s="7">
        <f t="shared" si="79"/>
        <v>-0.33170865276949985</v>
      </c>
      <c r="CM148" s="7">
        <f t="shared" si="80"/>
        <v>0</v>
      </c>
      <c r="CN148" s="7">
        <f t="shared" si="81"/>
        <v>-1.8317086527695</v>
      </c>
      <c r="CO148" s="7">
        <f t="shared" si="82"/>
        <v>0</v>
      </c>
      <c r="CP148" s="7">
        <f t="shared" si="83"/>
        <v>-34.204300835796474</v>
      </c>
      <c r="CQ148" s="7">
        <f t="shared" si="84"/>
        <v>0</v>
      </c>
      <c r="CR148" s="7">
        <f t="shared" si="75"/>
        <v>0</v>
      </c>
    </row>
    <row r="149" spans="3:96" ht="18" customHeight="1">
      <c r="C149" s="10"/>
      <c r="CG149" s="7">
        <f t="shared" si="77"/>
        <v>82</v>
      </c>
      <c r="CH149" s="7">
        <f t="shared" si="74"/>
        <v>-34.588371748511456</v>
      </c>
      <c r="CI149" s="7">
        <f t="shared" si="78"/>
        <v>82</v>
      </c>
      <c r="CJ149" s="7">
        <f t="shared" si="55"/>
        <v>1.43116998663535</v>
      </c>
      <c r="CK149" s="7">
        <f t="shared" si="56"/>
        <v>-2.1764719816880005</v>
      </c>
      <c r="CL149" s="7">
        <f t="shared" si="79"/>
        <v>-0.30588318901280015</v>
      </c>
      <c r="CM149" s="7">
        <f t="shared" si="80"/>
        <v>0</v>
      </c>
      <c r="CN149" s="7">
        <f t="shared" si="81"/>
        <v>-1.8058831890128002</v>
      </c>
      <c r="CO149" s="7">
        <f t="shared" si="82"/>
        <v>0</v>
      </c>
      <c r="CP149" s="7">
        <f t="shared" si="83"/>
        <v>-36.034141868070066</v>
      </c>
      <c r="CQ149" s="7">
        <f t="shared" si="84"/>
        <v>0</v>
      </c>
      <c r="CR149" s="7">
        <f t="shared" si="75"/>
        <v>0</v>
      </c>
    </row>
    <row r="150" spans="3:86" ht="18" customHeight="1">
      <c r="C150" s="10"/>
      <c r="CG150" s="7" t="s">
        <v>20</v>
      </c>
      <c r="CH150" s="7">
        <f>MAX(CH55:CH149)</f>
        <v>53.67065709079993</v>
      </c>
    </row>
    <row r="151" ht="18" customHeight="1">
      <c r="C151" s="10"/>
    </row>
    <row r="152" ht="18" customHeight="1">
      <c r="C152" s="10"/>
    </row>
    <row r="153" ht="18" customHeight="1">
      <c r="C153" s="10"/>
    </row>
    <row r="154" ht="18" customHeight="1">
      <c r="C154" s="10"/>
    </row>
    <row r="155" ht="18" customHeight="1">
      <c r="C155" s="10"/>
    </row>
    <row r="156" ht="18" customHeight="1">
      <c r="C156" s="10"/>
    </row>
    <row r="157" ht="18" customHeight="1">
      <c r="C157" s="10"/>
    </row>
    <row r="158" ht="18" customHeight="1">
      <c r="C158" s="10"/>
    </row>
    <row r="159" ht="18" customHeight="1">
      <c r="C159" s="10"/>
    </row>
    <row r="160" ht="18" customHeight="1">
      <c r="C160" s="10"/>
    </row>
    <row r="161" ht="18" customHeight="1">
      <c r="C161" s="10"/>
    </row>
    <row r="162" ht="18" customHeight="1">
      <c r="C162" s="10"/>
    </row>
    <row r="163" ht="18" customHeight="1">
      <c r="C163" s="10"/>
    </row>
    <row r="164" ht="18" customHeight="1">
      <c r="C164" s="10"/>
    </row>
    <row r="165" ht="18" customHeight="1">
      <c r="C165" s="10"/>
    </row>
    <row r="166" ht="18" customHeight="1">
      <c r="C166" s="10"/>
    </row>
    <row r="167" ht="18" customHeight="1">
      <c r="C167" s="10"/>
    </row>
    <row r="168" ht="18" customHeight="1">
      <c r="C168" s="10"/>
    </row>
    <row r="169" ht="18" customHeight="1">
      <c r="C169" s="10"/>
    </row>
    <row r="170" ht="18" customHeight="1">
      <c r="C170" s="10"/>
    </row>
    <row r="171" ht="18" customHeight="1">
      <c r="C171" s="10"/>
    </row>
    <row r="172" ht="18" customHeight="1">
      <c r="C172" s="10"/>
    </row>
    <row r="173" ht="18" customHeight="1">
      <c r="C173" s="10"/>
    </row>
    <row r="174" ht="18" customHeight="1">
      <c r="C174" s="10"/>
    </row>
    <row r="175" ht="18" customHeight="1">
      <c r="C175" s="10"/>
    </row>
    <row r="176" ht="18" customHeight="1">
      <c r="C176" s="10"/>
    </row>
    <row r="177" ht="18" customHeight="1">
      <c r="A177" s="54" t="s">
        <v>290</v>
      </c>
    </row>
    <row r="178" spans="5:8" ht="18" customHeight="1">
      <c r="E178" s="11"/>
      <c r="F178" s="11"/>
      <c r="G178" s="11"/>
      <c r="H178" s="11"/>
    </row>
    <row r="179" spans="2:19" ht="18" customHeight="1">
      <c r="B179" s="7"/>
      <c r="C179" s="34" t="s">
        <v>172</v>
      </c>
      <c r="D179" s="34" t="s">
        <v>24</v>
      </c>
      <c r="E179" s="58">
        <f>R179*180/PI()</f>
        <v>35</v>
      </c>
      <c r="F179" s="60" t="s">
        <v>263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5">
        <f>D28*PI()/180</f>
        <v>0.6108652381980153</v>
      </c>
      <c r="S179" s="11" t="s">
        <v>5</v>
      </c>
    </row>
    <row r="180" spans="2:19" ht="18" customHeight="1">
      <c r="B180" s="7"/>
      <c r="C180" s="34" t="s">
        <v>173</v>
      </c>
      <c r="D180" s="34" t="s">
        <v>237</v>
      </c>
      <c r="E180" s="58">
        <f>R180*180/PI()</f>
        <v>35</v>
      </c>
      <c r="F180" s="60" t="s">
        <v>263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5">
        <f>D31*PI()/180</f>
        <v>0.6108652381980153</v>
      </c>
      <c r="S180" s="11" t="s">
        <v>5</v>
      </c>
    </row>
    <row r="181" spans="2:19" ht="18" customHeight="1">
      <c r="B181" s="7"/>
      <c r="C181" s="34" t="s">
        <v>174</v>
      </c>
      <c r="D181" s="34" t="s">
        <v>238</v>
      </c>
      <c r="E181" s="58">
        <f>AN11</f>
        <v>25.87371508897443</v>
      </c>
      <c r="F181" s="60" t="s">
        <v>263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5">
        <f>E181*PI()/180</f>
        <v>0.45158151802554136</v>
      </c>
      <c r="S181" s="11" t="s">
        <v>5</v>
      </c>
    </row>
    <row r="182" spans="2:19" ht="18" customHeight="1">
      <c r="B182" s="7"/>
      <c r="C182" s="34" t="s">
        <v>175</v>
      </c>
      <c r="D182" s="34" t="s">
        <v>21</v>
      </c>
      <c r="E182" s="58">
        <f>R182*180/PI()</f>
        <v>16.69924423399362</v>
      </c>
      <c r="F182" s="60" t="s">
        <v>263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5">
        <f>ATAN(H5)</f>
        <v>0.2914567944778671</v>
      </c>
      <c r="S182" s="11" t="s">
        <v>5</v>
      </c>
    </row>
    <row r="183" spans="2:19" ht="18" customHeight="1">
      <c r="B183" s="7"/>
      <c r="C183" s="34" t="s">
        <v>176</v>
      </c>
      <c r="D183" s="34" t="s">
        <v>22</v>
      </c>
      <c r="E183" s="93">
        <f>R183*180/PI()</f>
        <v>59.03624346792648</v>
      </c>
      <c r="F183" s="60" t="s">
        <v>263</v>
      </c>
      <c r="R183" s="15">
        <f>ATAN(1/H6)</f>
        <v>1.0303768265243125</v>
      </c>
      <c r="S183" s="7" t="s">
        <v>5</v>
      </c>
    </row>
    <row r="184" spans="2:19" ht="18" customHeight="1">
      <c r="B184" s="7"/>
      <c r="C184" s="34" t="s">
        <v>177</v>
      </c>
      <c r="D184" s="34" t="s">
        <v>23</v>
      </c>
      <c r="E184" s="93">
        <f>R184*180/PI()</f>
        <v>29.054604099077146</v>
      </c>
      <c r="F184" s="60" t="s">
        <v>263</v>
      </c>
      <c r="R184" s="15">
        <f>IF(m=0,0,ATAN(1/m))</f>
        <v>0.507098504392337</v>
      </c>
      <c r="S184" s="7" t="s">
        <v>5</v>
      </c>
    </row>
    <row r="185" spans="2:19" ht="18" customHeight="1">
      <c r="B185" s="7"/>
      <c r="C185" s="34" t="s">
        <v>178</v>
      </c>
      <c r="D185" s="34" t="s">
        <v>239</v>
      </c>
      <c r="E185" s="93">
        <f>D28*2/3</f>
        <v>23.333333333333332</v>
      </c>
      <c r="F185" s="60" t="s">
        <v>263</v>
      </c>
      <c r="R185" s="15">
        <f>E185*PI()/180</f>
        <v>0.4072434921320102</v>
      </c>
      <c r="S185" s="7" t="s">
        <v>5</v>
      </c>
    </row>
    <row r="186" spans="2:7" ht="18" customHeight="1">
      <c r="B186" s="7"/>
      <c r="C186" s="34"/>
      <c r="D186" s="34"/>
      <c r="E186" s="15"/>
      <c r="G186" s="15"/>
    </row>
    <row r="187" ht="18" customHeight="1">
      <c r="A187" s="54" t="s">
        <v>291</v>
      </c>
    </row>
    <row r="188" spans="3:7" ht="18" customHeight="1">
      <c r="C188" s="24" t="s">
        <v>240</v>
      </c>
      <c r="D188" s="25" t="s">
        <v>241</v>
      </c>
      <c r="E188" s="25" t="s">
        <v>242</v>
      </c>
      <c r="F188" s="25" t="s">
        <v>243</v>
      </c>
      <c r="G188" s="26" t="s">
        <v>244</v>
      </c>
    </row>
    <row r="189" spans="3:7" ht="18" customHeight="1">
      <c r="C189" s="27">
        <f>F230-5</f>
        <v>42</v>
      </c>
      <c r="D189" s="19">
        <f>VLOOKUP($C189,$CI$55:$CQ$149,7,FALSE)</f>
        <v>105.05844576420584</v>
      </c>
      <c r="E189" s="19">
        <f>VLOOKUP($C189,$CI$55:$CQ$149,9,FALSE)</f>
        <v>42.813836832917474</v>
      </c>
      <c r="F189" s="19">
        <f>VLOOKUP($C189,$CI$55:$CQ$149,8,FALSE)</f>
        <v>102.44056538825588</v>
      </c>
      <c r="G189" s="20">
        <f>VLOOKUP(C189,$CG$55:$CH$149,2,FALSE)</f>
        <v>52.99734724620057</v>
      </c>
    </row>
    <row r="190" spans="3:7" ht="18" customHeight="1">
      <c r="C190" s="27">
        <f>C189+0.5</f>
        <v>42.5</v>
      </c>
      <c r="D190" s="19">
        <f aca="true" t="shared" si="85" ref="D190:D209">VLOOKUP($C190,$CI$55:$CQ$149,7,FALSE)</f>
        <v>101.92729006973103</v>
      </c>
      <c r="E190" s="19">
        <f aca="true" t="shared" si="86" ref="E190:E209">VLOOKUP($C190,$CI$55:$CQ$149,9,FALSE)</f>
        <v>41.53781577600422</v>
      </c>
      <c r="F190" s="19">
        <f aca="true" t="shared" si="87" ref="F190:F209">VLOOKUP($C190,$CI$55:$CQ$149,8,FALSE)</f>
        <v>104.80223302373012</v>
      </c>
      <c r="G190" s="20">
        <f aca="true" t="shared" si="88" ref="G190:G209">VLOOKUP(C190,$CG$55:$CH$149,2,FALSE)</f>
        <v>53.10574881229175</v>
      </c>
    </row>
    <row r="191" spans="3:7" ht="18" customHeight="1">
      <c r="C191" s="27">
        <f aca="true" t="shared" si="89" ref="C191:C198">C190+0.5</f>
        <v>43</v>
      </c>
      <c r="D191" s="19">
        <f t="shared" si="85"/>
        <v>98.65825057669363</v>
      </c>
      <c r="E191" s="19">
        <f t="shared" si="86"/>
        <v>40.20560376356503</v>
      </c>
      <c r="F191" s="19">
        <f t="shared" si="87"/>
        <v>107.25517927281774</v>
      </c>
      <c r="G191" s="20">
        <f t="shared" si="88"/>
        <v>53.207247382023525</v>
      </c>
    </row>
    <row r="192" spans="3:7" ht="18" customHeight="1">
      <c r="C192" s="27">
        <f t="shared" si="89"/>
        <v>43.5</v>
      </c>
      <c r="D192" s="19">
        <f t="shared" si="85"/>
        <v>95.24287828552939</v>
      </c>
      <c r="E192" s="19">
        <f t="shared" si="86"/>
        <v>38.81375762559948</v>
      </c>
      <c r="F192" s="19">
        <f t="shared" si="87"/>
        <v>109.80335063780272</v>
      </c>
      <c r="G192" s="20">
        <f t="shared" si="88"/>
        <v>53.3012044364268</v>
      </c>
    </row>
    <row r="193" spans="3:7" ht="18" customHeight="1">
      <c r="C193" s="27">
        <f t="shared" si="89"/>
        <v>44</v>
      </c>
      <c r="D193" s="19">
        <f t="shared" si="85"/>
        <v>91.67227206921753</v>
      </c>
      <c r="E193" s="19">
        <f t="shared" si="86"/>
        <v>37.3586499393228</v>
      </c>
      <c r="F193" s="19">
        <f t="shared" si="87"/>
        <v>112.45054695922943</v>
      </c>
      <c r="G193" s="20">
        <f t="shared" si="88"/>
        <v>53.38689206559492</v>
      </c>
    </row>
    <row r="194" spans="3:7" ht="18" customHeight="1">
      <c r="C194" s="27">
        <f t="shared" si="89"/>
        <v>44.5</v>
      </c>
      <c r="D194" s="19">
        <f t="shared" si="85"/>
        <v>87.93712029658737</v>
      </c>
      <c r="E194" s="19">
        <f t="shared" si="86"/>
        <v>35.83648599166183</v>
      </c>
      <c r="F194" s="19">
        <f t="shared" si="87"/>
        <v>115.20027680982795</v>
      </c>
      <c r="G194" s="20">
        <f t="shared" si="88"/>
        <v>53.463477605896706</v>
      </c>
    </row>
    <row r="195" spans="3:7" ht="18" customHeight="1">
      <c r="C195" s="27">
        <f t="shared" si="89"/>
        <v>45</v>
      </c>
      <c r="D195" s="19">
        <f t="shared" si="85"/>
        <v>84.02777777777781</v>
      </c>
      <c r="E195" s="19">
        <f t="shared" si="86"/>
        <v>34.243335136375485</v>
      </c>
      <c r="F195" s="19">
        <f t="shared" si="87"/>
        <v>118.05555555555554</v>
      </c>
      <c r="G195" s="20">
        <f t="shared" si="88"/>
        <v>53.53000498930781</v>
      </c>
    </row>
    <row r="196" spans="3:7" ht="18" customHeight="1">
      <c r="C196" s="27">
        <f t="shared" si="89"/>
        <v>45.5</v>
      </c>
      <c r="D196" s="19">
        <f t="shared" si="85"/>
        <v>79.93439425008889</v>
      </c>
      <c r="E196" s="19">
        <f t="shared" si="86"/>
        <v>32.57518315512148</v>
      </c>
      <c r="F196" s="19">
        <f t="shared" si="87"/>
        <v>121.01862417431079</v>
      </c>
      <c r="G196" s="20">
        <f t="shared" si="88"/>
        <v>53.585371954731265</v>
      </c>
    </row>
    <row r="197" spans="3:7" ht="18" customHeight="1">
      <c r="C197" s="27">
        <f t="shared" si="89"/>
        <v>46</v>
      </c>
      <c r="D197" s="19">
        <f t="shared" si="85"/>
        <v>75.64711785618742</v>
      </c>
      <c r="E197" s="19">
        <f t="shared" si="86"/>
        <v>30.828015179706274</v>
      </c>
      <c r="F197" s="19">
        <f t="shared" si="87"/>
        <v>124.09055794287873</v>
      </c>
      <c r="G197" s="20">
        <f t="shared" si="88"/>
        <v>53.6283020103172</v>
      </c>
    </row>
    <row r="198" spans="3:7" ht="18" customHeight="1">
      <c r="C198" s="27">
        <f t="shared" si="89"/>
        <v>46.5</v>
      </c>
      <c r="D198" s="19">
        <f t="shared" si="85"/>
        <v>71.15640773958894</v>
      </c>
      <c r="E198" s="19">
        <f t="shared" si="86"/>
        <v>28.99794308224255</v>
      </c>
      <c r="F198" s="19">
        <f t="shared" si="87"/>
        <v>127.270721056593</v>
      </c>
      <c r="G198" s="20">
        <f t="shared" si="88"/>
        <v>53.6573096812952</v>
      </c>
    </row>
    <row r="199" spans="3:7" ht="18" customHeight="1">
      <c r="C199" s="87">
        <f>C198+0.5</f>
        <v>47</v>
      </c>
      <c r="D199" s="88">
        <f t="shared" si="85"/>
        <v>66.45350578781265</v>
      </c>
      <c r="E199" s="88">
        <f t="shared" si="86"/>
        <v>27.081397721801277</v>
      </c>
      <c r="F199" s="88">
        <f t="shared" si="87"/>
        <v>130.55600408038032</v>
      </c>
      <c r="G199" s="89">
        <f t="shared" si="88"/>
        <v>53.67065709079993</v>
      </c>
    </row>
    <row r="200" spans="3:7" ht="18" customHeight="1">
      <c r="C200" s="27">
        <f aca="true" t="shared" si="90" ref="C200:C209">C199+0.5</f>
        <v>47.5</v>
      </c>
      <c r="D200" s="19">
        <f t="shared" si="85"/>
        <v>61.531141521168564</v>
      </c>
      <c r="E200" s="19">
        <f t="shared" si="86"/>
        <v>25.07541620350163</v>
      </c>
      <c r="F200" s="19">
        <f t="shared" si="87"/>
        <v>133.93975263015352</v>
      </c>
      <c r="G200" s="20">
        <f t="shared" si="88"/>
        <v>53.666299244155766</v>
      </c>
    </row>
    <row r="201" spans="3:7" ht="18" customHeight="1">
      <c r="C201" s="27">
        <f t="shared" si="90"/>
        <v>48</v>
      </c>
      <c r="D201" s="19">
        <f t="shared" si="85"/>
        <v>56.384580687154426</v>
      </c>
      <c r="E201" s="19">
        <f t="shared" si="86"/>
        <v>22.978069205881777</v>
      </c>
      <c r="F201" s="19">
        <f t="shared" si="87"/>
        <v>137.41025274141285</v>
      </c>
      <c r="G201" s="20">
        <f t="shared" si="88"/>
        <v>53.641814434024894</v>
      </c>
    </row>
    <row r="202" spans="3:7" ht="18" customHeight="1">
      <c r="C202" s="27">
        <f t="shared" si="90"/>
        <v>48.5</v>
      </c>
      <c r="D202" s="19">
        <f t="shared" si="85"/>
        <v>51.013184656232426</v>
      </c>
      <c r="E202" s="19">
        <f t="shared" si="86"/>
        <v>20.789096472085372</v>
      </c>
      <c r="F202" s="19">
        <f t="shared" si="87"/>
        <v>140.94857274109836</v>
      </c>
      <c r="G202" s="20">
        <f t="shared" si="88"/>
        <v>53.59431482370585</v>
      </c>
    </row>
    <row r="203" spans="3:7" ht="18" customHeight="1">
      <c r="C203" s="27">
        <f t="shared" si="90"/>
        <v>49</v>
      </c>
      <c r="D203" s="19">
        <f t="shared" si="85"/>
        <v>45.4227364545842</v>
      </c>
      <c r="E203" s="19">
        <f t="shared" si="86"/>
        <v>18.510854724006972</v>
      </c>
      <c r="F203" s="19">
        <f t="shared" si="87"/>
        <v>144.52545951144043</v>
      </c>
      <c r="G203" s="20">
        <f t="shared" si="88"/>
        <v>53.52033029591689</v>
      </c>
    </row>
    <row r="204" spans="3:7" ht="18" customHeight="1">
      <c r="C204" s="27">
        <f t="shared" si="90"/>
        <v>49.5</v>
      </c>
      <c r="D204" s="19">
        <f t="shared" si="85"/>
        <v>39.62893088088361</v>
      </c>
      <c r="E204" s="19">
        <f t="shared" si="86"/>
        <v>16.149739968599285</v>
      </c>
      <c r="F204" s="19">
        <f t="shared" si="87"/>
        <v>148.0968260126699</v>
      </c>
      <c r="G204" s="20">
        <f t="shared" si="88"/>
        <v>53.415655754848</v>
      </c>
    </row>
    <row r="205" spans="3:7" ht="18" customHeight="1">
      <c r="C205" s="27">
        <f t="shared" si="90"/>
        <v>50</v>
      </c>
      <c r="D205" s="19">
        <f t="shared" si="85"/>
        <v>33.662656313980094</v>
      </c>
      <c r="E205" s="19">
        <f t="shared" si="86"/>
        <v>13.718339961206233</v>
      </c>
      <c r="F205" s="19">
        <f t="shared" si="87"/>
        <v>151.59710769487566</v>
      </c>
      <c r="G205" s="20">
        <f t="shared" si="88"/>
        <v>53.275147725762274</v>
      </c>
    </row>
    <row r="206" spans="3:7" ht="18" customHeight="1">
      <c r="C206" s="27">
        <f t="shared" si="90"/>
        <v>50.5</v>
      </c>
      <c r="D206" s="19">
        <f t="shared" si="85"/>
        <v>27.578077570157035</v>
      </c>
      <c r="E206" s="19">
        <f t="shared" si="86"/>
        <v>11.23872816379057</v>
      </c>
      <c r="F206" s="19">
        <f t="shared" si="87"/>
        <v>154.92933927259284</v>
      </c>
      <c r="G206" s="20">
        <f t="shared" si="88"/>
        <v>53.092449463179506</v>
      </c>
    </row>
    <row r="207" spans="3:7" ht="18" customHeight="1">
      <c r="C207" s="27">
        <f t="shared" si="90"/>
        <v>51</v>
      </c>
      <c r="D207" s="19">
        <f t="shared" si="85"/>
        <v>21.46517682855479</v>
      </c>
      <c r="E207" s="19">
        <f t="shared" si="86"/>
        <v>8.747574472880482</v>
      </c>
      <c r="F207" s="19">
        <f t="shared" si="87"/>
        <v>157.9500864057335</v>
      </c>
      <c r="G207" s="20">
        <f t="shared" si="88"/>
        <v>52.859613431057305</v>
      </c>
    </row>
    <row r="208" spans="3:7" ht="18" customHeight="1">
      <c r="C208" s="27">
        <f t="shared" si="90"/>
        <v>51.5</v>
      </c>
      <c r="D208" s="19">
        <f t="shared" si="85"/>
        <v>15.46953651975152</v>
      </c>
      <c r="E208" s="19">
        <f t="shared" si="86"/>
        <v>6.3042072212261235</v>
      </c>
      <c r="F208" s="19">
        <f t="shared" si="87"/>
        <v>160.44612932185655</v>
      </c>
      <c r="G208" s="20">
        <f t="shared" si="88"/>
        <v>52.56657349204867</v>
      </c>
    </row>
    <row r="209" spans="3:7" ht="18" customHeight="1">
      <c r="C209" s="28">
        <f t="shared" si="90"/>
        <v>52</v>
      </c>
      <c r="D209" s="22">
        <f t="shared" si="85"/>
        <v>9.8241650936572</v>
      </c>
      <c r="E209" s="22">
        <f t="shared" si="86"/>
        <v>4.003582941665672</v>
      </c>
      <c r="F209" s="22">
        <f t="shared" si="87"/>
        <v>162.09759700705854</v>
      </c>
      <c r="G209" s="23">
        <f t="shared" si="88"/>
        <v>52.200392047236406</v>
      </c>
    </row>
    <row r="228" spans="2:8" ht="18" customHeight="1">
      <c r="B228" s="7"/>
      <c r="D228" s="34" t="s">
        <v>179</v>
      </c>
      <c r="E228" s="9" t="s">
        <v>245</v>
      </c>
      <c r="F228" s="93">
        <f>Pmax</f>
        <v>53.67065709079993</v>
      </c>
      <c r="G228" s="7" t="s">
        <v>180</v>
      </c>
      <c r="H228" s="12" t="str">
        <f>IF(F230=E179,"計算不能"," ")</f>
        <v> </v>
      </c>
    </row>
    <row r="229" spans="2:7" ht="18" customHeight="1">
      <c r="B229" s="7"/>
      <c r="D229" s="34" t="s">
        <v>181</v>
      </c>
      <c r="E229" s="9"/>
      <c r="F229" s="9" t="s">
        <v>271</v>
      </c>
      <c r="G229" s="93">
        <f>2*F228/(γ*H^2)</f>
        <v>0.2146826283631997</v>
      </c>
    </row>
    <row r="230" spans="2:7" ht="18" customHeight="1">
      <c r="B230" s="7"/>
      <c r="D230" s="34" t="s">
        <v>182</v>
      </c>
      <c r="E230" s="34" t="s">
        <v>246</v>
      </c>
      <c r="F230" s="29">
        <f>VLOOKUP($F$228,$CH$55:$CI$149,2,FALSE)</f>
        <v>47</v>
      </c>
      <c r="G230" s="39" t="s">
        <v>183</v>
      </c>
    </row>
    <row r="231" spans="2:7" ht="18" customHeight="1">
      <c r="B231" s="7"/>
      <c r="C231" s="10"/>
      <c r="G231" s="29"/>
    </row>
    <row r="232" spans="4:8" ht="18" customHeight="1">
      <c r="D232" s="34" t="s">
        <v>184</v>
      </c>
      <c r="E232" s="9"/>
      <c r="F232" s="9" t="s">
        <v>272</v>
      </c>
      <c r="G232" s="93">
        <f>F228*SIN(δ2-α)</f>
        <v>6.200471945800386</v>
      </c>
      <c r="H232" s="7" t="s">
        <v>185</v>
      </c>
    </row>
    <row r="233" ht="18" customHeight="1">
      <c r="G233" s="29"/>
    </row>
    <row r="234" spans="4:8" ht="18" customHeight="1">
      <c r="D234" s="34" t="s">
        <v>186</v>
      </c>
      <c r="E234" s="9"/>
      <c r="F234" s="9" t="s">
        <v>273</v>
      </c>
      <c r="G234" s="93">
        <f>F228*COS(δ2-α)</f>
        <v>53.31128942548262</v>
      </c>
      <c r="H234" s="7" t="s">
        <v>185</v>
      </c>
    </row>
    <row r="236" spans="4:7" ht="18" customHeight="1">
      <c r="D236" s="34" t="s">
        <v>45</v>
      </c>
      <c r="E236" s="9" t="s">
        <v>247</v>
      </c>
      <c r="F236" s="93">
        <f>B+F237*nr</f>
        <v>2.15</v>
      </c>
      <c r="G236" s="7" t="s">
        <v>187</v>
      </c>
    </row>
    <row r="237" spans="5:7" ht="18" customHeight="1">
      <c r="E237" s="9" t="s">
        <v>248</v>
      </c>
      <c r="F237" s="93">
        <f>H/3</f>
        <v>1.6666666666666667</v>
      </c>
      <c r="G237" s="7" t="s">
        <v>187</v>
      </c>
    </row>
    <row r="238" ht="18" customHeight="1">
      <c r="A238" s="54" t="s">
        <v>292</v>
      </c>
    </row>
    <row r="239" spans="2:8" ht="18" customHeight="1">
      <c r="B239" s="1" t="s">
        <v>51</v>
      </c>
      <c r="C239" s="2" t="s">
        <v>52</v>
      </c>
      <c r="D239" s="2" t="s">
        <v>53</v>
      </c>
      <c r="E239" s="2" t="s">
        <v>54</v>
      </c>
      <c r="F239" s="2" t="s">
        <v>55</v>
      </c>
      <c r="G239" s="2" t="s">
        <v>56</v>
      </c>
      <c r="H239" s="3" t="s">
        <v>57</v>
      </c>
    </row>
    <row r="240" spans="2:8" ht="18" customHeight="1">
      <c r="B240" s="4" t="s">
        <v>58</v>
      </c>
      <c r="C240" s="35">
        <f>E75</f>
        <v>119.08250000000001</v>
      </c>
      <c r="D240" s="35">
        <v>0</v>
      </c>
      <c r="E240" s="35">
        <f>E76</f>
        <v>1.680130371801062</v>
      </c>
      <c r="F240" s="35">
        <f>E77</f>
        <v>2.0239336874295826</v>
      </c>
      <c r="G240" s="35">
        <f>C240*E240</f>
        <v>200.07412499999998</v>
      </c>
      <c r="H240" s="36">
        <f>D240*F240</f>
        <v>0</v>
      </c>
    </row>
    <row r="241" spans="2:8" ht="18" customHeight="1">
      <c r="B241" s="4" t="s">
        <v>59</v>
      </c>
      <c r="C241" s="35">
        <f>G232</f>
        <v>6.200471945800386</v>
      </c>
      <c r="D241" s="35">
        <f>G234</f>
        <v>53.31128942548262</v>
      </c>
      <c r="E241" s="35">
        <f>F236</f>
        <v>2.15</v>
      </c>
      <c r="F241" s="35">
        <f>F237</f>
        <v>1.6666666666666667</v>
      </c>
      <c r="G241" s="35">
        <f>C241*E241</f>
        <v>13.33101468347083</v>
      </c>
      <c r="H241" s="36">
        <f>D241*F241</f>
        <v>88.85214904247104</v>
      </c>
    </row>
    <row r="242" spans="2:8" ht="18" customHeight="1">
      <c r="B242" s="5" t="s">
        <v>60</v>
      </c>
      <c r="C242" s="37">
        <f>SUM(C240:C241)</f>
        <v>125.2829719458004</v>
      </c>
      <c r="D242" s="37">
        <f>SUM(D240:D241)</f>
        <v>53.31128942548262</v>
      </c>
      <c r="E242" s="90" t="s">
        <v>268</v>
      </c>
      <c r="F242" s="90" t="s">
        <v>268</v>
      </c>
      <c r="G242" s="37">
        <f>SUM(G240:G241)</f>
        <v>213.40513968347082</v>
      </c>
      <c r="H242" s="38">
        <f>SUM(H240:H241)</f>
        <v>88.85214904247104</v>
      </c>
    </row>
    <row r="244" spans="3:8" ht="18" customHeight="1">
      <c r="C244" s="6" t="s">
        <v>61</v>
      </c>
      <c r="G244" s="93">
        <f>(G242-H242)/C242</f>
        <v>0.9941733398125612</v>
      </c>
      <c r="H244" s="7" t="s">
        <v>114</v>
      </c>
    </row>
    <row r="245" ht="18" customHeight="1">
      <c r="G245" s="29"/>
    </row>
    <row r="246" ht="18" customHeight="1">
      <c r="G246" s="29"/>
    </row>
    <row r="247" spans="3:8" ht="18" customHeight="1">
      <c r="C247" s="6" t="s">
        <v>62</v>
      </c>
      <c r="G247" s="93">
        <f>B/2-G244</f>
        <v>-0.16917333981256122</v>
      </c>
      <c r="H247" s="7" t="s">
        <v>114</v>
      </c>
    </row>
    <row r="249" spans="3:7" ht="18" customHeight="1">
      <c r="C249" s="8" t="s">
        <v>63</v>
      </c>
      <c r="E249" s="9" t="s">
        <v>64</v>
      </c>
      <c r="F249" s="14">
        <f>IF(ABS(G247)&lt;=B/6,C242/B*(1+6*G247/B),IF(G247&gt;B/6,2*C242/3/G244,0))</f>
        <v>29.219346555108853</v>
      </c>
      <c r="G249" s="7" t="s">
        <v>249</v>
      </c>
    </row>
    <row r="250" spans="3:7" ht="18" customHeight="1">
      <c r="C250" s="53"/>
      <c r="E250" s="9" t="s">
        <v>250</v>
      </c>
      <c r="F250" s="14">
        <f>IF(ABS(G247)&lt;=B/6,C242/B*(1-6*G247/B),IF(G247&gt;B/6,0,2*C242/3/(B-G244)))</f>
        <v>122.63880125798254</v>
      </c>
      <c r="G250" s="7" t="s">
        <v>249</v>
      </c>
    </row>
    <row r="251" spans="5:7" ht="18" customHeight="1">
      <c r="E251" s="9" t="s">
        <v>65</v>
      </c>
      <c r="F251" s="14">
        <f>MAX(F249:F250)</f>
        <v>122.63880125798254</v>
      </c>
      <c r="G251" s="7" t="s">
        <v>249</v>
      </c>
    </row>
    <row r="269" ht="18" customHeight="1">
      <c r="A269" s="54" t="s">
        <v>293</v>
      </c>
    </row>
    <row r="289" ht="18" customHeight="1">
      <c r="A289" s="54" t="s">
        <v>294</v>
      </c>
    </row>
    <row r="290" spans="2:5" ht="18" customHeight="1">
      <c r="B290" s="6" t="s">
        <v>66</v>
      </c>
      <c r="C290" s="9" t="s">
        <v>188</v>
      </c>
      <c r="D290" s="29">
        <f>B</f>
        <v>1.65</v>
      </c>
      <c r="E290" s="7" t="s">
        <v>139</v>
      </c>
    </row>
    <row r="292" spans="2:7" ht="18" customHeight="1">
      <c r="B292" s="6" t="s">
        <v>189</v>
      </c>
      <c r="D292" s="57">
        <f>B/6/G244</f>
        <v>0.2766117225109333</v>
      </c>
      <c r="E292" s="29" t="str">
        <f>IF(D292&gt;=F292,"&gt;","&lt;")</f>
        <v>&lt;</v>
      </c>
      <c r="F292" s="56">
        <v>0.5</v>
      </c>
      <c r="G292" s="29" t="str">
        <f>IF(D292&lt;=F292,"SAFE","OUT")</f>
        <v>SAFE</v>
      </c>
    </row>
    <row r="294" ht="18" customHeight="1">
      <c r="A294" s="54" t="s">
        <v>295</v>
      </c>
    </row>
    <row r="295" spans="2:5" ht="18" customHeight="1">
      <c r="B295" s="34" t="s">
        <v>67</v>
      </c>
      <c r="C295" s="34" t="s">
        <v>251</v>
      </c>
      <c r="D295" s="92">
        <f>C242</f>
        <v>125.2829719458004</v>
      </c>
      <c r="E295" s="7" t="s">
        <v>266</v>
      </c>
    </row>
    <row r="296" spans="2:5" ht="18" customHeight="1">
      <c r="B296" s="34" t="s">
        <v>190</v>
      </c>
      <c r="C296" s="34" t="s">
        <v>252</v>
      </c>
      <c r="D296" s="92">
        <f>D242</f>
        <v>53.31128942548262</v>
      </c>
      <c r="E296" s="7" t="s">
        <v>266</v>
      </c>
    </row>
    <row r="297" spans="2:4" ht="18" customHeight="1">
      <c r="B297" s="34" t="s">
        <v>191</v>
      </c>
      <c r="C297" s="34" t="s">
        <v>253</v>
      </c>
      <c r="D297" s="29">
        <f>μ</f>
        <v>0.7</v>
      </c>
    </row>
    <row r="298" spans="2:8" ht="18" customHeight="1">
      <c r="B298" s="6" t="s">
        <v>192</v>
      </c>
      <c r="C298" s="7" t="s">
        <v>270</v>
      </c>
      <c r="E298" s="93">
        <f>D295*D297/D296</f>
        <v>1.6450189313961872</v>
      </c>
      <c r="F298" s="29" t="str">
        <f>IF(E298&gt;=G298,"&gt;","&lt;")</f>
        <v>&gt;</v>
      </c>
      <c r="G298" s="56">
        <v>1.5</v>
      </c>
      <c r="H298" s="29" t="str">
        <f>IF(E298&gt;=G298,"SAFE","OUT")</f>
        <v>SAFE</v>
      </c>
    </row>
    <row r="299" ht="18" customHeight="1">
      <c r="D299" s="9"/>
    </row>
    <row r="300" spans="1:2" ht="18" customHeight="1">
      <c r="A300" s="54" t="s">
        <v>296</v>
      </c>
      <c r="B300" s="7"/>
    </row>
    <row r="301" spans="2:6" ht="18" customHeight="1">
      <c r="B301" s="46" t="s">
        <v>68</v>
      </c>
      <c r="C301" s="9"/>
      <c r="D301" s="9" t="s">
        <v>254</v>
      </c>
      <c r="E301" s="29">
        <f>qd</f>
        <v>1800</v>
      </c>
      <c r="F301" s="7" t="s">
        <v>226</v>
      </c>
    </row>
    <row r="302" spans="2:6" ht="18" customHeight="1">
      <c r="B302" s="46" t="s">
        <v>255</v>
      </c>
      <c r="C302" s="9"/>
      <c r="D302" s="9" t="s">
        <v>269</v>
      </c>
      <c r="E302" s="92">
        <f>F251</f>
        <v>122.63880125798254</v>
      </c>
      <c r="F302" s="7" t="s">
        <v>256</v>
      </c>
    </row>
    <row r="303" spans="2:5" ht="18" customHeight="1">
      <c r="B303" s="7"/>
      <c r="C303" s="9"/>
      <c r="E303" s="29"/>
    </row>
    <row r="304" spans="2:8" ht="18" customHeight="1">
      <c r="B304" s="6" t="s">
        <v>69</v>
      </c>
      <c r="C304" s="9"/>
      <c r="E304" s="92">
        <f>E301/E302</f>
        <v>14.67724718063353</v>
      </c>
      <c r="F304" s="29" t="str">
        <f>IF(E304&gt;=G304,"&gt;","&lt;")</f>
        <v>&gt;</v>
      </c>
      <c r="G304" s="56">
        <v>3</v>
      </c>
      <c r="H304" s="29" t="str">
        <f>IF(E304&gt;=G304,"SAFE","OUT")</f>
        <v>SAFE</v>
      </c>
    </row>
    <row r="305" ht="18" customHeight="1">
      <c r="B305" s="7"/>
    </row>
    <row r="306" ht="18" customHeight="1">
      <c r="B306" s="7"/>
    </row>
    <row r="307" ht="18" customHeight="1">
      <c r="B307" s="7"/>
    </row>
    <row r="312" spans="3:4" ht="18" customHeight="1">
      <c r="C312" s="39"/>
      <c r="D312" s="9"/>
    </row>
    <row r="313" ht="18" customHeight="1">
      <c r="B313" s="7"/>
    </row>
    <row r="314" ht="18" customHeight="1">
      <c r="B314" s="7"/>
    </row>
    <row r="315" ht="18" customHeight="1">
      <c r="B315" s="7"/>
    </row>
    <row r="316" ht="18" customHeight="1">
      <c r="B316" s="7"/>
    </row>
    <row r="317" spans="2:4" ht="18" customHeight="1">
      <c r="B317" s="7"/>
      <c r="D317" s="9"/>
    </row>
  </sheetData>
  <mergeCells count="1">
    <mergeCell ref="AM6:AN6"/>
  </mergeCells>
  <printOptions/>
  <pageMargins left="0.75" right="0.75" top="1" bottom="1" header="0.512" footer="0.512"/>
  <pageSetup firstPageNumber="1" useFirstPageNumber="1" horizontalDpi="600" verticalDpi="600" orientation="portrait" paperSize="9" r:id="rId2"/>
  <headerFooter alignWithMargins="0">
    <oddHeader>&amp;C&amp;9切土部擁壁</oddHeader>
    <oddFooter>&amp;C&amp;10- &amp;P -</oddFooter>
  </headerFooter>
  <rowBreaks count="6" manualBreakCount="6">
    <brk id="41" max="8" man="1"/>
    <brk id="78" max="8" man="1"/>
    <brk id="115" max="8" man="1"/>
    <brk id="186" max="8" man="1"/>
    <brk id="227" max="8" man="1"/>
    <brk id="2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切土部擁壁</dc:title>
  <dc:subject/>
  <dc:creator>右城　猛</dc:creator>
  <cp:keywords/>
  <dc:description/>
  <cp:lastModifiedBy> </cp:lastModifiedBy>
  <cp:lastPrinted>2004-07-24T00:44:24Z</cp:lastPrinted>
  <dcterms:created xsi:type="dcterms:W3CDTF">1998-05-16T18:33:38Z</dcterms:created>
  <dcterms:modified xsi:type="dcterms:W3CDTF">2004-10-13T07:12:01Z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