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885" activeTab="0"/>
  </bookViews>
  <sheets>
    <sheet name="input" sheetId="1" r:id="rId1"/>
    <sheet name="段切り基礎擁壁" sheetId="2" r:id="rId2"/>
  </sheets>
  <definedNames>
    <definedName name="B">'段切り基礎擁壁'!$F$85</definedName>
    <definedName name="Bfa">'段切り基礎擁壁'!$C$27</definedName>
    <definedName name="bo">'段切り基礎擁壁'!$C$30</definedName>
    <definedName name="bq">'段切り基礎擁壁'!$AH$177</definedName>
    <definedName name="bs">'段切り基礎擁壁'!$C$31</definedName>
    <definedName name="Bse">'段切り基礎擁壁'!$C$28</definedName>
    <definedName name="Bth">'段切り基礎擁壁'!$C$29</definedName>
    <definedName name="cu">'段切り基礎擁壁'!$E$41</definedName>
    <definedName name="d">'段切り基礎擁壁'!$E$171</definedName>
    <definedName name="e">'段切り基礎擁壁'!$E$173</definedName>
    <definedName name="H">'段切り基礎擁壁'!$C$20</definedName>
    <definedName name="HA">'段切り基礎擁壁'!$C$21</definedName>
    <definedName name="Hf">'段切り基礎擁壁'!$C$23</definedName>
    <definedName name="Hfa">'段切り基礎擁壁'!$C$24</definedName>
    <definedName name="Ho">'段切り基礎擁壁'!$C$19</definedName>
    <definedName name="Hse">'段切り基礎擁壁'!$C$25</definedName>
    <definedName name="Hw">'段切り基礎擁壁'!$C$22</definedName>
    <definedName name="kH">'段切り基礎擁壁'!$E$38</definedName>
    <definedName name="lc">'段切り基礎擁壁'!$AI$177</definedName>
    <definedName name="Lw">'段切り基礎擁壁'!$C$32</definedName>
    <definedName name="m">'段切り基礎擁壁'!$C$36</definedName>
    <definedName name="Mo">'段切り基礎擁壁'!#REF!</definedName>
    <definedName name="N">'段切り基礎擁壁'!$E$45</definedName>
    <definedName name="nb">'段切り基礎擁壁'!$C$35</definedName>
    <definedName name="nf">'段切り基礎擁壁'!$C$33</definedName>
    <definedName name="nr">'段切り基礎擁壁'!$C$34</definedName>
    <definedName name="PA">'段切り基礎擁壁'!$AE$177</definedName>
    <definedName name="_xlnm.Print_Area" localSheetId="0">'input'!$A$1:$R$30</definedName>
    <definedName name="_xlnm.Print_Area" localSheetId="1">'段切り基礎擁壁'!$A$1:$I$459</definedName>
    <definedName name="q">'段切り基礎擁壁'!$E$37</definedName>
    <definedName name="qd">'段切り基礎擁壁'!$E$43</definedName>
    <definedName name="TH">'段切り基礎擁壁'!$AK$120</definedName>
    <definedName name="Vo">'段切り基礎擁壁'!#REF!</definedName>
    <definedName name="zc">'段切り基礎擁壁'!$G$129</definedName>
    <definedName name="α">'段切り基礎擁壁'!$H$126</definedName>
    <definedName name="αk">'段切り基礎擁壁'!$E$256</definedName>
    <definedName name="β">'段切り基礎擁壁'!$H$127</definedName>
    <definedName name="γ">'段切り基礎擁壁'!$E$39</definedName>
    <definedName name="γc">'段切り基礎擁壁'!$E$47</definedName>
    <definedName name="δ">'段切り基礎擁壁'!$H$124</definedName>
    <definedName name="ε">'段切り基礎擁壁'!$F$449</definedName>
    <definedName name="θ">'段切り基礎擁壁'!$H$125</definedName>
    <definedName name="μ">'段切り基礎擁壁'!$E$44</definedName>
    <definedName name="σck">'段切り基礎擁壁'!$E$48</definedName>
    <definedName name="ΣH">'段切り基礎擁壁'!$D$168</definedName>
    <definedName name="ΣM">'段切り基礎擁壁'!$D$169</definedName>
    <definedName name="ΣV">'段切り基礎擁壁'!$D$167</definedName>
    <definedName name="φ">'段切り基礎擁壁'!$H$123</definedName>
    <definedName name="φd">'段切り基礎擁壁'!$E$40</definedName>
    <definedName name="ωa">'段切り基礎擁壁'!$AG$177</definedName>
    <definedName name="ωad">'段切り基礎擁壁'!$AF$177</definedName>
    <definedName name="ωo">'段切り基礎擁壁'!$AK$121</definedName>
  </definedNames>
  <calcPr fullCalcOnLoad="1"/>
</workbook>
</file>

<file path=xl/sharedStrings.xml><?xml version="1.0" encoding="utf-8"?>
<sst xmlns="http://schemas.openxmlformats.org/spreadsheetml/2006/main" count="1662" uniqueCount="496">
  <si>
    <t>荷重</t>
  </si>
  <si>
    <t>水平力</t>
  </si>
  <si>
    <t>鉛直力</t>
  </si>
  <si>
    <t>m</t>
  </si>
  <si>
    <r>
      <t>i</t>
    </r>
    <r>
      <rPr>
        <sz val="11"/>
        <rFont val="ＭＳ 明朝"/>
        <family val="1"/>
      </rPr>
      <t>段目</t>
    </r>
  </si>
  <si>
    <r>
      <t>N</t>
    </r>
    <r>
      <rPr>
        <sz val="11"/>
        <color indexed="8"/>
        <rFont val="ＭＳ 明朝"/>
        <family val="1"/>
      </rPr>
      <t>値</t>
    </r>
  </si>
  <si>
    <r>
      <t>x</t>
    </r>
    <r>
      <rPr>
        <vertAlign val="subscript"/>
        <sz val="11"/>
        <color indexed="8"/>
        <rFont val="Times New Roman"/>
        <family val="1"/>
      </rPr>
      <t>1</t>
    </r>
  </si>
  <si>
    <r>
      <t>x</t>
    </r>
    <r>
      <rPr>
        <vertAlign val="subscript"/>
        <sz val="11"/>
        <color indexed="8"/>
        <rFont val="Times New Roman"/>
        <family val="1"/>
      </rPr>
      <t>2</t>
    </r>
  </si>
  <si>
    <t>y</t>
  </si>
  <si>
    <r>
      <t>A</t>
    </r>
    <r>
      <rPr>
        <vertAlign val="subscript"/>
        <sz val="11"/>
        <color indexed="8"/>
        <rFont val="Times New Roman"/>
        <family val="1"/>
      </rPr>
      <t>11</t>
    </r>
  </si>
  <si>
    <r>
      <t>A</t>
    </r>
    <r>
      <rPr>
        <vertAlign val="subscript"/>
        <sz val="11"/>
        <color indexed="8"/>
        <rFont val="Times New Roman"/>
        <family val="1"/>
      </rPr>
      <t>12</t>
    </r>
  </si>
  <si>
    <r>
      <t>A</t>
    </r>
    <r>
      <rPr>
        <vertAlign val="subscript"/>
        <sz val="11"/>
        <color indexed="8"/>
        <rFont val="Times New Roman"/>
        <family val="1"/>
      </rPr>
      <t>13</t>
    </r>
  </si>
  <si>
    <r>
      <t>A</t>
    </r>
    <r>
      <rPr>
        <vertAlign val="subscript"/>
        <sz val="11"/>
        <color indexed="8"/>
        <rFont val="Times New Roman"/>
        <family val="1"/>
      </rPr>
      <t>22</t>
    </r>
  </si>
  <si>
    <r>
      <t>A</t>
    </r>
    <r>
      <rPr>
        <vertAlign val="subscript"/>
        <sz val="11"/>
        <color indexed="8"/>
        <rFont val="Times New Roman"/>
        <family val="1"/>
      </rPr>
      <t>23</t>
    </r>
  </si>
  <si>
    <r>
      <t>A</t>
    </r>
    <r>
      <rPr>
        <vertAlign val="subscript"/>
        <sz val="11"/>
        <color indexed="8"/>
        <rFont val="Times New Roman"/>
        <family val="1"/>
      </rPr>
      <t>33</t>
    </r>
  </si>
  <si>
    <t>∑</t>
  </si>
  <si>
    <t>荷重ﾍﾞｸﾄﾙ</t>
  </si>
  <si>
    <t>剛性ﾏﾄﾘｯｸｽ</t>
  </si>
  <si>
    <t>変位ﾍﾞｸﾄﾙ</t>
  </si>
  <si>
    <t>(m)</t>
  </si>
  <si>
    <t>(rad)</t>
  </si>
  <si>
    <t>鉛直地盤反力</t>
  </si>
  <si>
    <t>　　水平地盤反力</t>
  </si>
  <si>
    <t>合力</t>
  </si>
  <si>
    <t>合力位置</t>
  </si>
  <si>
    <t>地盤反力度</t>
  </si>
  <si>
    <r>
      <t>q</t>
    </r>
    <r>
      <rPr>
        <i/>
        <vertAlign val="subscript"/>
        <sz val="11"/>
        <color indexed="8"/>
        <rFont val="Times New Roman"/>
        <family val="1"/>
      </rPr>
      <t>v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(kN/m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</si>
  <si>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r>
      <t>q</t>
    </r>
    <r>
      <rPr>
        <i/>
        <vertAlign val="subscript"/>
        <sz val="11"/>
        <color indexed="8"/>
        <rFont val="Times New Roman"/>
        <family val="1"/>
      </rPr>
      <t>v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(kN/m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</si>
  <si>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r>
      <t>Q</t>
    </r>
    <r>
      <rPr>
        <i/>
        <vertAlign val="subscript"/>
        <sz val="11"/>
        <rFont val="Times New Roman"/>
        <family val="1"/>
      </rPr>
      <t>v</t>
    </r>
    <r>
      <rPr>
        <sz val="11"/>
        <rFont val="Times New Roman"/>
        <family val="1"/>
      </rPr>
      <t>(kN/m)</t>
    </r>
  </si>
  <si>
    <r>
      <t>x</t>
    </r>
    <r>
      <rPr>
        <sz val="11"/>
        <rFont val="Times New Roman"/>
        <family val="1"/>
      </rPr>
      <t>(m)</t>
    </r>
  </si>
  <si>
    <r>
      <t>q</t>
    </r>
    <r>
      <rPr>
        <i/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(kN/m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</si>
  <si>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r>
      <t>Q</t>
    </r>
    <r>
      <rPr>
        <i/>
        <vertAlign val="subscript"/>
        <sz val="11"/>
        <rFont val="Times New Roman"/>
        <family val="1"/>
      </rPr>
      <t>h</t>
    </r>
    <r>
      <rPr>
        <sz val="11"/>
        <rFont val="Times New Roman"/>
        <family val="1"/>
      </rPr>
      <t>(kN/m)</t>
    </r>
  </si>
  <si>
    <t>安定度</t>
  </si>
  <si>
    <t>摩擦係数</t>
  </si>
  <si>
    <t>安全率</t>
  </si>
  <si>
    <r>
      <t>1</t>
    </r>
    <r>
      <rPr>
        <sz val="11"/>
        <color indexed="8"/>
        <rFont val="ＭＳ 明朝"/>
        <family val="1"/>
      </rPr>
      <t>段目</t>
    </r>
  </si>
  <si>
    <r>
      <t>2</t>
    </r>
    <r>
      <rPr>
        <sz val="11"/>
        <color indexed="8"/>
        <rFont val="ＭＳ 明朝"/>
        <family val="1"/>
      </rPr>
      <t>段目</t>
    </r>
  </si>
  <si>
    <r>
      <t>3</t>
    </r>
    <r>
      <rPr>
        <sz val="11"/>
        <color indexed="8"/>
        <rFont val="ＭＳ 明朝"/>
        <family val="1"/>
      </rPr>
      <t>段目</t>
    </r>
  </si>
  <si>
    <r>
      <t>u</t>
    </r>
    <r>
      <rPr>
        <i/>
        <vertAlign val="subscript"/>
        <sz val="11"/>
        <color indexed="8"/>
        <rFont val="Times New Roman"/>
        <family val="1"/>
      </rPr>
      <t>o</t>
    </r>
  </si>
  <si>
    <r>
      <t>v</t>
    </r>
    <r>
      <rPr>
        <i/>
        <vertAlign val="subscript"/>
        <sz val="11"/>
        <color indexed="8"/>
        <rFont val="Times New Roman"/>
        <family val="1"/>
      </rPr>
      <t>o</t>
    </r>
  </si>
  <si>
    <r>
      <t>水平</t>
    </r>
    <r>
      <rPr>
        <i/>
        <sz val="11"/>
        <color indexed="8"/>
        <rFont val="Times New Roman"/>
        <family val="1"/>
      </rPr>
      <t xml:space="preserve"> u</t>
    </r>
    <r>
      <rPr>
        <i/>
        <vertAlign val="subscript"/>
        <sz val="11"/>
        <color indexed="8"/>
        <rFont val="Times New Roman"/>
        <family val="1"/>
      </rPr>
      <t>o</t>
    </r>
    <r>
      <rPr>
        <i/>
        <sz val="11"/>
        <color indexed="8"/>
        <rFont val="Times New Roman"/>
        <family val="1"/>
      </rPr>
      <t>=</t>
    </r>
  </si>
  <si>
    <r>
      <t>鉛直</t>
    </r>
    <r>
      <rPr>
        <i/>
        <sz val="11"/>
        <color indexed="8"/>
        <rFont val="Times New Roman"/>
        <family val="1"/>
      </rPr>
      <t xml:space="preserve"> v</t>
    </r>
    <r>
      <rPr>
        <i/>
        <vertAlign val="subscript"/>
        <sz val="11"/>
        <color indexed="8"/>
        <rFont val="Times New Roman"/>
        <family val="1"/>
      </rPr>
      <t>o</t>
    </r>
    <r>
      <rPr>
        <i/>
        <sz val="11"/>
        <color indexed="8"/>
        <rFont val="Times New Roman"/>
        <family val="1"/>
      </rPr>
      <t>=</t>
    </r>
  </si>
  <si>
    <r>
      <t>回転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明朝"/>
        <family val="1"/>
      </rPr>
      <t>α</t>
    </r>
    <r>
      <rPr>
        <sz val="11"/>
        <color indexed="8"/>
        <rFont val="Times New Roman"/>
        <family val="1"/>
      </rPr>
      <t>=</t>
    </r>
  </si>
  <si>
    <r>
      <t>∑</t>
    </r>
    <r>
      <rPr>
        <i/>
        <sz val="11"/>
        <rFont val="Times New Roman"/>
        <family val="1"/>
      </rPr>
      <t>Q</t>
    </r>
    <r>
      <rPr>
        <i/>
        <vertAlign val="subscript"/>
        <sz val="11"/>
        <rFont val="Times New Roman"/>
        <family val="1"/>
      </rPr>
      <t>V</t>
    </r>
    <r>
      <rPr>
        <sz val="11"/>
        <rFont val="Times New Roman"/>
        <family val="1"/>
      </rPr>
      <t>=</t>
    </r>
  </si>
  <si>
    <r>
      <t>∑</t>
    </r>
    <r>
      <rPr>
        <i/>
        <sz val="11"/>
        <rFont val="Times New Roman"/>
        <family val="1"/>
      </rPr>
      <t>Q</t>
    </r>
    <r>
      <rPr>
        <i/>
        <vertAlign val="subscript"/>
        <sz val="11"/>
        <rFont val="Times New Roman"/>
        <family val="1"/>
      </rPr>
      <t>h</t>
    </r>
    <r>
      <rPr>
        <sz val="11"/>
        <rFont val="Times New Roman"/>
        <family val="1"/>
      </rPr>
      <t>=</t>
    </r>
  </si>
  <si>
    <r>
      <t>μ</t>
    </r>
    <r>
      <rPr>
        <sz val="11"/>
        <rFont val="Times New Roman"/>
        <family val="1"/>
      </rPr>
      <t>=</t>
    </r>
  </si>
  <si>
    <r>
      <t>A</t>
    </r>
    <r>
      <rPr>
        <sz val="11"/>
        <rFont val="Times New Roman"/>
        <family val="1"/>
      </rPr>
      <t>(m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</si>
  <si>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Gy</t>
    </r>
    <r>
      <rPr>
        <sz val="11"/>
        <rFont val="Times New Roman"/>
        <family val="1"/>
      </rPr>
      <t>(m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</si>
  <si>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Gx</t>
    </r>
    <r>
      <rPr>
        <sz val="11"/>
        <rFont val="Times New Roman"/>
        <family val="1"/>
      </rPr>
      <t>(m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</si>
  <si>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t>内部摩擦角</t>
  </si>
  <si>
    <t>N=</t>
  </si>
  <si>
    <t>内部摩擦角</t>
  </si>
  <si>
    <t>壁面傾斜角</t>
  </si>
  <si>
    <t>主働土圧の水平成分</t>
  </si>
  <si>
    <t>土圧合力作用位置</t>
  </si>
  <si>
    <t>鉛直力</t>
  </si>
  <si>
    <t>水平力</t>
  </si>
  <si>
    <t>自重</t>
  </si>
  <si>
    <t>土圧</t>
  </si>
  <si>
    <t>計</t>
  </si>
  <si>
    <t>モーメント</t>
  </si>
  <si>
    <t>Fs3=</t>
  </si>
  <si>
    <t>ks3=</t>
  </si>
  <si>
    <t>Fs2=</t>
  </si>
  <si>
    <t>ks2=</t>
  </si>
  <si>
    <t>断面力</t>
  </si>
  <si>
    <t>地盤反力</t>
  </si>
  <si>
    <t>１段目</t>
  </si>
  <si>
    <t>２段目</t>
  </si>
  <si>
    <t>幅</t>
  </si>
  <si>
    <t>計算値</t>
  </si>
  <si>
    <t>◆応力計算結果</t>
  </si>
  <si>
    <t>◆インプットデータ</t>
  </si>
  <si>
    <r>
      <t>q</t>
    </r>
    <r>
      <rPr>
        <sz val="11"/>
        <rFont val="Times New Roman"/>
        <family val="1"/>
      </rPr>
      <t>=</t>
    </r>
  </si>
  <si>
    <r>
      <t>k</t>
    </r>
    <r>
      <rPr>
        <i/>
        <vertAlign val="subscript"/>
        <sz val="11"/>
        <rFont val="Times New Roman"/>
        <family val="1"/>
      </rPr>
      <t>H</t>
    </r>
    <r>
      <rPr>
        <sz val="11"/>
        <rFont val="Times New Roman"/>
        <family val="1"/>
      </rPr>
      <t>=</t>
    </r>
  </si>
  <si>
    <t>γ=</t>
  </si>
  <si>
    <t>内部摩擦角</t>
  </si>
  <si>
    <t>φ=</t>
  </si>
  <si>
    <t>粘着力</t>
  </si>
  <si>
    <r>
      <t>c</t>
    </r>
    <r>
      <rPr>
        <sz val="11"/>
        <rFont val="Times New Roman"/>
        <family val="1"/>
      </rPr>
      <t>=</t>
    </r>
  </si>
  <si>
    <t>極限支持力</t>
  </si>
  <si>
    <r>
      <t>q</t>
    </r>
    <r>
      <rPr>
        <i/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=</t>
    </r>
  </si>
  <si>
    <t>摩擦係数</t>
  </si>
  <si>
    <t>μ=</t>
  </si>
  <si>
    <r>
      <t>N</t>
    </r>
    <r>
      <rPr>
        <sz val="11"/>
        <rFont val="ＭＳ Ｐ明朝"/>
        <family val="1"/>
      </rPr>
      <t>値</t>
    </r>
  </si>
  <si>
    <r>
      <t>γ</t>
    </r>
    <r>
      <rPr>
        <vertAlign val="subscript"/>
        <sz val="11"/>
        <rFont val="ＭＳ Ｐ明朝"/>
        <family val="1"/>
      </rPr>
      <t>c</t>
    </r>
    <r>
      <rPr>
        <sz val="11"/>
        <rFont val="ＭＳ Ｐ明朝"/>
        <family val="1"/>
      </rPr>
      <t>=</t>
    </r>
  </si>
  <si>
    <t>設計基準強度</t>
  </si>
  <si>
    <r>
      <t>σ</t>
    </r>
    <r>
      <rPr>
        <i/>
        <vertAlign val="subscript"/>
        <sz val="11"/>
        <rFont val="Times New Roman"/>
        <family val="1"/>
      </rPr>
      <t>ck</t>
    </r>
    <r>
      <rPr>
        <sz val="11"/>
        <rFont val="ＭＳ Ｐ明朝"/>
        <family val="1"/>
      </rPr>
      <t>=</t>
    </r>
  </si>
  <si>
    <t>許容引張応力度</t>
  </si>
  <si>
    <t>許容せん断応力度</t>
  </si>
  <si>
    <t>図化縮尺</t>
  </si>
  <si>
    <t>荷重</t>
  </si>
  <si>
    <t>1:S=1:</t>
  </si>
  <si>
    <r>
      <t>(1)</t>
    </r>
    <r>
      <rPr>
        <sz val="11"/>
        <rFont val="ＭＳ Ｐ明朝"/>
        <family val="1"/>
      </rPr>
      <t>形状寸法</t>
    </r>
  </si>
  <si>
    <t>地盤反力</t>
  </si>
  <si>
    <t>1:S=1:</t>
  </si>
  <si>
    <r>
      <t>H</t>
    </r>
    <r>
      <rPr>
        <i/>
        <vertAlign val="subscript"/>
        <sz val="11"/>
        <rFont val="Times New Roman"/>
        <family val="1"/>
      </rPr>
      <t>o</t>
    </r>
    <r>
      <rPr>
        <sz val="11"/>
        <rFont val="Times New Roman"/>
        <family val="1"/>
      </rPr>
      <t>=</t>
    </r>
  </si>
  <si>
    <t>m</t>
  </si>
  <si>
    <r>
      <t>H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</si>
  <si>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</si>
  <si>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</si>
  <si>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</si>
  <si>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r>
      <t>H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</si>
  <si>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</si>
  <si>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H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=</t>
    </r>
  </si>
  <si>
    <r>
      <t>B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</si>
  <si>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B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</si>
  <si>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B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</si>
  <si>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o</t>
    </r>
    <r>
      <rPr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</si>
  <si>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=</t>
    </r>
  </si>
  <si>
    <r>
      <t>L</t>
    </r>
    <r>
      <rPr>
        <i/>
        <vertAlign val="subscript"/>
        <sz val="11"/>
        <rFont val="Times New Roman"/>
        <family val="1"/>
      </rPr>
      <t>W</t>
    </r>
    <r>
      <rPr>
        <i/>
        <sz val="11"/>
        <rFont val="Times New Roman"/>
        <family val="1"/>
      </rPr>
      <t>=</t>
    </r>
  </si>
  <si>
    <r>
      <t>m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擁壁ブロック長</t>
    </r>
    <r>
      <rPr>
        <sz val="11"/>
        <rFont val="Times New Roman"/>
        <family val="1"/>
      </rPr>
      <t>)</t>
    </r>
  </si>
  <si>
    <r>
      <t>n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</si>
  <si>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t>(前面勾配)</t>
  </si>
  <si>
    <r>
      <t>n</t>
    </r>
    <r>
      <rPr>
        <i/>
        <vertAlign val="subscript"/>
        <sz val="11"/>
        <rFont val="Times New Roman"/>
        <family val="1"/>
      </rPr>
      <t>r</t>
    </r>
    <r>
      <rPr>
        <sz val="11"/>
        <rFont val="Times New Roman"/>
        <family val="1"/>
      </rPr>
      <t>=</t>
    </r>
  </si>
  <si>
    <t>(背面勾配)</t>
  </si>
  <si>
    <t>◆安定計算結果</t>
  </si>
  <si>
    <r>
      <t>n</t>
    </r>
    <r>
      <rPr>
        <i/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</t>
    </r>
  </si>
  <si>
    <t>(段切り勾配)</t>
  </si>
  <si>
    <t>検討項目</t>
  </si>
  <si>
    <t>規定値</t>
  </si>
  <si>
    <t>判定</t>
  </si>
  <si>
    <t>応力度</t>
  </si>
  <si>
    <t>許容応力</t>
  </si>
  <si>
    <t>判定</t>
  </si>
  <si>
    <r>
      <t>m</t>
    </r>
    <r>
      <rPr>
        <sz val="11"/>
        <rFont val="Times New Roman"/>
        <family val="1"/>
      </rPr>
      <t>=</t>
    </r>
  </si>
  <si>
    <t>(盛土勾配)</t>
  </si>
  <si>
    <t>転倒の　　　安定度</t>
  </si>
  <si>
    <t>安全率</t>
  </si>
  <si>
    <t>曲げ応力</t>
  </si>
  <si>
    <t>前面</t>
  </si>
  <si>
    <r>
      <t>(2)</t>
    </r>
    <r>
      <rPr>
        <sz val="11"/>
        <rFont val="ＭＳ Ｐ明朝"/>
        <family val="1"/>
      </rPr>
      <t>荷重</t>
    </r>
  </si>
  <si>
    <t>上載荷重</t>
  </si>
  <si>
    <t>q=</t>
  </si>
  <si>
    <r>
      <t>kN/m</t>
    </r>
    <r>
      <rPr>
        <vertAlign val="superscript"/>
        <sz val="11"/>
        <rFont val="Times New Roman"/>
        <family val="1"/>
      </rPr>
      <t>2</t>
    </r>
  </si>
  <si>
    <t>背面</t>
  </si>
  <si>
    <t>設計震度</t>
  </si>
  <si>
    <t>滑動の　　　安全率</t>
  </si>
  <si>
    <t>１段目</t>
  </si>
  <si>
    <t>せん断応力</t>
  </si>
  <si>
    <t>(3)盛土</t>
  </si>
  <si>
    <t>単位重量</t>
  </si>
  <si>
    <r>
      <t>kN/m</t>
    </r>
    <r>
      <rPr>
        <vertAlign val="superscript"/>
        <sz val="11"/>
        <rFont val="Times New Roman"/>
        <family val="1"/>
      </rPr>
      <t>3</t>
    </r>
  </si>
  <si>
    <t>曲げ応力</t>
  </si>
  <si>
    <t>度</t>
  </si>
  <si>
    <t>３段目</t>
  </si>
  <si>
    <t>背面</t>
  </si>
  <si>
    <t>粘着力</t>
  </si>
  <si>
    <r>
      <t>kN/m</t>
    </r>
    <r>
      <rPr>
        <vertAlign val="superscript"/>
        <sz val="11"/>
        <rFont val="Times New Roman"/>
        <family val="1"/>
      </rPr>
      <t>2</t>
    </r>
  </si>
  <si>
    <t>全　体</t>
  </si>
  <si>
    <t>せん断応力</t>
  </si>
  <si>
    <r>
      <t>(4)</t>
    </r>
    <r>
      <rPr>
        <sz val="11"/>
        <rFont val="ＭＳ Ｐ明朝"/>
        <family val="1"/>
      </rPr>
      <t>支持地盤</t>
    </r>
  </si>
  <si>
    <t>極限支持力</t>
  </si>
  <si>
    <r>
      <t>kN/m</t>
    </r>
    <r>
      <rPr>
        <vertAlign val="superscript"/>
        <sz val="11"/>
        <rFont val="Times New Roman"/>
        <family val="1"/>
      </rPr>
      <t>2</t>
    </r>
  </si>
  <si>
    <t>支持力の安全率</t>
  </si>
  <si>
    <t>摩擦係数</t>
  </si>
  <si>
    <t>回</t>
  </si>
  <si>
    <r>
      <t>(5)</t>
    </r>
    <r>
      <rPr>
        <sz val="11"/>
        <rFont val="ＭＳ Ｐ明朝"/>
        <family val="1"/>
      </rPr>
      <t>ｺﾝｸﾘｰﾄ</t>
    </r>
  </si>
  <si>
    <t>単位重量</t>
  </si>
  <si>
    <t>設計基準強度</t>
  </si>
  <si>
    <r>
      <t>N/mm</t>
    </r>
    <r>
      <rPr>
        <vertAlign val="superscript"/>
        <sz val="11"/>
        <rFont val="Times New Roman"/>
        <family val="1"/>
      </rPr>
      <t>2</t>
    </r>
  </si>
  <si>
    <t>安定度</t>
  </si>
  <si>
    <t>擁壁</t>
  </si>
  <si>
    <t>盛土</t>
  </si>
  <si>
    <t>すべり面</t>
  </si>
  <si>
    <t>自重</t>
  </si>
  <si>
    <t>土圧</t>
  </si>
  <si>
    <t>m</t>
  </si>
  <si>
    <t>m</t>
  </si>
  <si>
    <t>m</t>
  </si>
  <si>
    <t>勾配</t>
  </si>
  <si>
    <t>座標値法による</t>
  </si>
  <si>
    <t>Σ</t>
  </si>
  <si>
    <t>重量</t>
  </si>
  <si>
    <t>kN/m</t>
  </si>
  <si>
    <t>慣性力</t>
  </si>
  <si>
    <t>重心</t>
  </si>
  <si>
    <t>底面幅</t>
  </si>
  <si>
    <t>B=</t>
  </si>
  <si>
    <t>◆計算式</t>
  </si>
  <si>
    <t>TH=</t>
  </si>
  <si>
    <t>m</t>
  </si>
  <si>
    <t>rad</t>
  </si>
  <si>
    <t>deg</t>
  </si>
  <si>
    <t>◆計算条件</t>
  </si>
  <si>
    <t>rad)</t>
  </si>
  <si>
    <t>rad)</t>
  </si>
  <si>
    <t>rad)</t>
  </si>
  <si>
    <t>盛土傾斜角</t>
  </si>
  <si>
    <t>rad)</t>
  </si>
  <si>
    <t>自立高さ</t>
  </si>
  <si>
    <t>m</t>
  </si>
  <si>
    <t>主働すべり角</t>
  </si>
  <si>
    <t>主働土圧合力</t>
  </si>
  <si>
    <t>kN/m</t>
  </si>
  <si>
    <t>主働土圧の鉛直成分</t>
  </si>
  <si>
    <t>m</t>
  </si>
  <si>
    <t>x</t>
  </si>
  <si>
    <t>y</t>
  </si>
  <si>
    <t>Vx</t>
  </si>
  <si>
    <t>Hy</t>
  </si>
  <si>
    <t>kN/m</t>
  </si>
  <si>
    <t>kNm/m</t>
  </si>
  <si>
    <t>荷重位置</t>
  </si>
  <si>
    <t>m</t>
  </si>
  <si>
    <t>偏心量</t>
  </si>
  <si>
    <t>m</t>
  </si>
  <si>
    <t>荷重図</t>
  </si>
  <si>
    <t>地盤係数法の説明図</t>
  </si>
  <si>
    <t>任意点の変位</t>
  </si>
  <si>
    <t>任意点の地盤反力度</t>
  </si>
  <si>
    <r>
      <t>i</t>
    </r>
    <r>
      <rPr>
        <sz val="11"/>
        <color indexed="8"/>
        <rFont val="ＭＳ 明朝"/>
        <family val="1"/>
      </rPr>
      <t>段目の段切り面の地盤反力と座標原点に関するモーメント</t>
    </r>
  </si>
  <si>
    <t>剛性方程式</t>
  </si>
  <si>
    <t>バネ定数</t>
  </si>
  <si>
    <t>２回目</t>
  </si>
  <si>
    <t>３回目</t>
  </si>
  <si>
    <t>４回目</t>
  </si>
  <si>
    <t>底面後端で負の鉛直地盤反力が発生する場合には，次式を満たすように鉛直バネ</t>
  </si>
  <si>
    <t>前端</t>
  </si>
  <si>
    <t>後端</t>
  </si>
  <si>
    <t>後方の段切面で</t>
  </si>
  <si>
    <t>d=</t>
  </si>
  <si>
    <t>m</t>
  </si>
  <si>
    <t>Fs1=</t>
  </si>
  <si>
    <t>ks1=</t>
  </si>
  <si>
    <t>の条件を満たさない場合は，せん断バネ定数の塑性化を考慮し，次式により</t>
  </si>
  <si>
    <t>せん断バネ定数を修正する．</t>
  </si>
  <si>
    <t>Fsa=</t>
  </si>
  <si>
    <t>全体安全率</t>
  </si>
  <si>
    <t>修正後のデータ</t>
  </si>
  <si>
    <t>上記の三元連立方程式を解くと，座標原点での変位と回転角が得られる．</t>
  </si>
  <si>
    <t>V14=</t>
  </si>
  <si>
    <t>rad</t>
  </si>
  <si>
    <t>3d=</t>
  </si>
  <si>
    <t>前端</t>
  </si>
  <si>
    <t>後端</t>
  </si>
  <si>
    <t>地盤反力図</t>
  </si>
  <si>
    <t>底面幅</t>
  </si>
  <si>
    <t>m</t>
  </si>
  <si>
    <t>安全率</t>
  </si>
  <si>
    <t>kNm/m</t>
  </si>
  <si>
    <t>kNm/m</t>
  </si>
  <si>
    <t>段切面の安全率</t>
  </si>
  <si>
    <t>基礎全体安全率</t>
  </si>
  <si>
    <t>極限支持力度</t>
  </si>
  <si>
    <t>最大地盤反力度</t>
  </si>
  <si>
    <t>安全率</t>
  </si>
  <si>
    <t>記号の説明</t>
  </si>
  <si>
    <t>自重</t>
  </si>
  <si>
    <t>Σ</t>
  </si>
  <si>
    <t>重量</t>
  </si>
  <si>
    <t>kN/m</t>
  </si>
  <si>
    <t>慣性力</t>
  </si>
  <si>
    <t>重心</t>
  </si>
  <si>
    <t>鉛直力</t>
  </si>
  <si>
    <t>自　　重</t>
  </si>
  <si>
    <t>断面力を求める位置</t>
  </si>
  <si>
    <t>m</t>
  </si>
  <si>
    <t>軸力</t>
  </si>
  <si>
    <t>kN/m</t>
  </si>
  <si>
    <t>kN/m</t>
  </si>
  <si>
    <t>曲げモーメント</t>
  </si>
  <si>
    <t>kNm/m</t>
  </si>
  <si>
    <t>部材厚さ</t>
  </si>
  <si>
    <t>h=</t>
  </si>
  <si>
    <t>mm</t>
  </si>
  <si>
    <t>部材幅</t>
  </si>
  <si>
    <t>b=</t>
  </si>
  <si>
    <t>許容応力度の割増率</t>
  </si>
  <si>
    <t>曲げ応力度</t>
  </si>
  <si>
    <t>自重</t>
  </si>
  <si>
    <t>断面力</t>
  </si>
  <si>
    <t>鉛直力</t>
  </si>
  <si>
    <t>断面力を求める位置</t>
  </si>
  <si>
    <t>載荷重</t>
  </si>
  <si>
    <t>慣性力</t>
  </si>
  <si>
    <t>合力</t>
  </si>
  <si>
    <t>１段目</t>
  </si>
  <si>
    <t>２段目</t>
  </si>
  <si>
    <t>３段目</t>
  </si>
  <si>
    <r>
      <t>H</t>
    </r>
    <r>
      <rPr>
        <i/>
        <vertAlign val="subscript"/>
        <sz val="11"/>
        <rFont val="Times New Roman"/>
        <family val="1"/>
      </rPr>
      <t>o</t>
    </r>
    <r>
      <rPr>
        <sz val="11"/>
        <rFont val="Times New Roman"/>
        <family val="1"/>
      </rPr>
      <t>=</t>
    </r>
  </si>
  <si>
    <r>
      <t>H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</si>
  <si>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</si>
  <si>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</si>
  <si>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</si>
  <si>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r>
      <t>H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</si>
  <si>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</si>
  <si>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H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=</t>
    </r>
  </si>
  <si>
    <r>
      <t>B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</si>
  <si>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B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</si>
  <si>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B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</si>
  <si>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o</t>
    </r>
    <r>
      <rPr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</si>
  <si>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=</t>
    </r>
  </si>
  <si>
    <r>
      <t>L</t>
    </r>
    <r>
      <rPr>
        <i/>
        <vertAlign val="subscript"/>
        <sz val="11"/>
        <rFont val="Times New Roman"/>
        <family val="1"/>
      </rPr>
      <t>W</t>
    </r>
    <r>
      <rPr>
        <i/>
        <sz val="11"/>
        <rFont val="Times New Roman"/>
        <family val="1"/>
      </rPr>
      <t>=</t>
    </r>
  </si>
  <si>
    <r>
      <t>n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</si>
  <si>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r>
      <t>n</t>
    </r>
    <r>
      <rPr>
        <i/>
        <vertAlign val="subscript"/>
        <sz val="11"/>
        <rFont val="Times New Roman"/>
        <family val="1"/>
      </rPr>
      <t>r</t>
    </r>
    <r>
      <rPr>
        <sz val="11"/>
        <rFont val="Times New Roman"/>
        <family val="1"/>
      </rPr>
      <t>=</t>
    </r>
  </si>
  <si>
    <r>
      <t>n</t>
    </r>
    <r>
      <rPr>
        <i/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</t>
    </r>
  </si>
  <si>
    <r>
      <t>m</t>
    </r>
    <r>
      <rPr>
        <sz val="11"/>
        <rFont val="Times New Roman"/>
        <family val="1"/>
      </rPr>
      <t>=</t>
    </r>
  </si>
  <si>
    <t>上載荷重</t>
  </si>
  <si>
    <t>設計水平震度</t>
  </si>
  <si>
    <t>単位体積重量</t>
  </si>
  <si>
    <r>
      <t>γ</t>
    </r>
    <r>
      <rPr>
        <sz val="11"/>
        <rFont val="Times New Roman"/>
        <family val="1"/>
      </rPr>
      <t>=</t>
    </r>
  </si>
  <si>
    <r>
      <t>φ</t>
    </r>
    <r>
      <rPr>
        <sz val="11"/>
        <rFont val="Times New Roman"/>
        <family val="1"/>
      </rPr>
      <t>=</t>
    </r>
  </si>
  <si>
    <t>度</t>
  </si>
  <si>
    <r>
      <t>μ</t>
    </r>
    <r>
      <rPr>
        <sz val="11"/>
        <rFont val="Times New Roman"/>
        <family val="1"/>
      </rPr>
      <t>=</t>
    </r>
  </si>
  <si>
    <r>
      <t>N</t>
    </r>
    <r>
      <rPr>
        <sz val="11"/>
        <rFont val="ＭＳ 明朝"/>
        <family val="1"/>
      </rPr>
      <t>値</t>
    </r>
  </si>
  <si>
    <t>回</t>
  </si>
  <si>
    <r>
      <t>γ</t>
    </r>
    <r>
      <rPr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</si>
  <si>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σ</t>
    </r>
    <r>
      <rPr>
        <i/>
        <vertAlign val="subscript"/>
        <sz val="11"/>
        <rFont val="Times New Roman"/>
        <family val="1"/>
      </rPr>
      <t>ck</t>
    </r>
    <r>
      <rPr>
        <sz val="11"/>
        <rFont val="Times New Roman"/>
        <family val="1"/>
      </rPr>
      <t>=</t>
    </r>
  </si>
  <si>
    <t>許容圧縮応力度</t>
  </si>
  <si>
    <r>
      <t>σ</t>
    </r>
    <r>
      <rPr>
        <i/>
        <vertAlign val="subscript"/>
        <sz val="11"/>
        <rFont val="Times New Roman"/>
        <family val="1"/>
      </rPr>
      <t>ca</t>
    </r>
    <r>
      <rPr>
        <sz val="11"/>
        <rFont val="Times New Roman"/>
        <family val="1"/>
      </rPr>
      <t>=</t>
    </r>
  </si>
  <si>
    <r>
      <t>N/mm</t>
    </r>
    <r>
      <rPr>
        <vertAlign val="superscript"/>
        <sz val="11"/>
        <rFont val="Times New Roman"/>
        <family val="1"/>
      </rPr>
      <t>2</t>
    </r>
  </si>
  <si>
    <r>
      <t>σ</t>
    </r>
    <r>
      <rPr>
        <i/>
        <vertAlign val="subscript"/>
        <sz val="11"/>
        <rFont val="Times New Roman"/>
        <family val="1"/>
      </rPr>
      <t>ta</t>
    </r>
    <r>
      <rPr>
        <sz val="11"/>
        <rFont val="Times New Roman"/>
        <family val="1"/>
      </rPr>
      <t>=</t>
    </r>
  </si>
  <si>
    <r>
      <t>τ</t>
    </r>
    <r>
      <rPr>
        <i/>
        <vertAlign val="subscript"/>
        <sz val="11"/>
        <rFont val="Times New Roman"/>
        <family val="1"/>
      </rPr>
      <t>ca</t>
    </r>
    <r>
      <rPr>
        <sz val="11"/>
        <rFont val="Times New Roman"/>
        <family val="1"/>
      </rPr>
      <t>=</t>
    </r>
  </si>
  <si>
    <r>
      <t>x</t>
    </r>
    <r>
      <rPr>
        <sz val="11"/>
        <rFont val="Times New Roman"/>
        <family val="1"/>
      </rPr>
      <t>(m)</t>
    </r>
  </si>
  <si>
    <r>
      <t>y</t>
    </r>
    <r>
      <rPr>
        <sz val="11"/>
        <rFont val="Times New Roman"/>
        <family val="1"/>
      </rPr>
      <t>(m)</t>
    </r>
  </si>
  <si>
    <r>
      <t xml:space="preserve"> W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</si>
  <si>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Σ</t>
    </r>
    <r>
      <rPr>
        <i/>
        <sz val="11"/>
        <rFont val="Times New Roman"/>
        <family val="1"/>
      </rPr>
      <t>A</t>
    </r>
    <r>
      <rPr>
        <sz val="11"/>
        <rFont val="ＭＳ 明朝"/>
        <family val="1"/>
      </rPr>
      <t>･γ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</si>
  <si>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 xml:space="preserve"> H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</si>
  <si>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W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k</t>
    </r>
    <r>
      <rPr>
        <i/>
        <vertAlign val="subscript"/>
        <sz val="11"/>
        <rFont val="Times New Roman"/>
        <family val="1"/>
      </rPr>
      <t>H</t>
    </r>
    <r>
      <rPr>
        <sz val="11"/>
        <rFont val="Times New Roman"/>
        <family val="1"/>
      </rPr>
      <t>=</t>
    </r>
  </si>
  <si>
    <r>
      <t xml:space="preserve"> x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</si>
  <si>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 xml:space="preserve"> y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</si>
  <si>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t>試行くさび法による．</t>
  </si>
  <si>
    <r>
      <t>ω</t>
    </r>
    <r>
      <rPr>
        <sz val="11"/>
        <rFont val="Times New Roman"/>
        <family val="1"/>
      </rPr>
      <t>o=</t>
    </r>
  </si>
  <si>
    <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(kN/m)</t>
    </r>
  </si>
  <si>
    <r>
      <t>ω</t>
    </r>
    <r>
      <rPr>
        <sz val="11"/>
        <rFont val="Times New Roman"/>
        <family val="1"/>
      </rPr>
      <t>(deg)</t>
    </r>
  </si>
  <si>
    <r>
      <t>ω</t>
    </r>
    <r>
      <rPr>
        <sz val="11"/>
        <rFont val="Times New Roman"/>
        <family val="1"/>
      </rPr>
      <t>(rad)</t>
    </r>
  </si>
  <si>
    <r>
      <t>b</t>
    </r>
    <r>
      <rPr>
        <sz val="11"/>
        <rFont val="Times New Roman"/>
        <family val="1"/>
      </rPr>
      <t>(m)</t>
    </r>
  </si>
  <si>
    <r>
      <t>l</t>
    </r>
    <r>
      <rPr>
        <sz val="11"/>
        <rFont val="Times New Roman"/>
        <family val="1"/>
      </rPr>
      <t>(m)</t>
    </r>
  </si>
  <si>
    <r>
      <t>W</t>
    </r>
    <r>
      <rPr>
        <sz val="11"/>
        <rFont val="Times New Roman"/>
        <family val="1"/>
      </rPr>
      <t>(kN/m)</t>
    </r>
  </si>
  <si>
    <r>
      <t>φ</t>
    </r>
    <r>
      <rPr>
        <sz val="11"/>
        <rFont val="Times New Roman"/>
        <family val="1"/>
      </rPr>
      <t>=</t>
    </r>
  </si>
  <si>
    <t>壁面摩擦角</t>
  </si>
  <si>
    <r>
      <t>δ</t>
    </r>
    <r>
      <rPr>
        <sz val="11"/>
        <rFont val="Times New Roman"/>
        <family val="1"/>
      </rPr>
      <t>=</t>
    </r>
  </si>
  <si>
    <t>地震合成角</t>
  </si>
  <si>
    <r>
      <t>θ</t>
    </r>
    <r>
      <rPr>
        <sz val="11"/>
        <rFont val="Times New Roman"/>
        <family val="1"/>
      </rPr>
      <t>=</t>
    </r>
  </si>
  <si>
    <r>
      <t>α</t>
    </r>
    <r>
      <rPr>
        <sz val="11"/>
        <rFont val="Times New Roman"/>
        <family val="1"/>
      </rPr>
      <t>=</t>
    </r>
  </si>
  <si>
    <r>
      <t>β</t>
    </r>
    <r>
      <rPr>
        <sz val="11"/>
        <rFont val="Times New Roman"/>
        <family val="1"/>
      </rPr>
      <t>=</t>
    </r>
  </si>
  <si>
    <t>◆すべり角と滑り土塊重量，主働土圧</t>
  </si>
  <si>
    <r>
      <t>ω</t>
    </r>
    <r>
      <rPr>
        <sz val="11"/>
        <rFont val="Times New Roman"/>
        <family val="1"/>
      </rPr>
      <t>(deg)</t>
    </r>
  </si>
  <si>
    <r>
      <t>b</t>
    </r>
    <r>
      <rPr>
        <sz val="11"/>
        <rFont val="Times New Roman"/>
        <family val="1"/>
      </rPr>
      <t>(m)</t>
    </r>
  </si>
  <si>
    <r>
      <t>l</t>
    </r>
    <r>
      <rPr>
        <sz val="11"/>
        <rFont val="Times New Roman"/>
        <family val="1"/>
      </rPr>
      <t>(m)</t>
    </r>
  </si>
  <si>
    <r>
      <t>W</t>
    </r>
    <r>
      <rPr>
        <sz val="11"/>
        <rFont val="Times New Roman"/>
        <family val="1"/>
      </rPr>
      <t>(kN/m)</t>
    </r>
  </si>
  <si>
    <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(kN/m)</t>
    </r>
  </si>
  <si>
    <r>
      <t>ω</t>
    </r>
    <r>
      <rPr>
        <sz val="11"/>
        <rFont val="Times New Roman"/>
        <family val="1"/>
      </rPr>
      <t>(rad)</t>
    </r>
  </si>
  <si>
    <r>
      <t>ω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</si>
  <si>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</si>
  <si>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x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</t>
    </r>
  </si>
  <si>
    <r>
      <t>y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</t>
    </r>
  </si>
  <si>
    <r>
      <t>アーム</t>
    </r>
    <r>
      <rPr>
        <sz val="11"/>
        <rFont val="Times New Roman"/>
        <family val="1"/>
      </rPr>
      <t>(m)</t>
    </r>
  </si>
  <si>
    <r>
      <t>モーメント</t>
    </r>
    <r>
      <rPr>
        <sz val="11"/>
        <rFont val="Times New Roman"/>
        <family val="1"/>
      </rPr>
      <t>(kNm/m)</t>
    </r>
  </si>
  <si>
    <r>
      <t>V</t>
    </r>
    <r>
      <rPr>
        <sz val="11"/>
        <rFont val="Times New Roman"/>
        <family val="1"/>
      </rPr>
      <t>(kN/m)</t>
    </r>
  </si>
  <si>
    <r>
      <t>H</t>
    </r>
    <r>
      <rPr>
        <sz val="11"/>
        <rFont val="Times New Roman"/>
        <family val="1"/>
      </rPr>
      <t>(kN/m)</t>
    </r>
  </si>
  <si>
    <r>
      <t>∑</t>
    </r>
    <r>
      <rPr>
        <i/>
        <sz val="11"/>
        <rFont val="Times New Roman"/>
        <family val="1"/>
      </rPr>
      <t>V</t>
    </r>
    <r>
      <rPr>
        <sz val="11"/>
        <rFont val="Times New Roman"/>
        <family val="1"/>
      </rPr>
      <t>=</t>
    </r>
  </si>
  <si>
    <r>
      <t>∑</t>
    </r>
    <r>
      <rPr>
        <i/>
        <sz val="11"/>
        <rFont val="Times New Roman"/>
        <family val="1"/>
      </rPr>
      <t>H</t>
    </r>
    <r>
      <rPr>
        <sz val="11"/>
        <rFont val="Times New Roman"/>
        <family val="1"/>
      </rPr>
      <t>=</t>
    </r>
  </si>
  <si>
    <r>
      <t>∑</t>
    </r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=</t>
    </r>
  </si>
  <si>
    <t>地盤係数法による．</t>
  </si>
  <si>
    <r>
      <t>1</t>
    </r>
    <r>
      <rPr>
        <sz val="11"/>
        <color indexed="8"/>
        <rFont val="ＭＳ 明朝"/>
        <family val="1"/>
      </rPr>
      <t>回目</t>
    </r>
  </si>
  <si>
    <r>
      <t>5</t>
    </r>
    <r>
      <rPr>
        <sz val="11"/>
        <rFont val="ＭＳ 明朝"/>
        <family val="1"/>
      </rPr>
      <t>回目</t>
    </r>
  </si>
  <si>
    <r>
      <t>6</t>
    </r>
    <r>
      <rPr>
        <sz val="11"/>
        <rFont val="ＭＳ 明朝"/>
        <family val="1"/>
      </rPr>
      <t>回目</t>
    </r>
  </si>
  <si>
    <r>
      <t>7</t>
    </r>
    <r>
      <rPr>
        <sz val="11"/>
        <rFont val="ＭＳ 明朝"/>
        <family val="1"/>
      </rPr>
      <t>回目</t>
    </r>
  </si>
  <si>
    <r>
      <t>8</t>
    </r>
    <r>
      <rPr>
        <sz val="11"/>
        <rFont val="ＭＳ 明朝"/>
        <family val="1"/>
      </rPr>
      <t>回目</t>
    </r>
  </si>
  <si>
    <r>
      <t>9</t>
    </r>
    <r>
      <rPr>
        <sz val="11"/>
        <rFont val="ＭＳ 明朝"/>
        <family val="1"/>
      </rPr>
      <t>回目</t>
    </r>
  </si>
  <si>
    <r>
      <t>10</t>
    </r>
    <r>
      <rPr>
        <sz val="11"/>
        <rFont val="ＭＳ 明朝"/>
        <family val="1"/>
      </rPr>
      <t>回目</t>
    </r>
  </si>
  <si>
    <r>
      <t>11</t>
    </r>
    <r>
      <rPr>
        <sz val="11"/>
        <rFont val="ＭＳ 明朝"/>
        <family val="1"/>
      </rPr>
      <t>回目</t>
    </r>
  </si>
  <si>
    <r>
      <t>12</t>
    </r>
    <r>
      <rPr>
        <sz val="11"/>
        <rFont val="ＭＳ 明朝"/>
        <family val="1"/>
      </rPr>
      <t>回目</t>
    </r>
  </si>
  <si>
    <r>
      <t>13</t>
    </r>
    <r>
      <rPr>
        <sz val="11"/>
        <rFont val="ＭＳ 明朝"/>
        <family val="1"/>
      </rPr>
      <t>回目</t>
    </r>
  </si>
  <si>
    <r>
      <t>14</t>
    </r>
    <r>
      <rPr>
        <sz val="11"/>
        <rFont val="ＭＳ 明朝"/>
        <family val="1"/>
      </rPr>
      <t>回目</t>
    </r>
  </si>
  <si>
    <r>
      <t>15</t>
    </r>
    <r>
      <rPr>
        <sz val="11"/>
        <rFont val="ＭＳ 明朝"/>
        <family val="1"/>
      </rPr>
      <t>回目</t>
    </r>
  </si>
  <si>
    <r>
      <t>道路橋示方書式を適用して</t>
    </r>
    <r>
      <rPr>
        <sz val="11"/>
        <color indexed="8"/>
        <rFont val="Times New Roman"/>
        <family val="1"/>
      </rPr>
      <t>N</t>
    </r>
    <r>
      <rPr>
        <sz val="11"/>
        <color indexed="8"/>
        <rFont val="ＭＳ 明朝"/>
        <family val="1"/>
      </rPr>
      <t>値から算定する．</t>
    </r>
  </si>
  <si>
    <r>
      <t>段切りの座標</t>
    </r>
    <r>
      <rPr>
        <sz val="11"/>
        <rFont val="Times New Roman"/>
        <family val="1"/>
      </rPr>
      <t>(m)</t>
    </r>
  </si>
  <si>
    <r>
      <t>バネ定数</t>
    </r>
    <r>
      <rPr>
        <sz val="11"/>
        <rFont val="Times New Roman"/>
        <family val="1"/>
      </rPr>
      <t>(kN/m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</si>
  <si>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k</t>
    </r>
    <r>
      <rPr>
        <i/>
        <vertAlign val="subscript"/>
        <sz val="11"/>
        <rFont val="Times New Roman"/>
        <family val="1"/>
      </rPr>
      <t>v</t>
    </r>
  </si>
  <si>
    <r>
      <t>k</t>
    </r>
    <r>
      <rPr>
        <i/>
        <vertAlign val="subscript"/>
        <sz val="11"/>
        <rFont val="Times New Roman"/>
        <family val="1"/>
      </rPr>
      <t>s</t>
    </r>
  </si>
  <si>
    <t>初期値</t>
  </si>
  <si>
    <r>
      <t>段切りの座標</t>
    </r>
    <r>
      <rPr>
        <sz val="11"/>
        <rFont val="Times New Roman"/>
        <family val="1"/>
      </rPr>
      <t>(m)</t>
    </r>
  </si>
  <si>
    <r>
      <t>バネ定数</t>
    </r>
    <r>
      <rPr>
        <sz val="11"/>
        <rFont val="Times New Roman"/>
        <family val="1"/>
      </rPr>
      <t>(kN/m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</si>
  <si>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θ</t>
    </r>
    <r>
      <rPr>
        <sz val="11"/>
        <color indexed="8"/>
        <rFont val="Times New Roman"/>
        <family val="1"/>
      </rPr>
      <t>o</t>
    </r>
  </si>
  <si>
    <r>
      <t>k</t>
    </r>
    <r>
      <rPr>
        <i/>
        <vertAlign val="subscript"/>
        <sz val="11"/>
        <rFont val="Times New Roman"/>
        <family val="1"/>
      </rPr>
      <t>v</t>
    </r>
  </si>
  <si>
    <r>
      <t>k</t>
    </r>
    <r>
      <rPr>
        <i/>
        <vertAlign val="subscript"/>
        <sz val="11"/>
        <rFont val="Times New Roman"/>
        <family val="1"/>
      </rPr>
      <t>s</t>
    </r>
  </si>
  <si>
    <r>
      <t>段切り幅</t>
    </r>
    <r>
      <rPr>
        <i/>
        <sz val="11"/>
        <rFont val="Times New Roman"/>
        <family val="1"/>
      </rPr>
      <t>b</t>
    </r>
    <r>
      <rPr>
        <sz val="11"/>
        <rFont val="Times New Roman"/>
        <family val="1"/>
      </rPr>
      <t>(m)</t>
    </r>
  </si>
  <si>
    <r>
      <t>を設ける底面幅をΔ</t>
    </r>
    <r>
      <rPr>
        <i/>
        <sz val="11"/>
        <color indexed="8"/>
        <rFont val="Times New Roman"/>
        <family val="1"/>
      </rPr>
      <t>B</t>
    </r>
    <r>
      <rPr>
        <sz val="11"/>
        <color indexed="8"/>
        <rFont val="ＭＳ 明朝"/>
        <family val="1"/>
      </rPr>
      <t>だけ減じ，</t>
    </r>
    <r>
      <rPr>
        <i/>
        <sz val="11"/>
        <color indexed="8"/>
        <rFont val="Times New Roman"/>
        <family val="1"/>
      </rPr>
      <t>B'</t>
    </r>
    <r>
      <rPr>
        <sz val="11"/>
        <color indexed="8"/>
        <rFont val="ＭＳ 明朝"/>
        <family val="1"/>
      </rPr>
      <t>とする．</t>
    </r>
  </si>
  <si>
    <r>
      <t>ただし，</t>
    </r>
    <r>
      <rPr>
        <i/>
        <sz val="11"/>
        <color indexed="8"/>
        <rFont val="Times New Roman"/>
        <family val="1"/>
      </rPr>
      <t>F</t>
    </r>
    <r>
      <rPr>
        <i/>
        <vertAlign val="subscript"/>
        <sz val="11"/>
        <color indexed="8"/>
        <rFont val="Times New Roman"/>
        <family val="1"/>
      </rPr>
      <t>s</t>
    </r>
    <r>
      <rPr>
        <sz val="11"/>
        <color indexed="8"/>
        <rFont val="ＭＳ 明朝"/>
        <family val="1"/>
      </rPr>
      <t>は滑動の安全率で，常時</t>
    </r>
    <r>
      <rPr>
        <sz val="11"/>
        <color indexed="8"/>
        <rFont val="Times New Roman"/>
        <family val="1"/>
      </rPr>
      <t>1.5</t>
    </r>
    <r>
      <rPr>
        <sz val="11"/>
        <color indexed="8"/>
        <rFont val="ＭＳ 明朝"/>
        <family val="1"/>
      </rPr>
      <t>，地震時</t>
    </r>
    <r>
      <rPr>
        <sz val="11"/>
        <color indexed="8"/>
        <rFont val="Times New Roman"/>
        <family val="1"/>
      </rPr>
      <t>1.2</t>
    </r>
  </si>
  <si>
    <r>
      <t>段切り幅</t>
    </r>
    <r>
      <rPr>
        <i/>
        <sz val="11"/>
        <rFont val="Times New Roman"/>
        <family val="1"/>
      </rPr>
      <t>b</t>
    </r>
    <r>
      <rPr>
        <sz val="11"/>
        <rFont val="Times New Roman"/>
        <family val="1"/>
      </rPr>
      <t>(m)</t>
    </r>
  </si>
  <si>
    <r>
      <t>B</t>
    </r>
    <r>
      <rPr>
        <sz val="11"/>
        <rFont val="Times New Roman"/>
        <family val="1"/>
      </rPr>
      <t>=</t>
    </r>
  </si>
  <si>
    <t>地盤反力の偏心量</t>
  </si>
  <si>
    <r>
      <t>∑</t>
    </r>
    <r>
      <rPr>
        <i/>
        <sz val="11"/>
        <rFont val="Times New Roman"/>
        <family val="1"/>
      </rPr>
      <t>Vx</t>
    </r>
    <r>
      <rPr>
        <sz val="11"/>
        <rFont val="Times New Roman"/>
        <family val="1"/>
      </rPr>
      <t>=</t>
    </r>
  </si>
  <si>
    <r>
      <t>(</t>
    </r>
    <r>
      <rPr>
        <sz val="11"/>
        <rFont val="ＭＳ 明朝"/>
        <family val="1"/>
      </rPr>
      <t>鉛直荷重によるつま先回りのモーメント</t>
    </r>
    <r>
      <rPr>
        <sz val="11"/>
        <rFont val="Times New Roman"/>
        <family val="1"/>
      </rPr>
      <t>)</t>
    </r>
  </si>
  <si>
    <r>
      <t>∑</t>
    </r>
    <r>
      <rPr>
        <i/>
        <sz val="11"/>
        <rFont val="Times New Roman"/>
        <family val="1"/>
      </rPr>
      <t>Hy</t>
    </r>
    <r>
      <rPr>
        <sz val="11"/>
        <rFont val="Times New Roman"/>
        <family val="1"/>
      </rPr>
      <t>=</t>
    </r>
  </si>
  <si>
    <r>
      <t>(</t>
    </r>
    <r>
      <rPr>
        <sz val="11"/>
        <rFont val="ＭＳ 明朝"/>
        <family val="1"/>
      </rPr>
      <t>水平荷重によるつま先回りのモーメント</t>
    </r>
    <r>
      <rPr>
        <sz val="11"/>
        <rFont val="Times New Roman"/>
        <family val="1"/>
      </rPr>
      <t>)</t>
    </r>
  </si>
  <si>
    <r>
      <t>1</t>
    </r>
    <r>
      <rPr>
        <sz val="11"/>
        <rFont val="ＭＳ 明朝"/>
        <family val="1"/>
      </rPr>
      <t>段目</t>
    </r>
    <r>
      <rPr>
        <i/>
        <sz val="11"/>
        <rFont val="Times New Roman"/>
        <family val="1"/>
      </rPr>
      <t>F</t>
    </r>
    <r>
      <rPr>
        <i/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=</t>
    </r>
  </si>
  <si>
    <r>
      <t>2</t>
    </r>
    <r>
      <rPr>
        <sz val="11"/>
        <rFont val="ＭＳ 明朝"/>
        <family val="1"/>
      </rPr>
      <t>段目</t>
    </r>
    <r>
      <rPr>
        <i/>
        <sz val="11"/>
        <rFont val="Times New Roman"/>
        <family val="1"/>
      </rPr>
      <t>F</t>
    </r>
    <r>
      <rPr>
        <i/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=</t>
    </r>
  </si>
  <si>
    <r>
      <t>3</t>
    </r>
    <r>
      <rPr>
        <sz val="11"/>
        <rFont val="ＭＳ 明朝"/>
        <family val="1"/>
      </rPr>
      <t>段目</t>
    </r>
    <r>
      <rPr>
        <i/>
        <sz val="11"/>
        <rFont val="Times New Roman"/>
        <family val="1"/>
      </rPr>
      <t>F</t>
    </r>
    <r>
      <rPr>
        <i/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=</t>
    </r>
  </si>
  <si>
    <r>
      <t>全体</t>
    </r>
    <r>
      <rPr>
        <i/>
        <sz val="11"/>
        <rFont val="Times New Roman"/>
        <family val="1"/>
      </rPr>
      <t>F</t>
    </r>
    <r>
      <rPr>
        <i/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</si>
  <si>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d</t>
    </r>
    <r>
      <rPr>
        <i/>
        <sz val="11"/>
        <rFont val="Times New Roman"/>
        <family val="1"/>
      </rPr>
      <t>=</t>
    </r>
  </si>
  <si>
    <r>
      <t>qv</t>
    </r>
    <r>
      <rPr>
        <sz val="11"/>
        <rFont val="Times New Roman"/>
        <family val="1"/>
      </rPr>
      <t>max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</si>
  <si>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</si>
  <si>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x</t>
    </r>
    <r>
      <rPr>
        <sz val="11"/>
        <rFont val="Times New Roman"/>
        <family val="1"/>
      </rPr>
      <t>(m)</t>
    </r>
  </si>
  <si>
    <r>
      <t>y</t>
    </r>
    <r>
      <rPr>
        <sz val="11"/>
        <rFont val="Times New Roman"/>
        <family val="1"/>
      </rPr>
      <t>(m)</t>
    </r>
  </si>
  <si>
    <r>
      <t xml:space="preserve"> W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</si>
  <si>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Σ</t>
    </r>
    <r>
      <rPr>
        <i/>
        <sz val="11"/>
        <rFont val="Times New Roman"/>
        <family val="1"/>
      </rPr>
      <t>A</t>
    </r>
    <r>
      <rPr>
        <sz val="11"/>
        <rFont val="ＭＳ 明朝"/>
        <family val="1"/>
      </rPr>
      <t>･γ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</si>
  <si>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 xml:space="preserve"> H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</si>
  <si>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W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k</t>
    </r>
    <r>
      <rPr>
        <i/>
        <vertAlign val="subscript"/>
        <sz val="11"/>
        <rFont val="Times New Roman"/>
        <family val="1"/>
      </rPr>
      <t>H</t>
    </r>
    <r>
      <rPr>
        <sz val="11"/>
        <rFont val="Times New Roman"/>
        <family val="1"/>
      </rPr>
      <t>=</t>
    </r>
  </si>
  <si>
    <r>
      <t xml:space="preserve"> x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</si>
  <si>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 xml:space="preserve"> y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</si>
  <si>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x</t>
    </r>
    <r>
      <rPr>
        <vertAlign val="subscript"/>
        <sz val="11"/>
        <rFont val="Times New Roman"/>
        <family val="1"/>
      </rPr>
      <t>0</t>
    </r>
    <r>
      <rPr>
        <i/>
        <sz val="11"/>
        <rFont val="Times New Roman"/>
        <family val="1"/>
      </rPr>
      <t>=</t>
    </r>
  </si>
  <si>
    <r>
      <t>y</t>
    </r>
    <r>
      <rPr>
        <vertAlign val="subscript"/>
        <sz val="11"/>
        <rFont val="Times New Roman"/>
        <family val="1"/>
      </rPr>
      <t>0</t>
    </r>
    <r>
      <rPr>
        <i/>
        <sz val="11"/>
        <rFont val="Times New Roman"/>
        <family val="1"/>
      </rPr>
      <t>=</t>
    </r>
  </si>
  <si>
    <r>
      <t>N</t>
    </r>
    <r>
      <rPr>
        <sz val="11"/>
        <rFont val="Times New Roman"/>
        <family val="1"/>
      </rPr>
      <t>=</t>
    </r>
  </si>
  <si>
    <t>せん断力</t>
  </si>
  <si>
    <r>
      <t>S</t>
    </r>
    <r>
      <rPr>
        <sz val="11"/>
        <rFont val="Times New Roman"/>
        <family val="1"/>
      </rPr>
      <t>=</t>
    </r>
  </si>
  <si>
    <r>
      <t>M</t>
    </r>
    <r>
      <rPr>
        <sz val="11"/>
        <rFont val="Times New Roman"/>
        <family val="1"/>
      </rPr>
      <t>=</t>
    </r>
  </si>
  <si>
    <r>
      <t>Σ</t>
    </r>
    <r>
      <rPr>
        <i/>
        <sz val="11"/>
        <rFont val="Times New Roman"/>
        <family val="1"/>
      </rPr>
      <t>Hy</t>
    </r>
    <r>
      <rPr>
        <sz val="11"/>
        <rFont val="Times New Roman"/>
        <family val="1"/>
      </rPr>
      <t>-</t>
    </r>
    <r>
      <rPr>
        <sz val="11"/>
        <rFont val="ＭＳ 明朝"/>
        <family val="1"/>
      </rPr>
      <t>Σ</t>
    </r>
    <r>
      <rPr>
        <i/>
        <sz val="11"/>
        <rFont val="Times New Roman"/>
        <family val="1"/>
      </rPr>
      <t>Vx</t>
    </r>
    <r>
      <rPr>
        <sz val="11"/>
        <rFont val="Times New Roman"/>
        <family val="1"/>
      </rPr>
      <t>+</t>
    </r>
    <r>
      <rPr>
        <sz val="11"/>
        <rFont val="ＭＳ 明朝"/>
        <family val="1"/>
      </rPr>
      <t>Σ</t>
    </r>
    <r>
      <rPr>
        <i/>
        <sz val="11"/>
        <rFont val="Times New Roman"/>
        <family val="1"/>
      </rPr>
      <t>V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x</t>
    </r>
    <r>
      <rPr>
        <sz val="11"/>
        <rFont val="Times New Roman"/>
        <family val="1"/>
      </rPr>
      <t>o-</t>
    </r>
    <r>
      <rPr>
        <sz val="11"/>
        <rFont val="ＭＳ 明朝"/>
        <family val="1"/>
      </rPr>
      <t>Σ</t>
    </r>
    <r>
      <rPr>
        <i/>
        <sz val="11"/>
        <rFont val="Times New Roman"/>
        <family val="1"/>
      </rPr>
      <t>H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y</t>
    </r>
    <r>
      <rPr>
        <sz val="11"/>
        <rFont val="Times New Roman"/>
        <family val="1"/>
      </rPr>
      <t>o=</t>
    </r>
  </si>
  <si>
    <t>応力度</t>
  </si>
  <si>
    <r>
      <t>ε</t>
    </r>
    <r>
      <rPr>
        <sz val="11"/>
        <rFont val="Times New Roman"/>
        <family val="1"/>
      </rPr>
      <t>=</t>
    </r>
  </si>
  <si>
    <r>
      <t>N/mm</t>
    </r>
    <r>
      <rPr>
        <vertAlign val="superscript"/>
        <sz val="11"/>
        <rFont val="Times New Roman"/>
        <family val="1"/>
      </rPr>
      <t>2</t>
    </r>
  </si>
  <si>
    <t>せん断応力度</t>
  </si>
  <si>
    <r>
      <t>Σ</t>
    </r>
    <r>
      <rPr>
        <sz val="11"/>
        <rFont val="Times New Roman"/>
        <family val="1"/>
      </rPr>
      <t>Hy-</t>
    </r>
    <r>
      <rPr>
        <sz val="11"/>
        <rFont val="ＭＳ 明朝"/>
        <family val="1"/>
      </rPr>
      <t>Σ</t>
    </r>
    <r>
      <rPr>
        <sz val="11"/>
        <rFont val="Times New Roman"/>
        <family val="1"/>
      </rPr>
      <t>Vx+</t>
    </r>
    <r>
      <rPr>
        <sz val="11"/>
        <rFont val="ＭＳ 明朝"/>
        <family val="1"/>
      </rPr>
      <t>Σ</t>
    </r>
    <r>
      <rPr>
        <sz val="11"/>
        <rFont val="Times New Roman"/>
        <family val="1"/>
      </rPr>
      <t>V</t>
    </r>
    <r>
      <rPr>
        <sz val="11"/>
        <rFont val="ＭＳ 明朝"/>
        <family val="1"/>
      </rPr>
      <t>･</t>
    </r>
    <r>
      <rPr>
        <sz val="11"/>
        <rFont val="Times New Roman"/>
        <family val="1"/>
      </rPr>
      <t>xo-</t>
    </r>
    <r>
      <rPr>
        <sz val="11"/>
        <rFont val="ＭＳ 明朝"/>
        <family val="1"/>
      </rPr>
      <t>Σ</t>
    </r>
    <r>
      <rPr>
        <sz val="11"/>
        <rFont val="Times New Roman"/>
        <family val="1"/>
      </rPr>
      <t>H</t>
    </r>
    <r>
      <rPr>
        <sz val="11"/>
        <rFont val="ＭＳ 明朝"/>
        <family val="1"/>
      </rPr>
      <t>･</t>
    </r>
    <r>
      <rPr>
        <sz val="11"/>
        <rFont val="Times New Roman"/>
        <family val="1"/>
      </rPr>
      <t>yo=</t>
    </r>
  </si>
  <si>
    <t>高さ</t>
  </si>
  <si>
    <t>ブロック長</t>
  </si>
  <si>
    <r>
      <t>度　　　</t>
    </r>
    <r>
      <rPr>
        <sz val="11"/>
        <rFont val="Times New Roman"/>
        <family val="1"/>
      </rPr>
      <t xml:space="preserve">    (</t>
    </r>
  </si>
  <si>
    <t>度</t>
  </si>
  <si>
    <t>主働土圧係数</t>
  </si>
  <si>
    <r>
      <t>K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</si>
  <si>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[=2</t>
    </r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/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γ</t>
    </r>
    <r>
      <rPr>
        <i/>
        <sz val="11"/>
        <rFont val="Times New Roman"/>
        <family val="1"/>
      </rPr>
      <t>H</t>
    </r>
    <r>
      <rPr>
        <i/>
        <vertAlign val="subscript"/>
        <sz val="11"/>
        <rFont val="Times New Roman"/>
        <family val="1"/>
      </rPr>
      <t>A</t>
    </r>
    <r>
      <rPr>
        <vertAlign val="superscript"/>
        <sz val="11"/>
        <rFont val="Times New Roman"/>
        <family val="1"/>
      </rPr>
      <t>2</t>
    </r>
    <r>
      <rPr>
        <sz val="11"/>
        <rFont val="ＭＳ Ｐ明朝"/>
        <family val="1"/>
      </rPr>
      <t>)]</t>
    </r>
  </si>
  <si>
    <t>H=</t>
  </si>
  <si>
    <t>m</t>
  </si>
  <si>
    <t>HA=</t>
  </si>
  <si>
    <t>Ho=</t>
  </si>
  <si>
    <r>
      <t>(HA+Ho-zc)/(m*Ho-HA*TAN(</t>
    </r>
    <r>
      <rPr>
        <sz val="11"/>
        <rFont val="ＭＳ Ｐ明朝"/>
        <family val="1"/>
      </rPr>
      <t>α</t>
    </r>
    <r>
      <rPr>
        <sz val="11"/>
        <rFont val="Times New Roman"/>
        <family val="1"/>
      </rPr>
      <t>))=</t>
    </r>
  </si>
  <si>
    <r>
      <t>割り増し係数α</t>
    </r>
    <r>
      <rPr>
        <i/>
        <vertAlign val="subscript"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>=</t>
    </r>
  </si>
  <si>
    <t>Hf</t>
  </si>
  <si>
    <t>Hfa</t>
  </si>
  <si>
    <t>nb</t>
  </si>
  <si>
    <t>nf</t>
  </si>
  <si>
    <t>nr</t>
  </si>
  <si>
    <t>－</t>
  </si>
  <si>
    <t>－</t>
  </si>
  <si>
    <t>－</t>
  </si>
  <si>
    <t>－</t>
  </si>
  <si>
    <t>１．　設計条件</t>
  </si>
  <si>
    <t>(1)　荷重状態</t>
  </si>
  <si>
    <t>(2)　形状寸法</t>
  </si>
  <si>
    <t>(3)　荷　　重</t>
  </si>
  <si>
    <t>(4)　盛　　土</t>
  </si>
  <si>
    <t>(5)　支持地盤</t>
  </si>
  <si>
    <t>(6)　コンクリート</t>
  </si>
  <si>
    <t>２．　荷　　重</t>
  </si>
  <si>
    <t>(1)　自　　重</t>
  </si>
  <si>
    <t>(2)　主働土圧</t>
  </si>
  <si>
    <t>ａ）　計算式</t>
  </si>
  <si>
    <r>
      <t>(3)　</t>
    </r>
    <r>
      <rPr>
        <sz val="11"/>
        <rFont val="ＭＳ Ｐゴシック"/>
        <family val="3"/>
      </rPr>
      <t>荷重の集計</t>
    </r>
  </si>
  <si>
    <t>３．　地盤反力</t>
  </si>
  <si>
    <r>
      <t>(1)　</t>
    </r>
    <r>
      <rPr>
        <sz val="11"/>
        <rFont val="ＭＳ Ｐゴシック"/>
        <family val="3"/>
      </rPr>
      <t>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式</t>
    </r>
  </si>
  <si>
    <t>(6)　地盤反力</t>
  </si>
  <si>
    <t>(5)　座標原点の変位量</t>
  </si>
  <si>
    <t>(4)　剛性方程式</t>
  </si>
  <si>
    <r>
      <t>(3)　</t>
    </r>
    <r>
      <rPr>
        <sz val="11"/>
        <rFont val="ＭＳ Ｐゴシック"/>
        <family val="3"/>
      </rPr>
      <t>剛性マトリックス要素</t>
    </r>
  </si>
  <si>
    <r>
      <t>(2)　</t>
    </r>
    <r>
      <rPr>
        <sz val="11"/>
        <rFont val="ＭＳ Ｐゴシック"/>
        <family val="3"/>
      </rPr>
      <t>段切りの座標値と地盤反力係数</t>
    </r>
  </si>
  <si>
    <t>４．　安定計算</t>
  </si>
  <si>
    <r>
      <t>(1)　</t>
    </r>
    <r>
      <rPr>
        <sz val="11"/>
        <rFont val="ＭＳ Ｐゴシック"/>
        <family val="3"/>
      </rPr>
      <t>転倒に対する検討</t>
    </r>
  </si>
  <si>
    <r>
      <t>(2)　</t>
    </r>
    <r>
      <rPr>
        <sz val="11"/>
        <rFont val="ＭＳ Ｐゴシック"/>
        <family val="3"/>
      </rPr>
      <t>滑動に対する検討</t>
    </r>
  </si>
  <si>
    <r>
      <t>(3)　</t>
    </r>
    <r>
      <rPr>
        <sz val="11"/>
        <rFont val="ＭＳ Ｐゴシック"/>
        <family val="3"/>
      </rPr>
      <t>支持力に対する検討</t>
    </r>
  </si>
  <si>
    <t>５．　段切面の応力度</t>
  </si>
  <si>
    <r>
      <t>(1)　</t>
    </r>
    <r>
      <rPr>
        <sz val="11"/>
        <rFont val="ＭＳ Ｐゴシック"/>
        <family val="3"/>
      </rPr>
      <t>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段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</t>
    </r>
  </si>
  <si>
    <r>
      <t>(2)　</t>
    </r>
    <r>
      <rPr>
        <sz val="11"/>
        <rFont val="ＭＳ Ｐゴシック"/>
        <family val="3"/>
      </rPr>
      <t>２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段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</t>
    </r>
  </si>
  <si>
    <t>x(m)</t>
  </si>
  <si>
    <t>y(m )</t>
  </si>
  <si>
    <t>座標点</t>
  </si>
  <si>
    <t>B'=</t>
  </si>
  <si>
    <t>段切座標(m)</t>
  </si>
  <si>
    <r>
      <t>x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(m)</t>
    </r>
  </si>
  <si>
    <r>
      <t>x</t>
    </r>
    <r>
      <rPr>
        <vertAlign val="subscript"/>
        <sz val="11"/>
        <rFont val="Times New Roman"/>
        <family val="1"/>
      </rPr>
      <t>2(m)</t>
    </r>
  </si>
  <si>
    <r>
      <t>y</t>
    </r>
    <r>
      <rPr>
        <vertAlign val="subscript"/>
        <sz val="11"/>
        <rFont val="Times New Roman"/>
        <family val="1"/>
      </rPr>
      <t>(m)</t>
    </r>
  </si>
  <si>
    <r>
      <t>N</t>
    </r>
    <r>
      <rPr>
        <sz val="11"/>
        <rFont val="ＭＳ Ｐ明朝"/>
        <family val="1"/>
      </rPr>
      <t>値</t>
    </r>
  </si>
  <si>
    <t>バネ定数</t>
  </si>
  <si>
    <r>
      <t>k</t>
    </r>
    <r>
      <rPr>
        <i/>
        <vertAlign val="subscript"/>
        <sz val="11"/>
        <rFont val="Times New Roman"/>
        <family val="1"/>
      </rPr>
      <t>v</t>
    </r>
  </si>
  <si>
    <r>
      <t>(kN/m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</si>
  <si>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k</t>
    </r>
    <r>
      <rPr>
        <i/>
        <vertAlign val="subscript"/>
        <sz val="11"/>
        <rFont val="Times New Roman"/>
        <family val="1"/>
      </rPr>
      <t>s</t>
    </r>
  </si>
  <si>
    <t>段切座標(m)</t>
  </si>
  <si>
    <t>A11</t>
  </si>
  <si>
    <t>A12</t>
  </si>
  <si>
    <t>A13</t>
  </si>
  <si>
    <t>A23</t>
  </si>
  <si>
    <t>A22</t>
  </si>
  <si>
    <t>A33</t>
  </si>
  <si>
    <r>
      <t>q</t>
    </r>
    <r>
      <rPr>
        <i/>
        <vertAlign val="subscript"/>
        <sz val="11"/>
        <color indexed="8"/>
        <rFont val="Times New Roman"/>
        <family val="1"/>
      </rPr>
      <t>v</t>
    </r>
    <r>
      <rPr>
        <vertAlign val="subscript"/>
        <sz val="11"/>
        <color indexed="8"/>
        <rFont val="Times New Roman"/>
        <family val="1"/>
      </rPr>
      <t>2</t>
    </r>
  </si>
  <si>
    <t>Σ</t>
  </si>
  <si>
    <r>
      <t>段切幅</t>
    </r>
    <r>
      <rPr>
        <sz val="11"/>
        <rFont val="Times New Roman"/>
        <family val="1"/>
      </rPr>
      <t>(m)</t>
    </r>
  </si>
  <si>
    <t>－</t>
  </si>
  <si>
    <r>
      <t>地盤反力度</t>
    </r>
    <r>
      <rPr>
        <sz val="11"/>
        <rFont val="Times New Roman"/>
        <family val="1"/>
      </rPr>
      <t>(kN/m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</si>
  <si>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q</t>
    </r>
    <r>
      <rPr>
        <i/>
        <vertAlign val="subscript"/>
        <sz val="11"/>
        <color indexed="8"/>
        <rFont val="Times New Roman"/>
        <family val="1"/>
      </rPr>
      <t>v</t>
    </r>
    <r>
      <rPr>
        <vertAlign val="subscript"/>
        <sz val="11"/>
        <color indexed="8"/>
        <rFont val="Times New Roman"/>
        <family val="1"/>
      </rPr>
      <t>1</t>
    </r>
  </si>
  <si>
    <t>－</t>
  </si>
  <si>
    <r>
      <t>q</t>
    </r>
    <r>
      <rPr>
        <i/>
        <vertAlign val="subscript"/>
        <sz val="11"/>
        <color indexed="8"/>
        <rFont val="Times New Roman"/>
        <family val="1"/>
      </rPr>
      <t>h</t>
    </r>
  </si>
  <si>
    <r>
      <t>地盤反力</t>
    </r>
    <r>
      <rPr>
        <sz val="11"/>
        <rFont val="Times New Roman"/>
        <family val="1"/>
      </rPr>
      <t xml:space="preserve"> (kN/m)</t>
    </r>
  </si>
  <si>
    <r>
      <t>Q</t>
    </r>
    <r>
      <rPr>
        <i/>
        <vertAlign val="subscript"/>
        <sz val="11"/>
        <rFont val="Times New Roman"/>
        <family val="1"/>
      </rPr>
      <t>V</t>
    </r>
  </si>
  <si>
    <r>
      <t>Q</t>
    </r>
    <r>
      <rPr>
        <i/>
        <vertAlign val="subscript"/>
        <sz val="11"/>
        <rFont val="Times New Roman"/>
        <family val="1"/>
      </rPr>
      <t>h</t>
    </r>
  </si>
  <si>
    <r>
      <t>滑動の安全率</t>
    </r>
    <r>
      <rPr>
        <i/>
        <sz val="11"/>
        <rFont val="Times New Roman"/>
        <family val="1"/>
      </rPr>
      <t>F</t>
    </r>
    <r>
      <rPr>
        <i/>
        <vertAlign val="subscript"/>
        <sz val="11"/>
        <rFont val="Times New Roman"/>
        <family val="1"/>
      </rPr>
      <t>s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</si>
</sst>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"/>
    <numFmt numFmtId="180" formatCode="0.000000"/>
    <numFmt numFmtId="181" formatCode="0.000_);[Red]\(0.000\)"/>
    <numFmt numFmtId="182" formatCode="0_ "/>
    <numFmt numFmtId="183" formatCode="0.00_);[Red]\(0.00\)"/>
    <numFmt numFmtId="184" formatCode="0.000_ "/>
    <numFmt numFmtId="185" formatCode="0.0000000000000_);[Red]\(0.0000000000000\)"/>
    <numFmt numFmtId="186" formatCode="0.000E+00"/>
    <numFmt numFmtId="187" formatCode="#,##0.0_ "/>
    <numFmt numFmtId="188" formatCode="#,##0.000"/>
    <numFmt numFmtId="189" formatCode="#,##0.0000"/>
    <numFmt numFmtId="190" formatCode="#,##0.00000"/>
    <numFmt numFmtId="191" formatCode="0.0000"/>
    <numFmt numFmtId="192" formatCode="0.0_);[Red]\(0.0\)"/>
    <numFmt numFmtId="193" formatCode="0.000000000000000_);[Red]\(0.000000000000000\)"/>
    <numFmt numFmtId="194" formatCode="0.00000000000000_);[Red]\(0.00000000000000\)"/>
    <numFmt numFmtId="195" formatCode="0.000000000000_);[Red]\(0.000000000000\)"/>
    <numFmt numFmtId="196" formatCode="0.00000000000_);[Red]\(0.00000000000\)"/>
  </numFmts>
  <fonts count="3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i/>
      <vertAlign val="subscript"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明朝"/>
      <family val="1"/>
    </font>
    <font>
      <sz val="11"/>
      <name val="Times New Roman"/>
      <family val="1"/>
    </font>
    <font>
      <i/>
      <sz val="11"/>
      <name val="ＭＳ 明朝"/>
      <family val="1"/>
    </font>
    <font>
      <i/>
      <vertAlign val="sub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ＭＳ Ｐ明朝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ＭＳ Ｐ明朝"/>
      <family val="1"/>
    </font>
    <font>
      <sz val="6"/>
      <name val="ＭＳ Ｐ明朝"/>
      <family val="1"/>
    </font>
    <font>
      <sz val="8.5"/>
      <name val="Times New Roman"/>
      <family val="1"/>
    </font>
    <font>
      <sz val="8.5"/>
      <name val="ＭＳ Ｐゴシック"/>
      <family val="3"/>
    </font>
    <font>
      <i/>
      <sz val="8.5"/>
      <name val="Times New Roman"/>
      <family val="1"/>
    </font>
    <font>
      <i/>
      <vertAlign val="subscript"/>
      <sz val="8.5"/>
      <name val="Times New Roman"/>
      <family val="1"/>
    </font>
    <font>
      <sz val="8"/>
      <name val="ＭＳ Ｐゴシック"/>
      <family val="3"/>
    </font>
    <font>
      <sz val="3.75"/>
      <name val="ＭＳ Ｐゴシック"/>
      <family val="3"/>
    </font>
    <font>
      <sz val="11"/>
      <color indexed="8"/>
      <name val="ＭＳ Ｐゴシック"/>
      <family val="3"/>
    </font>
    <font>
      <sz val="10.25"/>
      <name val="ＭＳ Ｐゴシック"/>
      <family val="3"/>
    </font>
    <font>
      <sz val="5.75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sz val="11"/>
      <color indexed="12"/>
      <name val="Times New Roman"/>
      <family val="1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u val="single"/>
      <sz val="10.2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right" vertical="center"/>
    </xf>
    <xf numFmtId="0" fontId="9" fillId="0" borderId="0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 quotePrefix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2" fontId="8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2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178" fontId="1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vertical="center"/>
    </xf>
    <xf numFmtId="2" fontId="11" fillId="0" borderId="4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78" fontId="11" fillId="0" borderId="8" xfId="0" applyNumberFormat="1" applyFont="1" applyFill="1" applyBorder="1" applyAlignment="1">
      <alignment horizontal="center"/>
    </xf>
    <xf numFmtId="178" fontId="11" fillId="0" borderId="5" xfId="0" applyNumberFormat="1" applyFont="1" applyFill="1" applyBorder="1" applyAlignment="1">
      <alignment horizontal="center"/>
    </xf>
    <xf numFmtId="178" fontId="11" fillId="0" borderId="4" xfId="0" applyNumberFormat="1" applyFont="1" applyFill="1" applyBorder="1" applyAlignment="1">
      <alignment horizontal="center" vertical="center"/>
    </xf>
    <xf numFmtId="178" fontId="1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right"/>
    </xf>
    <xf numFmtId="178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78" fontId="11" fillId="0" borderId="0" xfId="0" applyNumberFormat="1" applyFont="1" applyFill="1" applyAlignment="1">
      <alignment horizontal="right" vertical="center"/>
    </xf>
    <xf numFmtId="0" fontId="11" fillId="0" borderId="9" xfId="0" applyFont="1" applyFill="1" applyBorder="1" applyAlignment="1">
      <alignment vertical="center"/>
    </xf>
    <xf numFmtId="2" fontId="11" fillId="0" borderId="8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8" fontId="11" fillId="0" borderId="8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178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/>
    </xf>
    <xf numFmtId="2" fontId="11" fillId="0" borderId="9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 quotePrefix="1">
      <alignment horizontal="right" vertical="center"/>
    </xf>
    <xf numFmtId="2" fontId="11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8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 quotePrefix="1">
      <alignment horizontal="left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2" fontId="11" fillId="0" borderId="4" xfId="0" applyNumberFormat="1" applyFont="1" applyFill="1" applyBorder="1" applyAlignment="1" applyProtection="1">
      <alignment horizontal="center" vertical="center"/>
      <protection locked="0"/>
    </xf>
    <xf numFmtId="177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16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2" fontId="11" fillId="2" borderId="0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right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78" fontId="11" fillId="2" borderId="4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right" vertical="center" shrinkToFit="1"/>
    </xf>
    <xf numFmtId="0" fontId="11" fillId="2" borderId="0" xfId="0" applyFont="1" applyFill="1" applyAlignment="1">
      <alignment vertical="center" shrinkToFit="1"/>
    </xf>
    <xf numFmtId="0" fontId="32" fillId="2" borderId="0" xfId="0" applyFont="1" applyFill="1" applyAlignment="1">
      <alignment vertical="center"/>
    </xf>
    <xf numFmtId="0" fontId="33" fillId="2" borderId="0" xfId="0" applyFont="1" applyFill="1" applyAlignment="1">
      <alignment/>
    </xf>
    <xf numFmtId="0" fontId="31" fillId="2" borderId="0" xfId="0" applyFont="1" applyFill="1" applyAlignment="1">
      <alignment/>
    </xf>
    <xf numFmtId="0" fontId="34" fillId="2" borderId="0" xfId="0" applyFont="1" applyFill="1" applyAlignment="1">
      <alignment/>
    </xf>
    <xf numFmtId="0" fontId="8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shrinkToFit="1"/>
    </xf>
    <xf numFmtId="2" fontId="11" fillId="2" borderId="0" xfId="0" applyNumberFormat="1" applyFont="1" applyFill="1" applyBorder="1" applyAlignment="1" applyProtection="1">
      <alignment horizontal="center" vertical="center"/>
      <protection/>
    </xf>
    <xf numFmtId="177" fontId="11" fillId="0" borderId="0" xfId="0" applyNumberFormat="1" applyFont="1" applyFill="1" applyAlignment="1">
      <alignment horizontal="left" vertical="center"/>
    </xf>
    <xf numFmtId="0" fontId="11" fillId="3" borderId="6" xfId="0" applyFont="1" applyFill="1" applyBorder="1" applyAlignment="1">
      <alignment horizontal="center" vertical="center"/>
    </xf>
    <xf numFmtId="2" fontId="11" fillId="3" borderId="8" xfId="0" applyNumberFormat="1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8" fontId="11" fillId="0" borderId="0" xfId="0" applyNumberFormat="1" applyFont="1" applyFill="1" applyAlignment="1">
      <alignment horizontal="center" vertical="center"/>
    </xf>
    <xf numFmtId="178" fontId="11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179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2" fontId="11" fillId="0" borderId="4" xfId="0" applyNumberFormat="1" applyFont="1" applyFill="1" applyBorder="1" applyAlignment="1">
      <alignment horizontal="center" vertical="center" shrinkToFit="1"/>
    </xf>
    <xf numFmtId="2" fontId="4" fillId="0" borderId="4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7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21"/>
          <c:h val="0.92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'段切り基礎擁壁'!$AE$5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2.9</c:v>
                </c:pt>
                <c:pt idx="5">
                  <c:v>5</c:v>
                </c:pt>
                <c:pt idx="6">
                  <c:v>4.8</c:v>
                </c:pt>
                <c:pt idx="7">
                  <c:v>3.4000000000000004</c:v>
                </c:pt>
                <c:pt idx="8">
                  <c:v>3.2</c:v>
                </c:pt>
                <c:pt idx="9">
                  <c:v>1.7</c:v>
                </c:pt>
                <c:pt idx="10">
                  <c:v>1.5</c:v>
                </c:pt>
                <c:pt idx="11">
                  <c:v>0</c:v>
                </c:pt>
                <c:pt idx="12">
                  <c:v>2.9</c:v>
                </c:pt>
                <c:pt idx="13">
                  <c:v>5.9</c:v>
                </c:pt>
                <c:pt idx="14">
                  <c:v>11.599775814281102</c:v>
                </c:pt>
                <c:pt idx="15">
                  <c:v>5</c:v>
                </c:pt>
                <c:pt idx="16">
                  <c:v>9.599775814281102</c:v>
                </c:pt>
                <c:pt idx="17">
                  <c:v>9.599775814281102</c:v>
                </c:pt>
                <c:pt idx="18">
                  <c:v>5.9</c:v>
                </c:pt>
                <c:pt idx="19">
                  <c:v>5.9</c:v>
                </c:pt>
                <c:pt idx="20">
                  <c:v>11.599775814281102</c:v>
                </c:pt>
                <c:pt idx="21">
                  <c:v>2.548630594522378</c:v>
                </c:pt>
                <c:pt idx="22">
                  <c:v>2.548630594522378</c:v>
                </c:pt>
                <c:pt idx="23">
                  <c:v>2.548630594522378</c:v>
                </c:pt>
                <c:pt idx="24">
                  <c:v>2.261705594522378</c:v>
                </c:pt>
                <c:pt idx="25">
                  <c:v>4.3</c:v>
                </c:pt>
                <c:pt idx="26">
                  <c:v>5.438575858109092</c:v>
                </c:pt>
                <c:pt idx="27">
                  <c:v>0.926127338121528</c:v>
                </c:pt>
                <c:pt idx="28">
                  <c:v>2.3516281962306205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  <c:pt idx="32">
                  <c:v>1.5</c:v>
                </c:pt>
                <c:pt idx="33">
                  <c:v>1.7</c:v>
                </c:pt>
                <c:pt idx="34">
                  <c:v>1.7</c:v>
                </c:pt>
                <c:pt idx="35">
                  <c:v>3.2</c:v>
                </c:pt>
                <c:pt idx="36">
                  <c:v>3.2</c:v>
                </c:pt>
                <c:pt idx="37">
                  <c:v>3.4000000000000004</c:v>
                </c:pt>
                <c:pt idx="38">
                  <c:v>3.4000000000000004</c:v>
                </c:pt>
                <c:pt idx="39">
                  <c:v>4.8</c:v>
                </c:pt>
                <c:pt idx="40">
                  <c:v>4.8</c:v>
                </c:pt>
              </c:numCache>
            </c:numRef>
          </c:xVal>
          <c:yVal>
            <c:numRef>
              <c:f>'段切り基礎擁壁'!$AE$7:$AE$47</c:f>
              <c:numCache>
                <c:ptCount val="41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10</c:v>
                </c:pt>
                <c:pt idx="4">
                  <c:v>10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'段切り基礎擁壁'!$AF$6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2.9</c:v>
                </c:pt>
                <c:pt idx="5">
                  <c:v>5</c:v>
                </c:pt>
                <c:pt idx="6">
                  <c:v>4.8</c:v>
                </c:pt>
                <c:pt idx="7">
                  <c:v>3.4000000000000004</c:v>
                </c:pt>
                <c:pt idx="8">
                  <c:v>3.2</c:v>
                </c:pt>
                <c:pt idx="9">
                  <c:v>1.7</c:v>
                </c:pt>
                <c:pt idx="10">
                  <c:v>1.5</c:v>
                </c:pt>
                <c:pt idx="11">
                  <c:v>0</c:v>
                </c:pt>
                <c:pt idx="12">
                  <c:v>2.9</c:v>
                </c:pt>
                <c:pt idx="13">
                  <c:v>5.9</c:v>
                </c:pt>
                <c:pt idx="14">
                  <c:v>11.599775814281102</c:v>
                </c:pt>
                <c:pt idx="15">
                  <c:v>5</c:v>
                </c:pt>
                <c:pt idx="16">
                  <c:v>9.599775814281102</c:v>
                </c:pt>
                <c:pt idx="17">
                  <c:v>9.599775814281102</c:v>
                </c:pt>
                <c:pt idx="18">
                  <c:v>5.9</c:v>
                </c:pt>
                <c:pt idx="19">
                  <c:v>5.9</c:v>
                </c:pt>
                <c:pt idx="20">
                  <c:v>11.599775814281102</c:v>
                </c:pt>
                <c:pt idx="21">
                  <c:v>2.548630594522378</c:v>
                </c:pt>
                <c:pt idx="22">
                  <c:v>2.548630594522378</c:v>
                </c:pt>
                <c:pt idx="23">
                  <c:v>2.548630594522378</c:v>
                </c:pt>
                <c:pt idx="24">
                  <c:v>2.261705594522378</c:v>
                </c:pt>
                <c:pt idx="25">
                  <c:v>4.3</c:v>
                </c:pt>
                <c:pt idx="26">
                  <c:v>5.438575858109092</c:v>
                </c:pt>
                <c:pt idx="27">
                  <c:v>0.926127338121528</c:v>
                </c:pt>
                <c:pt idx="28">
                  <c:v>2.3516281962306205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  <c:pt idx="32">
                  <c:v>1.5</c:v>
                </c:pt>
                <c:pt idx="33">
                  <c:v>1.7</c:v>
                </c:pt>
                <c:pt idx="34">
                  <c:v>1.7</c:v>
                </c:pt>
                <c:pt idx="35">
                  <c:v>3.2</c:v>
                </c:pt>
                <c:pt idx="36">
                  <c:v>3.2</c:v>
                </c:pt>
                <c:pt idx="37">
                  <c:v>3.4000000000000004</c:v>
                </c:pt>
                <c:pt idx="38">
                  <c:v>3.4000000000000004</c:v>
                </c:pt>
                <c:pt idx="39">
                  <c:v>4.8</c:v>
                </c:pt>
                <c:pt idx="40">
                  <c:v>4.8</c:v>
                </c:pt>
              </c:numCache>
            </c:numRef>
          </c:xVal>
          <c:yVal>
            <c:numRef>
              <c:f>'段切り基礎擁壁'!$AF$7:$AF$47</c:f>
              <c:numCache>
                <c:ptCount val="41"/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'段切り基礎擁壁'!$AG$6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2.9</c:v>
                </c:pt>
                <c:pt idx="5">
                  <c:v>5</c:v>
                </c:pt>
                <c:pt idx="6">
                  <c:v>4.8</c:v>
                </c:pt>
                <c:pt idx="7">
                  <c:v>3.4000000000000004</c:v>
                </c:pt>
                <c:pt idx="8">
                  <c:v>3.2</c:v>
                </c:pt>
                <c:pt idx="9">
                  <c:v>1.7</c:v>
                </c:pt>
                <c:pt idx="10">
                  <c:v>1.5</c:v>
                </c:pt>
                <c:pt idx="11">
                  <c:v>0</c:v>
                </c:pt>
                <c:pt idx="12">
                  <c:v>2.9</c:v>
                </c:pt>
                <c:pt idx="13">
                  <c:v>5.9</c:v>
                </c:pt>
                <c:pt idx="14">
                  <c:v>11.599775814281102</c:v>
                </c:pt>
                <c:pt idx="15">
                  <c:v>5</c:v>
                </c:pt>
                <c:pt idx="16">
                  <c:v>9.599775814281102</c:v>
                </c:pt>
                <c:pt idx="17">
                  <c:v>9.599775814281102</c:v>
                </c:pt>
                <c:pt idx="18">
                  <c:v>5.9</c:v>
                </c:pt>
                <c:pt idx="19">
                  <c:v>5.9</c:v>
                </c:pt>
                <c:pt idx="20">
                  <c:v>11.599775814281102</c:v>
                </c:pt>
                <c:pt idx="21">
                  <c:v>2.548630594522378</c:v>
                </c:pt>
                <c:pt idx="22">
                  <c:v>2.548630594522378</c:v>
                </c:pt>
                <c:pt idx="23">
                  <c:v>2.548630594522378</c:v>
                </c:pt>
                <c:pt idx="24">
                  <c:v>2.261705594522378</c:v>
                </c:pt>
                <c:pt idx="25">
                  <c:v>4.3</c:v>
                </c:pt>
                <c:pt idx="26">
                  <c:v>5.438575858109092</c:v>
                </c:pt>
                <c:pt idx="27">
                  <c:v>0.926127338121528</c:v>
                </c:pt>
                <c:pt idx="28">
                  <c:v>2.3516281962306205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  <c:pt idx="32">
                  <c:v>1.5</c:v>
                </c:pt>
                <c:pt idx="33">
                  <c:v>1.7</c:v>
                </c:pt>
                <c:pt idx="34">
                  <c:v>1.7</c:v>
                </c:pt>
                <c:pt idx="35">
                  <c:v>3.2</c:v>
                </c:pt>
                <c:pt idx="36">
                  <c:v>3.2</c:v>
                </c:pt>
                <c:pt idx="37">
                  <c:v>3.4000000000000004</c:v>
                </c:pt>
                <c:pt idx="38">
                  <c:v>3.4000000000000004</c:v>
                </c:pt>
                <c:pt idx="39">
                  <c:v>4.8</c:v>
                </c:pt>
                <c:pt idx="40">
                  <c:v>4.8</c:v>
                </c:pt>
              </c:numCache>
            </c:numRef>
          </c:xVal>
          <c:yVal>
            <c:numRef>
              <c:f>'段切り基礎擁壁'!$AG$7:$AG$47</c:f>
              <c:numCache>
                <c:ptCount val="41"/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'段切り基礎擁壁'!$AH$6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2.9</c:v>
                </c:pt>
                <c:pt idx="5">
                  <c:v>5</c:v>
                </c:pt>
                <c:pt idx="6">
                  <c:v>4.8</c:v>
                </c:pt>
                <c:pt idx="7">
                  <c:v>3.4000000000000004</c:v>
                </c:pt>
                <c:pt idx="8">
                  <c:v>3.2</c:v>
                </c:pt>
                <c:pt idx="9">
                  <c:v>1.7</c:v>
                </c:pt>
                <c:pt idx="10">
                  <c:v>1.5</c:v>
                </c:pt>
                <c:pt idx="11">
                  <c:v>0</c:v>
                </c:pt>
                <c:pt idx="12">
                  <c:v>2.9</c:v>
                </c:pt>
                <c:pt idx="13">
                  <c:v>5.9</c:v>
                </c:pt>
                <c:pt idx="14">
                  <c:v>11.599775814281102</c:v>
                </c:pt>
                <c:pt idx="15">
                  <c:v>5</c:v>
                </c:pt>
                <c:pt idx="16">
                  <c:v>9.599775814281102</c:v>
                </c:pt>
                <c:pt idx="17">
                  <c:v>9.599775814281102</c:v>
                </c:pt>
                <c:pt idx="18">
                  <c:v>5.9</c:v>
                </c:pt>
                <c:pt idx="19">
                  <c:v>5.9</c:v>
                </c:pt>
                <c:pt idx="20">
                  <c:v>11.599775814281102</c:v>
                </c:pt>
                <c:pt idx="21">
                  <c:v>2.548630594522378</c:v>
                </c:pt>
                <c:pt idx="22">
                  <c:v>2.548630594522378</c:v>
                </c:pt>
                <c:pt idx="23">
                  <c:v>2.548630594522378</c:v>
                </c:pt>
                <c:pt idx="24">
                  <c:v>2.261705594522378</c:v>
                </c:pt>
                <c:pt idx="25">
                  <c:v>4.3</c:v>
                </c:pt>
                <c:pt idx="26">
                  <c:v>5.438575858109092</c:v>
                </c:pt>
                <c:pt idx="27">
                  <c:v>0.926127338121528</c:v>
                </c:pt>
                <c:pt idx="28">
                  <c:v>2.3516281962306205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  <c:pt idx="32">
                  <c:v>1.5</c:v>
                </c:pt>
                <c:pt idx="33">
                  <c:v>1.7</c:v>
                </c:pt>
                <c:pt idx="34">
                  <c:v>1.7</c:v>
                </c:pt>
                <c:pt idx="35">
                  <c:v>3.2</c:v>
                </c:pt>
                <c:pt idx="36">
                  <c:v>3.2</c:v>
                </c:pt>
                <c:pt idx="37">
                  <c:v>3.4000000000000004</c:v>
                </c:pt>
                <c:pt idx="38">
                  <c:v>3.4000000000000004</c:v>
                </c:pt>
                <c:pt idx="39">
                  <c:v>4.8</c:v>
                </c:pt>
                <c:pt idx="40">
                  <c:v>4.8</c:v>
                </c:pt>
              </c:numCache>
            </c:numRef>
          </c:xVal>
          <c:yVal>
            <c:numRef>
              <c:f>'段切り基礎擁壁'!$AH$7:$AH$47</c:f>
              <c:numCache>
                <c:ptCount val="41"/>
                <c:pt idx="15">
                  <c:v>3</c:v>
                </c:pt>
                <c:pt idx="16">
                  <c:v>10.655312511120183</c:v>
                </c:pt>
                <c:pt idx="17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'段切り基礎擁壁'!$AI$6</c:f>
              <c:strCache>
                <c:ptCount val="1"/>
                <c:pt idx="0">
                  <c:v>自重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'段切り基礎擁壁'!$AD$7:$AD$47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2.9</c:v>
                </c:pt>
                <c:pt idx="5">
                  <c:v>5</c:v>
                </c:pt>
                <c:pt idx="6">
                  <c:v>4.8</c:v>
                </c:pt>
                <c:pt idx="7">
                  <c:v>3.4000000000000004</c:v>
                </c:pt>
                <c:pt idx="8">
                  <c:v>3.2</c:v>
                </c:pt>
                <c:pt idx="9">
                  <c:v>1.7</c:v>
                </c:pt>
                <c:pt idx="10">
                  <c:v>1.5</c:v>
                </c:pt>
                <c:pt idx="11">
                  <c:v>0</c:v>
                </c:pt>
                <c:pt idx="12">
                  <c:v>2.9</c:v>
                </c:pt>
                <c:pt idx="13">
                  <c:v>5.9</c:v>
                </c:pt>
                <c:pt idx="14">
                  <c:v>11.599775814281102</c:v>
                </c:pt>
                <c:pt idx="15">
                  <c:v>5</c:v>
                </c:pt>
                <c:pt idx="16">
                  <c:v>9.599775814281102</c:v>
                </c:pt>
                <c:pt idx="17">
                  <c:v>9.599775814281102</c:v>
                </c:pt>
                <c:pt idx="18">
                  <c:v>5.9</c:v>
                </c:pt>
                <c:pt idx="19">
                  <c:v>5.9</c:v>
                </c:pt>
                <c:pt idx="20">
                  <c:v>11.599775814281102</c:v>
                </c:pt>
                <c:pt idx="21">
                  <c:v>2.548630594522378</c:v>
                </c:pt>
                <c:pt idx="22">
                  <c:v>2.548630594522378</c:v>
                </c:pt>
                <c:pt idx="23">
                  <c:v>2.548630594522378</c:v>
                </c:pt>
                <c:pt idx="24">
                  <c:v>2.261705594522378</c:v>
                </c:pt>
                <c:pt idx="25">
                  <c:v>4.3</c:v>
                </c:pt>
                <c:pt idx="26">
                  <c:v>5.438575858109092</c:v>
                </c:pt>
                <c:pt idx="27">
                  <c:v>0.926127338121528</c:v>
                </c:pt>
                <c:pt idx="28">
                  <c:v>2.3516281962306205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  <c:pt idx="32">
                  <c:v>1.5</c:v>
                </c:pt>
                <c:pt idx="33">
                  <c:v>1.7</c:v>
                </c:pt>
                <c:pt idx="34">
                  <c:v>1.7</c:v>
                </c:pt>
                <c:pt idx="35">
                  <c:v>3.2</c:v>
                </c:pt>
                <c:pt idx="36">
                  <c:v>3.2</c:v>
                </c:pt>
                <c:pt idx="37">
                  <c:v>3.4000000000000004</c:v>
                </c:pt>
                <c:pt idx="38">
                  <c:v>3.4000000000000004</c:v>
                </c:pt>
                <c:pt idx="39">
                  <c:v>4.8</c:v>
                </c:pt>
                <c:pt idx="40">
                  <c:v>4.8</c:v>
                </c:pt>
              </c:numCache>
            </c:numRef>
          </c:xVal>
          <c:yVal>
            <c:numRef>
              <c:f>'段切り基礎擁壁'!$AI$7:$AI$47</c:f>
              <c:numCache>
                <c:ptCount val="41"/>
                <c:pt idx="21">
                  <c:v>4.159652638610555</c:v>
                </c:pt>
                <c:pt idx="22">
                  <c:v>1.290402638610555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'段切り基礎擁壁'!$AJ$6</c:f>
              <c:strCache>
                <c:ptCount val="1"/>
                <c:pt idx="0">
                  <c:v>慣性力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2.9</c:v>
                </c:pt>
                <c:pt idx="5">
                  <c:v>5</c:v>
                </c:pt>
                <c:pt idx="6">
                  <c:v>4.8</c:v>
                </c:pt>
                <c:pt idx="7">
                  <c:v>3.4000000000000004</c:v>
                </c:pt>
                <c:pt idx="8">
                  <c:v>3.2</c:v>
                </c:pt>
                <c:pt idx="9">
                  <c:v>1.7</c:v>
                </c:pt>
                <c:pt idx="10">
                  <c:v>1.5</c:v>
                </c:pt>
                <c:pt idx="11">
                  <c:v>0</c:v>
                </c:pt>
                <c:pt idx="12">
                  <c:v>2.9</c:v>
                </c:pt>
                <c:pt idx="13">
                  <c:v>5.9</c:v>
                </c:pt>
                <c:pt idx="14">
                  <c:v>11.599775814281102</c:v>
                </c:pt>
                <c:pt idx="15">
                  <c:v>5</c:v>
                </c:pt>
                <c:pt idx="16">
                  <c:v>9.599775814281102</c:v>
                </c:pt>
                <c:pt idx="17">
                  <c:v>9.599775814281102</c:v>
                </c:pt>
                <c:pt idx="18">
                  <c:v>5.9</c:v>
                </c:pt>
                <c:pt idx="19">
                  <c:v>5.9</c:v>
                </c:pt>
                <c:pt idx="20">
                  <c:v>11.599775814281102</c:v>
                </c:pt>
                <c:pt idx="21">
                  <c:v>2.548630594522378</c:v>
                </c:pt>
                <c:pt idx="22">
                  <c:v>2.548630594522378</c:v>
                </c:pt>
                <c:pt idx="23">
                  <c:v>2.548630594522378</c:v>
                </c:pt>
                <c:pt idx="24">
                  <c:v>2.261705594522378</c:v>
                </c:pt>
                <c:pt idx="25">
                  <c:v>4.3</c:v>
                </c:pt>
                <c:pt idx="26">
                  <c:v>5.438575858109092</c:v>
                </c:pt>
                <c:pt idx="27">
                  <c:v>0.926127338121528</c:v>
                </c:pt>
                <c:pt idx="28">
                  <c:v>2.3516281962306205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  <c:pt idx="32">
                  <c:v>1.5</c:v>
                </c:pt>
                <c:pt idx="33">
                  <c:v>1.7</c:v>
                </c:pt>
                <c:pt idx="34">
                  <c:v>1.7</c:v>
                </c:pt>
                <c:pt idx="35">
                  <c:v>3.2</c:v>
                </c:pt>
                <c:pt idx="36">
                  <c:v>3.2</c:v>
                </c:pt>
                <c:pt idx="37">
                  <c:v>3.4000000000000004</c:v>
                </c:pt>
                <c:pt idx="38">
                  <c:v>3.4000000000000004</c:v>
                </c:pt>
                <c:pt idx="39">
                  <c:v>4.8</c:v>
                </c:pt>
                <c:pt idx="40">
                  <c:v>4.8</c:v>
                </c:pt>
              </c:numCache>
            </c:numRef>
          </c:xVal>
          <c:yVal>
            <c:numRef>
              <c:f>'段切り基礎擁壁'!$AJ$7:$AJ$47</c:f>
              <c:numCache>
                <c:ptCount val="41"/>
                <c:pt idx="23">
                  <c:v>4.159652638610555</c:v>
                </c:pt>
                <c:pt idx="24">
                  <c:v>4.159652638610555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'段切り基礎擁壁'!$AK$6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2.9</c:v>
                </c:pt>
                <c:pt idx="5">
                  <c:v>5</c:v>
                </c:pt>
                <c:pt idx="6">
                  <c:v>4.8</c:v>
                </c:pt>
                <c:pt idx="7">
                  <c:v>3.4000000000000004</c:v>
                </c:pt>
                <c:pt idx="8">
                  <c:v>3.2</c:v>
                </c:pt>
                <c:pt idx="9">
                  <c:v>1.7</c:v>
                </c:pt>
                <c:pt idx="10">
                  <c:v>1.5</c:v>
                </c:pt>
                <c:pt idx="11">
                  <c:v>0</c:v>
                </c:pt>
                <c:pt idx="12">
                  <c:v>2.9</c:v>
                </c:pt>
                <c:pt idx="13">
                  <c:v>5.9</c:v>
                </c:pt>
                <c:pt idx="14">
                  <c:v>11.599775814281102</c:v>
                </c:pt>
                <c:pt idx="15">
                  <c:v>5</c:v>
                </c:pt>
                <c:pt idx="16">
                  <c:v>9.599775814281102</c:v>
                </c:pt>
                <c:pt idx="17">
                  <c:v>9.599775814281102</c:v>
                </c:pt>
                <c:pt idx="18">
                  <c:v>5.9</c:v>
                </c:pt>
                <c:pt idx="19">
                  <c:v>5.9</c:v>
                </c:pt>
                <c:pt idx="20">
                  <c:v>11.599775814281102</c:v>
                </c:pt>
                <c:pt idx="21">
                  <c:v>2.548630594522378</c:v>
                </c:pt>
                <c:pt idx="22">
                  <c:v>2.548630594522378</c:v>
                </c:pt>
                <c:pt idx="23">
                  <c:v>2.548630594522378</c:v>
                </c:pt>
                <c:pt idx="24">
                  <c:v>2.261705594522378</c:v>
                </c:pt>
                <c:pt idx="25">
                  <c:v>4.3</c:v>
                </c:pt>
                <c:pt idx="26">
                  <c:v>5.438575858109092</c:v>
                </c:pt>
                <c:pt idx="27">
                  <c:v>0.926127338121528</c:v>
                </c:pt>
                <c:pt idx="28">
                  <c:v>2.3516281962306205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  <c:pt idx="32">
                  <c:v>1.5</c:v>
                </c:pt>
                <c:pt idx="33">
                  <c:v>1.7</c:v>
                </c:pt>
                <c:pt idx="34">
                  <c:v>1.7</c:v>
                </c:pt>
                <c:pt idx="35">
                  <c:v>3.2</c:v>
                </c:pt>
                <c:pt idx="36">
                  <c:v>3.2</c:v>
                </c:pt>
                <c:pt idx="37">
                  <c:v>3.4000000000000004</c:v>
                </c:pt>
                <c:pt idx="38">
                  <c:v>3.4000000000000004</c:v>
                </c:pt>
                <c:pt idx="39">
                  <c:v>4.8</c:v>
                </c:pt>
                <c:pt idx="40">
                  <c:v>4.8</c:v>
                </c:pt>
              </c:numCache>
            </c:numRef>
          </c:xVal>
          <c:yVal>
            <c:numRef>
              <c:f>'段切り基礎擁壁'!$AK$7:$AK$47</c:f>
              <c:numCache>
                <c:ptCount val="41"/>
                <c:pt idx="25">
                  <c:v>5.333333333333334</c:v>
                </c:pt>
                <c:pt idx="26">
                  <c:v>6.1070867327973035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'段切り基礎擁壁'!$AL$6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'段切り基礎擁壁'!$AD$7:$AD$47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2.9</c:v>
                </c:pt>
                <c:pt idx="5">
                  <c:v>5</c:v>
                </c:pt>
                <c:pt idx="6">
                  <c:v>4.8</c:v>
                </c:pt>
                <c:pt idx="7">
                  <c:v>3.4000000000000004</c:v>
                </c:pt>
                <c:pt idx="8">
                  <c:v>3.2</c:v>
                </c:pt>
                <c:pt idx="9">
                  <c:v>1.7</c:v>
                </c:pt>
                <c:pt idx="10">
                  <c:v>1.5</c:v>
                </c:pt>
                <c:pt idx="11">
                  <c:v>0</c:v>
                </c:pt>
                <c:pt idx="12">
                  <c:v>2.9</c:v>
                </c:pt>
                <c:pt idx="13">
                  <c:v>5.9</c:v>
                </c:pt>
                <c:pt idx="14">
                  <c:v>11.599775814281102</c:v>
                </c:pt>
                <c:pt idx="15">
                  <c:v>5</c:v>
                </c:pt>
                <c:pt idx="16">
                  <c:v>9.599775814281102</c:v>
                </c:pt>
                <c:pt idx="17">
                  <c:v>9.599775814281102</c:v>
                </c:pt>
                <c:pt idx="18">
                  <c:v>5.9</c:v>
                </c:pt>
                <c:pt idx="19">
                  <c:v>5.9</c:v>
                </c:pt>
                <c:pt idx="20">
                  <c:v>11.599775814281102</c:v>
                </c:pt>
                <c:pt idx="21">
                  <c:v>2.548630594522378</c:v>
                </c:pt>
                <c:pt idx="22">
                  <c:v>2.548630594522378</c:v>
                </c:pt>
                <c:pt idx="23">
                  <c:v>2.548630594522378</c:v>
                </c:pt>
                <c:pt idx="24">
                  <c:v>2.261705594522378</c:v>
                </c:pt>
                <c:pt idx="25">
                  <c:v>4.3</c:v>
                </c:pt>
                <c:pt idx="26">
                  <c:v>5.438575858109092</c:v>
                </c:pt>
                <c:pt idx="27">
                  <c:v>0.926127338121528</c:v>
                </c:pt>
                <c:pt idx="28">
                  <c:v>2.3516281962306205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  <c:pt idx="32">
                  <c:v>1.5</c:v>
                </c:pt>
                <c:pt idx="33">
                  <c:v>1.7</c:v>
                </c:pt>
                <c:pt idx="34">
                  <c:v>1.7</c:v>
                </c:pt>
                <c:pt idx="35">
                  <c:v>3.2</c:v>
                </c:pt>
                <c:pt idx="36">
                  <c:v>3.2</c:v>
                </c:pt>
                <c:pt idx="37">
                  <c:v>3.4000000000000004</c:v>
                </c:pt>
                <c:pt idx="38">
                  <c:v>3.4000000000000004</c:v>
                </c:pt>
                <c:pt idx="39">
                  <c:v>4.8</c:v>
                </c:pt>
                <c:pt idx="40">
                  <c:v>4.8</c:v>
                </c:pt>
              </c:numCache>
            </c:numRef>
          </c:xVal>
          <c:yVal>
            <c:numRef>
              <c:f>'段切り基礎擁壁'!$AL$7:$AL$47</c:f>
              <c:numCache>
                <c:ptCount val="41"/>
                <c:pt idx="27">
                  <c:v>0</c:v>
                </c:pt>
                <c:pt idx="28">
                  <c:v>3.64300339946397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'段切り基礎擁壁'!$AM$6</c:f>
              <c:strCache>
                <c:ptCount val="1"/>
                <c:pt idx="0">
                  <c:v>１段目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2.9</c:v>
                </c:pt>
                <c:pt idx="5">
                  <c:v>5</c:v>
                </c:pt>
                <c:pt idx="6">
                  <c:v>4.8</c:v>
                </c:pt>
                <c:pt idx="7">
                  <c:v>3.4000000000000004</c:v>
                </c:pt>
                <c:pt idx="8">
                  <c:v>3.2</c:v>
                </c:pt>
                <c:pt idx="9">
                  <c:v>1.7</c:v>
                </c:pt>
                <c:pt idx="10">
                  <c:v>1.5</c:v>
                </c:pt>
                <c:pt idx="11">
                  <c:v>0</c:v>
                </c:pt>
                <c:pt idx="12">
                  <c:v>2.9</c:v>
                </c:pt>
                <c:pt idx="13">
                  <c:v>5.9</c:v>
                </c:pt>
                <c:pt idx="14">
                  <c:v>11.599775814281102</c:v>
                </c:pt>
                <c:pt idx="15">
                  <c:v>5</c:v>
                </c:pt>
                <c:pt idx="16">
                  <c:v>9.599775814281102</c:v>
                </c:pt>
                <c:pt idx="17">
                  <c:v>9.599775814281102</c:v>
                </c:pt>
                <c:pt idx="18">
                  <c:v>5.9</c:v>
                </c:pt>
                <c:pt idx="19">
                  <c:v>5.9</c:v>
                </c:pt>
                <c:pt idx="20">
                  <c:v>11.599775814281102</c:v>
                </c:pt>
                <c:pt idx="21">
                  <c:v>2.548630594522378</c:v>
                </c:pt>
                <c:pt idx="22">
                  <c:v>2.548630594522378</c:v>
                </c:pt>
                <c:pt idx="23">
                  <c:v>2.548630594522378</c:v>
                </c:pt>
                <c:pt idx="24">
                  <c:v>2.261705594522378</c:v>
                </c:pt>
                <c:pt idx="25">
                  <c:v>4.3</c:v>
                </c:pt>
                <c:pt idx="26">
                  <c:v>5.438575858109092</c:v>
                </c:pt>
                <c:pt idx="27">
                  <c:v>0.926127338121528</c:v>
                </c:pt>
                <c:pt idx="28">
                  <c:v>2.3516281962306205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  <c:pt idx="32">
                  <c:v>1.5</c:v>
                </c:pt>
                <c:pt idx="33">
                  <c:v>1.7</c:v>
                </c:pt>
                <c:pt idx="34">
                  <c:v>1.7</c:v>
                </c:pt>
                <c:pt idx="35">
                  <c:v>3.2</c:v>
                </c:pt>
                <c:pt idx="36">
                  <c:v>3.2</c:v>
                </c:pt>
                <c:pt idx="37">
                  <c:v>3.4000000000000004</c:v>
                </c:pt>
                <c:pt idx="38">
                  <c:v>3.4000000000000004</c:v>
                </c:pt>
                <c:pt idx="39">
                  <c:v>4.8</c:v>
                </c:pt>
                <c:pt idx="40">
                  <c:v>4.8</c:v>
                </c:pt>
              </c:numCache>
            </c:numRef>
          </c:xVal>
          <c:yVal>
            <c:numRef>
              <c:f>'段切り基礎擁壁'!$AM$7:$AM$47</c:f>
              <c:numCache>
                <c:ptCount val="41"/>
                <c:pt idx="29">
                  <c:v>0</c:v>
                </c:pt>
                <c:pt idx="30">
                  <c:v>-4.6774000000000004</c:v>
                </c:pt>
                <c:pt idx="31">
                  <c:v>-2.5726</c:v>
                </c:pt>
                <c:pt idx="32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'段切り基礎擁壁'!$AN$6</c:f>
              <c:strCache>
                <c:ptCount val="1"/>
                <c:pt idx="0">
                  <c:v>２段目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2.9</c:v>
                </c:pt>
                <c:pt idx="5">
                  <c:v>5</c:v>
                </c:pt>
                <c:pt idx="6">
                  <c:v>4.8</c:v>
                </c:pt>
                <c:pt idx="7">
                  <c:v>3.4000000000000004</c:v>
                </c:pt>
                <c:pt idx="8">
                  <c:v>3.2</c:v>
                </c:pt>
                <c:pt idx="9">
                  <c:v>1.7</c:v>
                </c:pt>
                <c:pt idx="10">
                  <c:v>1.5</c:v>
                </c:pt>
                <c:pt idx="11">
                  <c:v>0</c:v>
                </c:pt>
                <c:pt idx="12">
                  <c:v>2.9</c:v>
                </c:pt>
                <c:pt idx="13">
                  <c:v>5.9</c:v>
                </c:pt>
                <c:pt idx="14">
                  <c:v>11.599775814281102</c:v>
                </c:pt>
                <c:pt idx="15">
                  <c:v>5</c:v>
                </c:pt>
                <c:pt idx="16">
                  <c:v>9.599775814281102</c:v>
                </c:pt>
                <c:pt idx="17">
                  <c:v>9.599775814281102</c:v>
                </c:pt>
                <c:pt idx="18">
                  <c:v>5.9</c:v>
                </c:pt>
                <c:pt idx="19">
                  <c:v>5.9</c:v>
                </c:pt>
                <c:pt idx="20">
                  <c:v>11.599775814281102</c:v>
                </c:pt>
                <c:pt idx="21">
                  <c:v>2.548630594522378</c:v>
                </c:pt>
                <c:pt idx="22">
                  <c:v>2.548630594522378</c:v>
                </c:pt>
                <c:pt idx="23">
                  <c:v>2.548630594522378</c:v>
                </c:pt>
                <c:pt idx="24">
                  <c:v>2.261705594522378</c:v>
                </c:pt>
                <c:pt idx="25">
                  <c:v>4.3</c:v>
                </c:pt>
                <c:pt idx="26">
                  <c:v>5.438575858109092</c:v>
                </c:pt>
                <c:pt idx="27">
                  <c:v>0.926127338121528</c:v>
                </c:pt>
                <c:pt idx="28">
                  <c:v>2.3516281962306205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  <c:pt idx="32">
                  <c:v>1.5</c:v>
                </c:pt>
                <c:pt idx="33">
                  <c:v>1.7</c:v>
                </c:pt>
                <c:pt idx="34">
                  <c:v>1.7</c:v>
                </c:pt>
                <c:pt idx="35">
                  <c:v>3.2</c:v>
                </c:pt>
                <c:pt idx="36">
                  <c:v>3.2</c:v>
                </c:pt>
                <c:pt idx="37">
                  <c:v>3.4000000000000004</c:v>
                </c:pt>
                <c:pt idx="38">
                  <c:v>3.4000000000000004</c:v>
                </c:pt>
                <c:pt idx="39">
                  <c:v>4.8</c:v>
                </c:pt>
                <c:pt idx="40">
                  <c:v>4.8</c:v>
                </c:pt>
              </c:numCache>
            </c:numRef>
          </c:xVal>
          <c:yVal>
            <c:numRef>
              <c:f>'段切り基礎擁壁'!$AN$7:$AN$47</c:f>
              <c:numCache>
                <c:ptCount val="41"/>
                <c:pt idx="33">
                  <c:v>1</c:v>
                </c:pt>
                <c:pt idx="34">
                  <c:v>-1.2919</c:v>
                </c:pt>
                <c:pt idx="35">
                  <c:v>0.8129</c:v>
                </c:pt>
                <c:pt idx="36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'段切り基礎擁壁'!$AO$6</c:f>
              <c:strCache>
                <c:ptCount val="1"/>
                <c:pt idx="0">
                  <c:v>３段目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2.5</c:v>
                </c:pt>
                <c:pt idx="4">
                  <c:v>2.9</c:v>
                </c:pt>
                <c:pt idx="5">
                  <c:v>5</c:v>
                </c:pt>
                <c:pt idx="6">
                  <c:v>4.8</c:v>
                </c:pt>
                <c:pt idx="7">
                  <c:v>3.4000000000000004</c:v>
                </c:pt>
                <c:pt idx="8">
                  <c:v>3.2</c:v>
                </c:pt>
                <c:pt idx="9">
                  <c:v>1.7</c:v>
                </c:pt>
                <c:pt idx="10">
                  <c:v>1.5</c:v>
                </c:pt>
                <c:pt idx="11">
                  <c:v>0</c:v>
                </c:pt>
                <c:pt idx="12">
                  <c:v>2.9</c:v>
                </c:pt>
                <c:pt idx="13">
                  <c:v>5.9</c:v>
                </c:pt>
                <c:pt idx="14">
                  <c:v>11.599775814281102</c:v>
                </c:pt>
                <c:pt idx="15">
                  <c:v>5</c:v>
                </c:pt>
                <c:pt idx="16">
                  <c:v>9.599775814281102</c:v>
                </c:pt>
                <c:pt idx="17">
                  <c:v>9.599775814281102</c:v>
                </c:pt>
                <c:pt idx="18">
                  <c:v>5.9</c:v>
                </c:pt>
                <c:pt idx="19">
                  <c:v>5.9</c:v>
                </c:pt>
                <c:pt idx="20">
                  <c:v>11.599775814281102</c:v>
                </c:pt>
                <c:pt idx="21">
                  <c:v>2.548630594522378</c:v>
                </c:pt>
                <c:pt idx="22">
                  <c:v>2.548630594522378</c:v>
                </c:pt>
                <c:pt idx="23">
                  <c:v>2.548630594522378</c:v>
                </c:pt>
                <c:pt idx="24">
                  <c:v>2.261705594522378</c:v>
                </c:pt>
                <c:pt idx="25">
                  <c:v>4.3</c:v>
                </c:pt>
                <c:pt idx="26">
                  <c:v>5.438575858109092</c:v>
                </c:pt>
                <c:pt idx="27">
                  <c:v>0.926127338121528</c:v>
                </c:pt>
                <c:pt idx="28">
                  <c:v>2.3516281962306205</c:v>
                </c:pt>
                <c:pt idx="29">
                  <c:v>0</c:v>
                </c:pt>
                <c:pt idx="30">
                  <c:v>0</c:v>
                </c:pt>
                <c:pt idx="31">
                  <c:v>1.5</c:v>
                </c:pt>
                <c:pt idx="32">
                  <c:v>1.5</c:v>
                </c:pt>
                <c:pt idx="33">
                  <c:v>1.7</c:v>
                </c:pt>
                <c:pt idx="34">
                  <c:v>1.7</c:v>
                </c:pt>
                <c:pt idx="35">
                  <c:v>3.2</c:v>
                </c:pt>
                <c:pt idx="36">
                  <c:v>3.2</c:v>
                </c:pt>
                <c:pt idx="37">
                  <c:v>3.4000000000000004</c:v>
                </c:pt>
                <c:pt idx="38">
                  <c:v>3.4000000000000004</c:v>
                </c:pt>
                <c:pt idx="39">
                  <c:v>4.8</c:v>
                </c:pt>
                <c:pt idx="40">
                  <c:v>4.8</c:v>
                </c:pt>
              </c:numCache>
            </c:numRef>
          </c:xVal>
          <c:yVal>
            <c:numRef>
              <c:f>'段切り基礎擁壁'!$AO$7:$AO$47</c:f>
              <c:numCache>
                <c:ptCount val="41"/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</c:numCache>
            </c:numRef>
          </c:yVal>
          <c:smooth val="0"/>
        </c:ser>
        <c:axId val="39461965"/>
        <c:axId val="19613366"/>
      </c:scatterChart>
      <c:valAx>
        <c:axId val="39461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13366"/>
        <c:crosses val="autoZero"/>
        <c:crossBetween val="midCat"/>
        <c:dispUnits/>
      </c:valAx>
      <c:valAx>
        <c:axId val="196133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6196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'段切り基礎擁壁'!$G$132</c:f>
              <c:strCache>
                <c:ptCount val="1"/>
                <c:pt idx="0">
                  <c:v>PA(kN/m)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'段切り基礎擁壁'!$C$133:$C$143</c:f>
              <c:numCache/>
            </c:numRef>
          </c:cat>
          <c:val>
            <c:numRef>
              <c:f>'段切り基礎擁壁'!$G$133:$G$143</c:f>
              <c:numCache/>
            </c:numRef>
          </c:val>
          <c:smooth val="0"/>
        </c:ser>
        <c:dropLines>
          <c:spPr>
            <a:ln w="12700">
              <a:solidFill/>
            </a:ln>
          </c:spPr>
        </c:dropLines>
        <c:marker val="1"/>
        <c:axId val="42302567"/>
        <c:axId val="45178784"/>
      </c:lineChart>
      <c:catAx>
        <c:axId val="42302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すべり角ω(deg)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45178784"/>
        <c:crosses val="autoZero"/>
        <c:auto val="1"/>
        <c:lblOffset val="100"/>
        <c:noMultiLvlLbl val="0"/>
      </c:catAx>
      <c:valAx>
        <c:axId val="45178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/>
                  <a:t>P</a:t>
                </a:r>
                <a:r>
                  <a:rPr lang="en-US" cap="none" sz="850" b="0" i="1" u="none" baseline="-25000"/>
                  <a:t>A</a:t>
                </a:r>
                <a:r>
                  <a:rPr lang="en-US" cap="none" sz="850" b="0" i="0" u="none" baseline="0"/>
                  <a:t>(kN/m)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42302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75"/>
          <c:h val="0.99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'段切り基礎擁壁'!$AE$5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'段切り基礎擁壁'!$AD$7:$AD$35</c:f>
              <c:numCache/>
            </c:numRef>
          </c:xVal>
          <c:yVal>
            <c:numRef>
              <c:f>'段切り基礎擁壁'!$AE$7:$AE$35</c:f>
              <c:numCache/>
            </c:numRef>
          </c:yVal>
          <c:smooth val="0"/>
        </c:ser>
        <c:ser>
          <c:idx val="1"/>
          <c:order val="1"/>
          <c:tx>
            <c:strRef>
              <c:f>'段切り基礎擁壁'!$AF$6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'段切り基礎擁壁'!$AD$7:$AD$35</c:f>
              <c:numCache/>
            </c:numRef>
          </c:xVal>
          <c:yVal>
            <c:numRef>
              <c:f>'段切り基礎擁壁'!$AF$7:$AF$35</c:f>
              <c:numCache/>
            </c:numRef>
          </c:yVal>
          <c:smooth val="0"/>
        </c:ser>
        <c:ser>
          <c:idx val="2"/>
          <c:order val="2"/>
          <c:tx>
            <c:strRef>
              <c:f>'段切り基礎擁壁'!$AG$6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'段切り基礎擁壁'!$AD$7:$AD$35</c:f>
              <c:numCache/>
            </c:numRef>
          </c:xVal>
          <c:yVal>
            <c:numRef>
              <c:f>'段切り基礎擁壁'!$AG$7:$AG$35</c:f>
              <c:numCache/>
            </c:numRef>
          </c:yVal>
          <c:smooth val="0"/>
        </c:ser>
        <c:ser>
          <c:idx val="3"/>
          <c:order val="3"/>
          <c:tx>
            <c:strRef>
              <c:f>'段切り基礎擁壁'!$AH$6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'段切り基礎擁壁'!$AD$7:$AD$35</c:f>
              <c:numCache/>
            </c:numRef>
          </c:xVal>
          <c:yVal>
            <c:numRef>
              <c:f>'段切り基礎擁壁'!$AH$7:$AH$35</c:f>
              <c:numCache/>
            </c:numRef>
          </c:yVal>
          <c:smooth val="0"/>
        </c:ser>
        <c:ser>
          <c:idx val="4"/>
          <c:order val="4"/>
          <c:tx>
            <c:strRef>
              <c:f>'段切り基礎擁壁'!$AI$6</c:f>
              <c:strCache>
                <c:ptCount val="1"/>
                <c:pt idx="0">
                  <c:v>自重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'段切り基礎擁壁'!$AD$7:$AD$35</c:f>
              <c:numCache/>
            </c:numRef>
          </c:xVal>
          <c:yVal>
            <c:numRef>
              <c:f>'段切り基礎擁壁'!$AI$7:$AI$35</c:f>
              <c:numCache/>
            </c:numRef>
          </c:yVal>
          <c:smooth val="0"/>
        </c:ser>
        <c:ser>
          <c:idx val="5"/>
          <c:order val="5"/>
          <c:tx>
            <c:strRef>
              <c:f>'段切り基礎擁壁'!$AJ$6</c:f>
              <c:strCache>
                <c:ptCount val="1"/>
                <c:pt idx="0">
                  <c:v>慣性力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'段切り基礎擁壁'!$AD$7:$AD$35</c:f>
              <c:numCache/>
            </c:numRef>
          </c:xVal>
          <c:yVal>
            <c:numRef>
              <c:f>'段切り基礎擁壁'!$AJ$7:$AJ$35</c:f>
              <c:numCache/>
            </c:numRef>
          </c:yVal>
          <c:smooth val="0"/>
        </c:ser>
        <c:ser>
          <c:idx val="6"/>
          <c:order val="6"/>
          <c:tx>
            <c:strRef>
              <c:f>'段切り基礎擁壁'!$AK$6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'段切り基礎擁壁'!$AD$7:$AD$35</c:f>
              <c:numCache/>
            </c:numRef>
          </c:xVal>
          <c:yVal>
            <c:numRef>
              <c:f>'段切り基礎擁壁'!$AK$7:$AK$35</c:f>
              <c:numCache/>
            </c:numRef>
          </c:yVal>
          <c:smooth val="0"/>
        </c:ser>
        <c:ser>
          <c:idx val="7"/>
          <c:order val="7"/>
          <c:tx>
            <c:strRef>
              <c:f>'段切り基礎擁壁'!$AL$6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'段切り基礎擁壁'!$AD$7:$AD$35</c:f>
              <c:numCache/>
            </c:numRef>
          </c:xVal>
          <c:yVal>
            <c:numRef>
              <c:f>'段切り基礎擁壁'!$AL$7:$AL$35</c:f>
              <c:numCache/>
            </c:numRef>
          </c:yVal>
          <c:smooth val="0"/>
        </c:ser>
        <c:axId val="3955873"/>
        <c:axId val="35602858"/>
      </c:scatterChart>
      <c:valAx>
        <c:axId val="3955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35602858"/>
        <c:crosses val="autoZero"/>
        <c:crossBetween val="midCat"/>
        <c:dispUnits/>
      </c:valAx>
      <c:valAx>
        <c:axId val="356028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39558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"/>
          <c:w val="0.97025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'段切り基礎擁壁'!$AE$5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/>
            </c:numRef>
          </c:xVal>
          <c:yVal>
            <c:numRef>
              <c:f>'段切り基礎擁壁'!$AE$7:$AE$47</c:f>
              <c:numCache/>
            </c:numRef>
          </c:yVal>
          <c:smooth val="0"/>
        </c:ser>
        <c:ser>
          <c:idx val="1"/>
          <c:order val="1"/>
          <c:tx>
            <c:strRef>
              <c:f>'段切り基礎擁壁'!$AF$6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/>
            </c:numRef>
          </c:xVal>
          <c:yVal>
            <c:numRef>
              <c:f>'段切り基礎擁壁'!$AF$7:$AF$47</c:f>
              <c:numCache/>
            </c:numRef>
          </c:yVal>
          <c:smooth val="0"/>
        </c:ser>
        <c:ser>
          <c:idx val="2"/>
          <c:order val="2"/>
          <c:tx>
            <c:strRef>
              <c:f>'段切り基礎擁壁'!$AG$6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/>
            </c:numRef>
          </c:xVal>
          <c:yVal>
            <c:numRef>
              <c:f>'段切り基礎擁壁'!$AG$7:$AG$47</c:f>
              <c:numCache/>
            </c:numRef>
          </c:yVal>
          <c:smooth val="0"/>
        </c:ser>
        <c:ser>
          <c:idx val="3"/>
          <c:order val="3"/>
          <c:tx>
            <c:strRef>
              <c:f>'段切り基礎擁壁'!$AL$6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/>
            </c:numRef>
          </c:xVal>
          <c:yVal>
            <c:numRef>
              <c:f>'段切り基礎擁壁'!$AL$7:$AL$47</c:f>
              <c:numCache/>
            </c:numRef>
          </c:yVal>
          <c:smooth val="0"/>
        </c:ser>
        <c:ser>
          <c:idx val="4"/>
          <c:order val="4"/>
          <c:tx>
            <c:strRef>
              <c:f>'段切り基礎擁壁'!$AM$6</c:f>
              <c:strCache>
                <c:ptCount val="1"/>
                <c:pt idx="0">
                  <c:v>１段目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/>
            </c:numRef>
          </c:xVal>
          <c:yVal>
            <c:numRef>
              <c:f>'段切り基礎擁壁'!$AM$7:$AM$47</c:f>
              <c:numCache/>
            </c:numRef>
          </c:yVal>
          <c:smooth val="0"/>
        </c:ser>
        <c:ser>
          <c:idx val="5"/>
          <c:order val="5"/>
          <c:tx>
            <c:strRef>
              <c:f>'段切り基礎擁壁'!$AN$6</c:f>
              <c:strCache>
                <c:ptCount val="1"/>
                <c:pt idx="0">
                  <c:v>２段目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/>
            </c:numRef>
          </c:xVal>
          <c:yVal>
            <c:numRef>
              <c:f>'段切り基礎擁壁'!$AN$7:$AN$47</c:f>
              <c:numCache/>
            </c:numRef>
          </c:yVal>
          <c:smooth val="0"/>
        </c:ser>
        <c:ser>
          <c:idx val="6"/>
          <c:order val="6"/>
          <c:tx>
            <c:strRef>
              <c:f>'段切り基礎擁壁'!$AO$6</c:f>
              <c:strCache>
                <c:ptCount val="1"/>
                <c:pt idx="0">
                  <c:v>３段目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/>
            </c:numRef>
          </c:xVal>
          <c:yVal>
            <c:numRef>
              <c:f>'段切り基礎擁壁'!$AO$7:$AO$47</c:f>
              <c:numCache/>
            </c:numRef>
          </c:yVal>
          <c:smooth val="0"/>
        </c:ser>
        <c:axId val="51990267"/>
        <c:axId val="65259220"/>
      </c:scatterChart>
      <c:valAx>
        <c:axId val="51990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59220"/>
        <c:crosses val="autoZero"/>
        <c:crossBetween val="midCat"/>
        <c:dispUnits/>
      </c:valAx>
      <c:valAx>
        <c:axId val="652592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902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"/>
          <c:w val="0.9445"/>
          <c:h val="0.93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'段切り基礎擁壁'!$AE$5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/>
            </c:numRef>
          </c:xVal>
          <c:yVal>
            <c:numRef>
              <c:f>'段切り基礎擁壁'!$AE$7:$AE$47</c:f>
              <c:numCache/>
            </c:numRef>
          </c:yVal>
          <c:smooth val="0"/>
        </c:ser>
        <c:ser>
          <c:idx val="1"/>
          <c:order val="1"/>
          <c:tx>
            <c:strRef>
              <c:f>'段切り基礎擁壁'!$AF$6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/>
            </c:numRef>
          </c:xVal>
          <c:yVal>
            <c:numRef>
              <c:f>'段切り基礎擁壁'!$AF$7:$AF$47</c:f>
              <c:numCache/>
            </c:numRef>
          </c:yVal>
          <c:smooth val="0"/>
        </c:ser>
        <c:ser>
          <c:idx val="2"/>
          <c:order val="2"/>
          <c:tx>
            <c:strRef>
              <c:f>'段切り基礎擁壁'!$AG$6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'段切り基礎擁壁'!$AD$7:$AD$47</c:f>
              <c:numCache/>
            </c:numRef>
          </c:xVal>
          <c:yVal>
            <c:numRef>
              <c:f>'段切り基礎擁壁'!$AG$7:$AG$47</c:f>
              <c:numCache/>
            </c:numRef>
          </c:yVal>
          <c:smooth val="0"/>
        </c:ser>
        <c:axId val="50462069"/>
        <c:axId val="51505438"/>
      </c:scatterChart>
      <c:valAx>
        <c:axId val="50462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05438"/>
        <c:crosses val="autoZero"/>
        <c:crossBetween val="midCat"/>
        <c:dispUnits/>
      </c:valAx>
      <c:valAx>
        <c:axId val="515054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620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'段切り基礎擁壁'!$E$420</c:f>
              <c:strCache>
                <c:ptCount val="1"/>
                <c:pt idx="0">
                  <c:v>y(m)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'段切り基礎擁壁'!$D$421:$D$429</c:f>
              <c:numCache/>
            </c:numRef>
          </c:xVal>
          <c:yVal>
            <c:numRef>
              <c:f>'段切り基礎擁壁'!$E$421:$E$429</c:f>
              <c:numCache/>
            </c:numRef>
          </c:yVal>
          <c:smooth val="0"/>
        </c:ser>
        <c:axId val="60895759"/>
        <c:axId val="11190920"/>
      </c:scatterChart>
      <c:valAx>
        <c:axId val="60895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190920"/>
        <c:crosses val="autoZero"/>
        <c:crossBetween val="midCat"/>
        <c:dispUnits/>
      </c:valAx>
      <c:valAx>
        <c:axId val="111909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8957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'段切り基礎擁壁'!$E$370</c:f>
              <c:strCache>
                <c:ptCount val="1"/>
                <c:pt idx="0">
                  <c:v>y(m)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'段切り基礎擁壁'!$D$371:$D$377</c:f>
              <c:numCache/>
            </c:numRef>
          </c:xVal>
          <c:yVal>
            <c:numRef>
              <c:f>'段切り基礎擁壁'!$E$371:$E$377</c:f>
              <c:numCache/>
            </c:numRef>
          </c:yVal>
          <c:smooth val="0"/>
        </c:ser>
        <c:axId val="33609417"/>
        <c:axId val="34049298"/>
      </c:scatterChart>
      <c:valAx>
        <c:axId val="33609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049298"/>
        <c:crosses val="autoZero"/>
        <c:crossBetween val="midCat"/>
        <c:dispUnits/>
      </c:valAx>
      <c:valAx>
        <c:axId val="340492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6094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Relationship Id="rId5" Type="http://schemas.openxmlformats.org/officeDocument/2006/relationships/chart" Target="/xl/charts/chart2.xml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chart" Target="/xl/charts/chart3.xml" /><Relationship Id="rId9" Type="http://schemas.openxmlformats.org/officeDocument/2006/relationships/chart" Target="/xl/charts/chart4.xml" /><Relationship Id="rId10" Type="http://schemas.openxmlformats.org/officeDocument/2006/relationships/image" Target="../media/image9.emf" /><Relationship Id="rId11" Type="http://schemas.openxmlformats.org/officeDocument/2006/relationships/image" Target="../media/image17.emf" /><Relationship Id="rId12" Type="http://schemas.openxmlformats.org/officeDocument/2006/relationships/image" Target="../media/image18.emf" /><Relationship Id="rId13" Type="http://schemas.openxmlformats.org/officeDocument/2006/relationships/image" Target="../media/image19.emf" /><Relationship Id="rId14" Type="http://schemas.openxmlformats.org/officeDocument/2006/relationships/image" Target="../media/image21.emf" /><Relationship Id="rId15" Type="http://schemas.openxmlformats.org/officeDocument/2006/relationships/image" Target="../media/image13.emf" /><Relationship Id="rId16" Type="http://schemas.openxmlformats.org/officeDocument/2006/relationships/image" Target="../media/image10.emf" /><Relationship Id="rId17" Type="http://schemas.openxmlformats.org/officeDocument/2006/relationships/image" Target="../media/image14.emf" /><Relationship Id="rId18" Type="http://schemas.openxmlformats.org/officeDocument/2006/relationships/image" Target="../media/image22.emf" /><Relationship Id="rId19" Type="http://schemas.openxmlformats.org/officeDocument/2006/relationships/image" Target="../media/image23.emf" /><Relationship Id="rId20" Type="http://schemas.openxmlformats.org/officeDocument/2006/relationships/image" Target="../media/image25.emf" /><Relationship Id="rId21" Type="http://schemas.openxmlformats.org/officeDocument/2006/relationships/image" Target="../media/image24.emf" /><Relationship Id="rId22" Type="http://schemas.openxmlformats.org/officeDocument/2006/relationships/image" Target="../media/image27.emf" /><Relationship Id="rId23" Type="http://schemas.openxmlformats.org/officeDocument/2006/relationships/image" Target="../media/image28.emf" /><Relationship Id="rId24" Type="http://schemas.openxmlformats.org/officeDocument/2006/relationships/image" Target="../media/image29.emf" /><Relationship Id="rId25" Type="http://schemas.openxmlformats.org/officeDocument/2006/relationships/image" Target="../media/image30.emf" /><Relationship Id="rId26" Type="http://schemas.openxmlformats.org/officeDocument/2006/relationships/image" Target="../media/image31.emf" /><Relationship Id="rId27" Type="http://schemas.openxmlformats.org/officeDocument/2006/relationships/image" Target="../media/image26.emf" /><Relationship Id="rId28" Type="http://schemas.openxmlformats.org/officeDocument/2006/relationships/image" Target="../media/image32.emf" /><Relationship Id="rId29" Type="http://schemas.openxmlformats.org/officeDocument/2006/relationships/image" Target="../media/image33.emf" /><Relationship Id="rId30" Type="http://schemas.openxmlformats.org/officeDocument/2006/relationships/image" Target="../media/image34.emf" /><Relationship Id="rId31" Type="http://schemas.openxmlformats.org/officeDocument/2006/relationships/image" Target="../media/image35.emf" /><Relationship Id="rId32" Type="http://schemas.openxmlformats.org/officeDocument/2006/relationships/chart" Target="/xl/charts/chart5.xml" /><Relationship Id="rId33" Type="http://schemas.openxmlformats.org/officeDocument/2006/relationships/image" Target="../media/image46.emf" /><Relationship Id="rId34" Type="http://schemas.openxmlformats.org/officeDocument/2006/relationships/image" Target="../media/image4.emf" /><Relationship Id="rId35" Type="http://schemas.openxmlformats.org/officeDocument/2006/relationships/chart" Target="/xl/charts/chart6.xml" /><Relationship Id="rId36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51.emf" /><Relationship Id="rId3" Type="http://schemas.openxmlformats.org/officeDocument/2006/relationships/image" Target="../media/image43.emf" /><Relationship Id="rId4" Type="http://schemas.openxmlformats.org/officeDocument/2006/relationships/image" Target="../media/image44.emf" /><Relationship Id="rId5" Type="http://schemas.openxmlformats.org/officeDocument/2006/relationships/image" Target="../media/image49.emf" /><Relationship Id="rId6" Type="http://schemas.openxmlformats.org/officeDocument/2006/relationships/image" Target="../media/image48.emf" /><Relationship Id="rId7" Type="http://schemas.openxmlformats.org/officeDocument/2006/relationships/image" Target="../media/image15.emf" /><Relationship Id="rId8" Type="http://schemas.openxmlformats.org/officeDocument/2006/relationships/image" Target="../media/image2.emf" /><Relationship Id="rId9" Type="http://schemas.openxmlformats.org/officeDocument/2006/relationships/image" Target="../media/image45.emf" /><Relationship Id="rId10" Type="http://schemas.openxmlformats.org/officeDocument/2006/relationships/image" Target="../media/image50.emf" /><Relationship Id="rId11" Type="http://schemas.openxmlformats.org/officeDocument/2006/relationships/image" Target="../media/image41.emf" /><Relationship Id="rId12" Type="http://schemas.openxmlformats.org/officeDocument/2006/relationships/image" Target="../media/image16.emf" /><Relationship Id="rId13" Type="http://schemas.openxmlformats.org/officeDocument/2006/relationships/image" Target="../media/image38.emf" /><Relationship Id="rId14" Type="http://schemas.openxmlformats.org/officeDocument/2006/relationships/image" Target="../media/image40.emf" /><Relationship Id="rId15" Type="http://schemas.openxmlformats.org/officeDocument/2006/relationships/image" Target="../media/image12.emf" /><Relationship Id="rId16" Type="http://schemas.openxmlformats.org/officeDocument/2006/relationships/image" Target="../media/image42.emf" /><Relationship Id="rId17" Type="http://schemas.openxmlformats.org/officeDocument/2006/relationships/image" Target="../media/image47.emf" /><Relationship Id="rId18" Type="http://schemas.openxmlformats.org/officeDocument/2006/relationships/image" Target="../media/image39.emf" /><Relationship Id="rId19" Type="http://schemas.openxmlformats.org/officeDocument/2006/relationships/image" Target="../media/image37.emf" /><Relationship Id="rId20" Type="http://schemas.openxmlformats.org/officeDocument/2006/relationships/image" Target="../media/image3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142875</xdr:rowOff>
    </xdr:from>
    <xdr:to>
      <xdr:col>10</xdr:col>
      <xdr:colOff>638175</xdr:colOff>
      <xdr:row>17</xdr:row>
      <xdr:rowOff>66675</xdr:rowOff>
    </xdr:to>
    <xdr:sp>
      <xdr:nvSpPr>
        <xdr:cNvPr id="1" name="Polygon 36"/>
        <xdr:cNvSpPr>
          <a:spLocks/>
        </xdr:cNvSpPr>
      </xdr:nvSpPr>
      <xdr:spPr>
        <a:xfrm>
          <a:off x="3457575" y="523875"/>
          <a:ext cx="4038600" cy="3048000"/>
        </a:xfrm>
        <a:custGeom>
          <a:pathLst>
            <a:path h="320" w="424">
              <a:moveTo>
                <a:pt x="0" y="320"/>
              </a:moveTo>
              <a:lnTo>
                <a:pt x="0" y="279"/>
              </a:lnTo>
              <a:lnTo>
                <a:pt x="228" y="192"/>
              </a:lnTo>
              <a:lnTo>
                <a:pt x="199" y="65"/>
              </a:lnTo>
              <a:lnTo>
                <a:pt x="297" y="0"/>
              </a:lnTo>
              <a:lnTo>
                <a:pt x="424" y="0"/>
              </a:lnTo>
              <a:lnTo>
                <a:pt x="424" y="120"/>
              </a:lnTo>
              <a:lnTo>
                <a:pt x="232" y="210"/>
              </a:lnTo>
              <a:lnTo>
                <a:pt x="0" y="320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47625</xdr:rowOff>
    </xdr:from>
    <xdr:to>
      <xdr:col>10</xdr:col>
      <xdr:colOff>638175</xdr:colOff>
      <xdr:row>18</xdr:row>
      <xdr:rowOff>9525</xdr:rowOff>
    </xdr:to>
    <xdr:sp>
      <xdr:nvSpPr>
        <xdr:cNvPr id="2" name="Polygon 35"/>
        <xdr:cNvSpPr>
          <a:spLocks/>
        </xdr:cNvSpPr>
      </xdr:nvSpPr>
      <xdr:spPr>
        <a:xfrm>
          <a:off x="3457575" y="1666875"/>
          <a:ext cx="4038600" cy="2057400"/>
        </a:xfrm>
        <a:custGeom>
          <a:pathLst>
            <a:path h="216" w="424">
              <a:moveTo>
                <a:pt x="0" y="201"/>
              </a:moveTo>
              <a:lnTo>
                <a:pt x="424" y="0"/>
              </a:lnTo>
              <a:lnTo>
                <a:pt x="424" y="216"/>
              </a:lnTo>
              <a:lnTo>
                <a:pt x="0" y="216"/>
              </a:lnTo>
              <a:lnTo>
                <a:pt x="0" y="201"/>
              </a:lnTo>
              <a:close/>
            </a:path>
          </a:pathLst>
        </a:custGeom>
        <a:solidFill>
          <a:srgbClr val="CC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0</xdr:row>
      <xdr:rowOff>0</xdr:rowOff>
    </xdr:from>
    <xdr:to>
      <xdr:col>16</xdr:col>
      <xdr:colOff>19050</xdr:colOff>
      <xdr:row>20</xdr:row>
      <xdr:rowOff>209550</xdr:rowOff>
    </xdr:to>
    <xdr:graphicFrame>
      <xdr:nvGraphicFramePr>
        <xdr:cNvPr id="3" name="Chart 1"/>
        <xdr:cNvGraphicFramePr/>
      </xdr:nvGraphicFramePr>
      <xdr:xfrm>
        <a:off x="7629525" y="0"/>
        <a:ext cx="3362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5</xdr:row>
      <xdr:rowOff>142875</xdr:rowOff>
    </xdr:from>
    <xdr:to>
      <xdr:col>8</xdr:col>
      <xdr:colOff>190500</xdr:colOff>
      <xdr:row>15</xdr:row>
      <xdr:rowOff>190500</xdr:rowOff>
    </xdr:to>
    <xdr:sp>
      <xdr:nvSpPr>
        <xdr:cNvPr id="4" name="Polygon 29"/>
        <xdr:cNvSpPr>
          <a:spLocks/>
        </xdr:cNvSpPr>
      </xdr:nvSpPr>
      <xdr:spPr>
        <a:xfrm>
          <a:off x="4143375" y="1133475"/>
          <a:ext cx="1533525" cy="2143125"/>
        </a:xfrm>
        <a:custGeom>
          <a:pathLst>
            <a:path h="225" w="161">
              <a:moveTo>
                <a:pt x="1" y="223"/>
              </a:moveTo>
              <a:lnTo>
                <a:pt x="32" y="144"/>
              </a:lnTo>
              <a:lnTo>
                <a:pt x="57" y="144"/>
              </a:lnTo>
              <a:lnTo>
                <a:pt x="104" y="0"/>
              </a:lnTo>
              <a:lnTo>
                <a:pt x="127" y="0"/>
              </a:lnTo>
              <a:lnTo>
                <a:pt x="161" y="146"/>
              </a:lnTo>
              <a:lnTo>
                <a:pt x="153" y="168"/>
              </a:lnTo>
              <a:lnTo>
                <a:pt x="120" y="168"/>
              </a:lnTo>
              <a:lnTo>
                <a:pt x="103" y="200"/>
              </a:lnTo>
              <a:lnTo>
                <a:pt x="56" y="200"/>
              </a:lnTo>
              <a:lnTo>
                <a:pt x="48" y="225"/>
              </a:lnTo>
              <a:lnTo>
                <a:pt x="0" y="225"/>
              </a:lnTo>
              <a:lnTo>
                <a:pt x="1" y="223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15</xdr:row>
      <xdr:rowOff>180975</xdr:rowOff>
    </xdr:from>
    <xdr:to>
      <xdr:col>6</xdr:col>
      <xdr:colOff>28575</xdr:colOff>
      <xdr:row>18</xdr:row>
      <xdr:rowOff>0</xdr:rowOff>
    </xdr:to>
    <xdr:sp>
      <xdr:nvSpPr>
        <xdr:cNvPr id="5" name="Line 30"/>
        <xdr:cNvSpPr>
          <a:spLocks/>
        </xdr:cNvSpPr>
      </xdr:nvSpPr>
      <xdr:spPr>
        <a:xfrm>
          <a:off x="4143375" y="32670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15</xdr:row>
      <xdr:rowOff>190500</xdr:rowOff>
    </xdr:from>
    <xdr:to>
      <xdr:col>6</xdr:col>
      <xdr:colOff>485775</xdr:colOff>
      <xdr:row>18</xdr:row>
      <xdr:rowOff>9525</xdr:rowOff>
    </xdr:to>
    <xdr:sp>
      <xdr:nvSpPr>
        <xdr:cNvPr id="6" name="Line 31"/>
        <xdr:cNvSpPr>
          <a:spLocks/>
        </xdr:cNvSpPr>
      </xdr:nvSpPr>
      <xdr:spPr>
        <a:xfrm>
          <a:off x="4600575" y="32766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17</xdr:row>
      <xdr:rowOff>180975</xdr:rowOff>
    </xdr:from>
    <xdr:to>
      <xdr:col>6</xdr:col>
      <xdr:colOff>476250</xdr:colOff>
      <xdr:row>17</xdr:row>
      <xdr:rowOff>180975</xdr:rowOff>
    </xdr:to>
    <xdr:sp>
      <xdr:nvSpPr>
        <xdr:cNvPr id="7" name="Line 32"/>
        <xdr:cNvSpPr>
          <a:spLocks/>
        </xdr:cNvSpPr>
      </xdr:nvSpPr>
      <xdr:spPr>
        <a:xfrm>
          <a:off x="4152900" y="36861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571500</xdr:colOff>
      <xdr:row>14</xdr:row>
      <xdr:rowOff>161925</xdr:rowOff>
    </xdr:from>
    <xdr:to>
      <xdr:col>6</xdr:col>
      <xdr:colOff>571500</xdr:colOff>
      <xdr:row>16</xdr:row>
      <xdr:rowOff>200025</xdr:rowOff>
    </xdr:to>
    <xdr:sp>
      <xdr:nvSpPr>
        <xdr:cNvPr id="8" name="Line 33"/>
        <xdr:cNvSpPr>
          <a:spLocks/>
        </xdr:cNvSpPr>
      </xdr:nvSpPr>
      <xdr:spPr>
        <a:xfrm>
          <a:off x="4686300" y="3038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14</xdr:row>
      <xdr:rowOff>161925</xdr:rowOff>
    </xdr:from>
    <xdr:to>
      <xdr:col>7</xdr:col>
      <xdr:colOff>333375</xdr:colOff>
      <xdr:row>16</xdr:row>
      <xdr:rowOff>180975</xdr:rowOff>
    </xdr:to>
    <xdr:sp>
      <xdr:nvSpPr>
        <xdr:cNvPr id="9" name="Line 34"/>
        <xdr:cNvSpPr>
          <a:spLocks/>
        </xdr:cNvSpPr>
      </xdr:nvSpPr>
      <xdr:spPr>
        <a:xfrm>
          <a:off x="5133975" y="30384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</xdr:row>
      <xdr:rowOff>95250</xdr:rowOff>
    </xdr:from>
    <xdr:to>
      <xdr:col>9</xdr:col>
      <xdr:colOff>104775</xdr:colOff>
      <xdr:row>2</xdr:row>
      <xdr:rowOff>152400</xdr:rowOff>
    </xdr:to>
    <xdr:sp>
      <xdr:nvSpPr>
        <xdr:cNvPr id="10" name="Line 37"/>
        <xdr:cNvSpPr>
          <a:spLocks/>
        </xdr:cNvSpPr>
      </xdr:nvSpPr>
      <xdr:spPr>
        <a:xfrm>
          <a:off x="6276975" y="285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</xdr:row>
      <xdr:rowOff>85725</xdr:rowOff>
    </xdr:from>
    <xdr:to>
      <xdr:col>9</xdr:col>
      <xdr:colOff>285750</xdr:colOff>
      <xdr:row>2</xdr:row>
      <xdr:rowOff>142875</xdr:rowOff>
    </xdr:to>
    <xdr:sp>
      <xdr:nvSpPr>
        <xdr:cNvPr id="11" name="Line 38"/>
        <xdr:cNvSpPr>
          <a:spLocks/>
        </xdr:cNvSpPr>
      </xdr:nvSpPr>
      <xdr:spPr>
        <a:xfrm>
          <a:off x="6457950" y="276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1</xdr:row>
      <xdr:rowOff>85725</xdr:rowOff>
    </xdr:from>
    <xdr:to>
      <xdr:col>9</xdr:col>
      <xdr:colOff>457200</xdr:colOff>
      <xdr:row>2</xdr:row>
      <xdr:rowOff>142875</xdr:rowOff>
    </xdr:to>
    <xdr:sp>
      <xdr:nvSpPr>
        <xdr:cNvPr id="12" name="Line 39"/>
        <xdr:cNvSpPr>
          <a:spLocks/>
        </xdr:cNvSpPr>
      </xdr:nvSpPr>
      <xdr:spPr>
        <a:xfrm>
          <a:off x="6629400" y="276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619125</xdr:colOff>
      <xdr:row>1</xdr:row>
      <xdr:rowOff>85725</xdr:rowOff>
    </xdr:from>
    <xdr:to>
      <xdr:col>9</xdr:col>
      <xdr:colOff>619125</xdr:colOff>
      <xdr:row>2</xdr:row>
      <xdr:rowOff>142875</xdr:rowOff>
    </xdr:to>
    <xdr:sp>
      <xdr:nvSpPr>
        <xdr:cNvPr id="13" name="Line 40"/>
        <xdr:cNvSpPr>
          <a:spLocks/>
        </xdr:cNvSpPr>
      </xdr:nvSpPr>
      <xdr:spPr>
        <a:xfrm>
          <a:off x="6791325" y="276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</xdr:row>
      <xdr:rowOff>85725</xdr:rowOff>
    </xdr:from>
    <xdr:to>
      <xdr:col>10</xdr:col>
      <xdr:colOff>114300</xdr:colOff>
      <xdr:row>2</xdr:row>
      <xdr:rowOff>142875</xdr:rowOff>
    </xdr:to>
    <xdr:sp>
      <xdr:nvSpPr>
        <xdr:cNvPr id="14" name="Line 41"/>
        <xdr:cNvSpPr>
          <a:spLocks/>
        </xdr:cNvSpPr>
      </xdr:nvSpPr>
      <xdr:spPr>
        <a:xfrm>
          <a:off x="6972300" y="276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1</xdr:row>
      <xdr:rowOff>85725</xdr:rowOff>
    </xdr:from>
    <xdr:to>
      <xdr:col>10</xdr:col>
      <xdr:colOff>266700</xdr:colOff>
      <xdr:row>2</xdr:row>
      <xdr:rowOff>142875</xdr:rowOff>
    </xdr:to>
    <xdr:sp>
      <xdr:nvSpPr>
        <xdr:cNvPr id="15" name="Line 42"/>
        <xdr:cNvSpPr>
          <a:spLocks/>
        </xdr:cNvSpPr>
      </xdr:nvSpPr>
      <xdr:spPr>
        <a:xfrm>
          <a:off x="7124700" y="276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428625</xdr:colOff>
      <xdr:row>1</xdr:row>
      <xdr:rowOff>85725</xdr:rowOff>
    </xdr:from>
    <xdr:to>
      <xdr:col>10</xdr:col>
      <xdr:colOff>428625</xdr:colOff>
      <xdr:row>2</xdr:row>
      <xdr:rowOff>142875</xdr:rowOff>
    </xdr:to>
    <xdr:sp>
      <xdr:nvSpPr>
        <xdr:cNvPr id="16" name="Line 43"/>
        <xdr:cNvSpPr>
          <a:spLocks/>
        </xdr:cNvSpPr>
      </xdr:nvSpPr>
      <xdr:spPr>
        <a:xfrm>
          <a:off x="7286625" y="276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600075</xdr:colOff>
      <xdr:row>1</xdr:row>
      <xdr:rowOff>95250</xdr:rowOff>
    </xdr:from>
    <xdr:to>
      <xdr:col>10</xdr:col>
      <xdr:colOff>600075</xdr:colOff>
      <xdr:row>2</xdr:row>
      <xdr:rowOff>152400</xdr:rowOff>
    </xdr:to>
    <xdr:sp>
      <xdr:nvSpPr>
        <xdr:cNvPr id="17" name="Line 44"/>
        <xdr:cNvSpPr>
          <a:spLocks/>
        </xdr:cNvSpPr>
      </xdr:nvSpPr>
      <xdr:spPr>
        <a:xfrm>
          <a:off x="7458075" y="285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13</xdr:row>
      <xdr:rowOff>66675</xdr:rowOff>
    </xdr:from>
    <xdr:to>
      <xdr:col>7</xdr:col>
      <xdr:colOff>495300</xdr:colOff>
      <xdr:row>15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5295900" y="27336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13</xdr:row>
      <xdr:rowOff>66675</xdr:rowOff>
    </xdr:from>
    <xdr:to>
      <xdr:col>8</xdr:col>
      <xdr:colOff>114300</xdr:colOff>
      <xdr:row>15</xdr:row>
      <xdr:rowOff>114300</xdr:rowOff>
    </xdr:to>
    <xdr:sp>
      <xdr:nvSpPr>
        <xdr:cNvPr id="19" name="Line 46"/>
        <xdr:cNvSpPr>
          <a:spLocks/>
        </xdr:cNvSpPr>
      </xdr:nvSpPr>
      <xdr:spPr>
        <a:xfrm>
          <a:off x="5600700" y="27336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571500</xdr:colOff>
      <xdr:row>16</xdr:row>
      <xdr:rowOff>123825</xdr:rowOff>
    </xdr:from>
    <xdr:to>
      <xdr:col>7</xdr:col>
      <xdr:colOff>323850</xdr:colOff>
      <xdr:row>16</xdr:row>
      <xdr:rowOff>123825</xdr:rowOff>
    </xdr:to>
    <xdr:sp>
      <xdr:nvSpPr>
        <xdr:cNvPr id="20" name="Line 48"/>
        <xdr:cNvSpPr>
          <a:spLocks/>
        </xdr:cNvSpPr>
      </xdr:nvSpPr>
      <xdr:spPr>
        <a:xfrm>
          <a:off x="4686300" y="34194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15</xdr:row>
      <xdr:rowOff>57150</xdr:rowOff>
    </xdr:from>
    <xdr:to>
      <xdr:col>8</xdr:col>
      <xdr:colOff>114300</xdr:colOff>
      <xdr:row>15</xdr:row>
      <xdr:rowOff>57150</xdr:rowOff>
    </xdr:to>
    <xdr:sp>
      <xdr:nvSpPr>
        <xdr:cNvPr id="21" name="Line 49"/>
        <xdr:cNvSpPr>
          <a:spLocks/>
        </xdr:cNvSpPr>
      </xdr:nvSpPr>
      <xdr:spPr>
        <a:xfrm>
          <a:off x="5295900" y="3143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10</xdr:row>
      <xdr:rowOff>47625</xdr:rowOff>
    </xdr:from>
    <xdr:to>
      <xdr:col>6</xdr:col>
      <xdr:colOff>333375</xdr:colOff>
      <xdr:row>12</xdr:row>
      <xdr:rowOff>47625</xdr:rowOff>
    </xdr:to>
    <xdr:sp>
      <xdr:nvSpPr>
        <xdr:cNvPr id="22" name="Line 50"/>
        <xdr:cNvSpPr>
          <a:spLocks/>
        </xdr:cNvSpPr>
      </xdr:nvSpPr>
      <xdr:spPr>
        <a:xfrm flipV="1">
          <a:off x="4448175" y="20859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571500</xdr:colOff>
      <xdr:row>10</xdr:row>
      <xdr:rowOff>57150</xdr:rowOff>
    </xdr:from>
    <xdr:to>
      <xdr:col>6</xdr:col>
      <xdr:colOff>571500</xdr:colOff>
      <xdr:row>12</xdr:row>
      <xdr:rowOff>57150</xdr:rowOff>
    </xdr:to>
    <xdr:sp>
      <xdr:nvSpPr>
        <xdr:cNvPr id="23" name="Line 51"/>
        <xdr:cNvSpPr>
          <a:spLocks/>
        </xdr:cNvSpPr>
      </xdr:nvSpPr>
      <xdr:spPr>
        <a:xfrm flipV="1">
          <a:off x="4686300" y="20955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10</xdr:row>
      <xdr:rowOff>85725</xdr:rowOff>
    </xdr:from>
    <xdr:to>
      <xdr:col>6</xdr:col>
      <xdr:colOff>581025</xdr:colOff>
      <xdr:row>10</xdr:row>
      <xdr:rowOff>85725</xdr:rowOff>
    </xdr:to>
    <xdr:sp>
      <xdr:nvSpPr>
        <xdr:cNvPr id="24" name="Line 52"/>
        <xdr:cNvSpPr>
          <a:spLocks/>
        </xdr:cNvSpPr>
      </xdr:nvSpPr>
      <xdr:spPr>
        <a:xfrm>
          <a:off x="4448175" y="2124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4</xdr:row>
      <xdr:rowOff>28575</xdr:rowOff>
    </xdr:from>
    <xdr:to>
      <xdr:col>7</xdr:col>
      <xdr:colOff>333375</xdr:colOff>
      <xdr:row>5</xdr:row>
      <xdr:rowOff>133350</xdr:rowOff>
    </xdr:to>
    <xdr:sp>
      <xdr:nvSpPr>
        <xdr:cNvPr id="25" name="Line 53"/>
        <xdr:cNvSpPr>
          <a:spLocks/>
        </xdr:cNvSpPr>
      </xdr:nvSpPr>
      <xdr:spPr>
        <a:xfrm flipV="1">
          <a:off x="5133975" y="809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4</xdr:row>
      <xdr:rowOff>19050</xdr:rowOff>
    </xdr:from>
    <xdr:to>
      <xdr:col>7</xdr:col>
      <xdr:colOff>561975</xdr:colOff>
      <xdr:row>5</xdr:row>
      <xdr:rowOff>123825</xdr:rowOff>
    </xdr:to>
    <xdr:sp>
      <xdr:nvSpPr>
        <xdr:cNvPr id="26" name="Line 54"/>
        <xdr:cNvSpPr>
          <a:spLocks/>
        </xdr:cNvSpPr>
      </xdr:nvSpPr>
      <xdr:spPr>
        <a:xfrm flipV="1">
          <a:off x="5362575" y="8001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4</xdr:row>
      <xdr:rowOff>57150</xdr:rowOff>
    </xdr:from>
    <xdr:to>
      <xdr:col>7</xdr:col>
      <xdr:colOff>561975</xdr:colOff>
      <xdr:row>4</xdr:row>
      <xdr:rowOff>57150</xdr:rowOff>
    </xdr:to>
    <xdr:sp>
      <xdr:nvSpPr>
        <xdr:cNvPr id="27" name="Line 55"/>
        <xdr:cNvSpPr>
          <a:spLocks/>
        </xdr:cNvSpPr>
      </xdr:nvSpPr>
      <xdr:spPr>
        <a:xfrm>
          <a:off x="5143500" y="8382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2</xdr:row>
      <xdr:rowOff>152400</xdr:rowOff>
    </xdr:from>
    <xdr:to>
      <xdr:col>9</xdr:col>
      <xdr:colOff>95250</xdr:colOff>
      <xdr:row>2</xdr:row>
      <xdr:rowOff>152400</xdr:rowOff>
    </xdr:to>
    <xdr:sp>
      <xdr:nvSpPr>
        <xdr:cNvPr id="28" name="Line 56"/>
        <xdr:cNvSpPr>
          <a:spLocks/>
        </xdr:cNvSpPr>
      </xdr:nvSpPr>
      <xdr:spPr>
        <a:xfrm flipH="1">
          <a:off x="3543300" y="53340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5</xdr:row>
      <xdr:rowOff>142875</xdr:rowOff>
    </xdr:from>
    <xdr:to>
      <xdr:col>9</xdr:col>
      <xdr:colOff>95250</xdr:colOff>
      <xdr:row>5</xdr:row>
      <xdr:rowOff>142875</xdr:rowOff>
    </xdr:to>
    <xdr:sp>
      <xdr:nvSpPr>
        <xdr:cNvPr id="29" name="Line 57"/>
        <xdr:cNvSpPr>
          <a:spLocks/>
        </xdr:cNvSpPr>
      </xdr:nvSpPr>
      <xdr:spPr>
        <a:xfrm>
          <a:off x="3571875" y="11334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47625</xdr:rowOff>
    </xdr:from>
    <xdr:to>
      <xdr:col>6</xdr:col>
      <xdr:colOff>323850</xdr:colOff>
      <xdr:row>12</xdr:row>
      <xdr:rowOff>47625</xdr:rowOff>
    </xdr:to>
    <xdr:sp>
      <xdr:nvSpPr>
        <xdr:cNvPr id="30" name="Line 58"/>
        <xdr:cNvSpPr>
          <a:spLocks/>
        </xdr:cNvSpPr>
      </xdr:nvSpPr>
      <xdr:spPr>
        <a:xfrm flipH="1">
          <a:off x="3895725" y="2505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15</xdr:row>
      <xdr:rowOff>190500</xdr:rowOff>
    </xdr:from>
    <xdr:to>
      <xdr:col>6</xdr:col>
      <xdr:colOff>28575</xdr:colOff>
      <xdr:row>15</xdr:row>
      <xdr:rowOff>190500</xdr:rowOff>
    </xdr:to>
    <xdr:sp>
      <xdr:nvSpPr>
        <xdr:cNvPr id="31" name="Line 59"/>
        <xdr:cNvSpPr>
          <a:spLocks/>
        </xdr:cNvSpPr>
      </xdr:nvSpPr>
      <xdr:spPr>
        <a:xfrm flipH="1">
          <a:off x="3562350" y="32766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12</xdr:row>
      <xdr:rowOff>47625</xdr:rowOff>
    </xdr:from>
    <xdr:to>
      <xdr:col>9</xdr:col>
      <xdr:colOff>95250</xdr:colOff>
      <xdr:row>12</xdr:row>
      <xdr:rowOff>47625</xdr:rowOff>
    </xdr:to>
    <xdr:sp>
      <xdr:nvSpPr>
        <xdr:cNvPr id="32" name="Line 60"/>
        <xdr:cNvSpPr>
          <a:spLocks/>
        </xdr:cNvSpPr>
      </xdr:nvSpPr>
      <xdr:spPr>
        <a:xfrm>
          <a:off x="5695950" y="25050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66675</xdr:rowOff>
    </xdr:from>
    <xdr:to>
      <xdr:col>9</xdr:col>
      <xdr:colOff>85725</xdr:colOff>
      <xdr:row>13</xdr:row>
      <xdr:rowOff>66675</xdr:rowOff>
    </xdr:to>
    <xdr:sp>
      <xdr:nvSpPr>
        <xdr:cNvPr id="33" name="Line 61"/>
        <xdr:cNvSpPr>
          <a:spLocks/>
        </xdr:cNvSpPr>
      </xdr:nvSpPr>
      <xdr:spPr>
        <a:xfrm>
          <a:off x="5610225" y="2733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161925</xdr:rowOff>
    </xdr:from>
    <xdr:to>
      <xdr:col>9</xdr:col>
      <xdr:colOff>66675</xdr:colOff>
      <xdr:row>14</xdr:row>
      <xdr:rowOff>161925</xdr:rowOff>
    </xdr:to>
    <xdr:sp>
      <xdr:nvSpPr>
        <xdr:cNvPr id="34" name="Line 62"/>
        <xdr:cNvSpPr>
          <a:spLocks/>
        </xdr:cNvSpPr>
      </xdr:nvSpPr>
      <xdr:spPr>
        <a:xfrm>
          <a:off x="5124450" y="30384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15</xdr:row>
      <xdr:rowOff>180975</xdr:rowOff>
    </xdr:from>
    <xdr:to>
      <xdr:col>9</xdr:col>
      <xdr:colOff>85725</xdr:colOff>
      <xdr:row>15</xdr:row>
      <xdr:rowOff>180975</xdr:rowOff>
    </xdr:to>
    <xdr:sp>
      <xdr:nvSpPr>
        <xdr:cNvPr id="35" name="Line 63"/>
        <xdr:cNvSpPr>
          <a:spLocks/>
        </xdr:cNvSpPr>
      </xdr:nvSpPr>
      <xdr:spPr>
        <a:xfrm>
          <a:off x="4619625" y="32670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</xdr:row>
      <xdr:rowOff>133350</xdr:rowOff>
    </xdr:from>
    <xdr:to>
      <xdr:col>5</xdr:col>
      <xdr:colOff>180975</xdr:colOff>
      <xdr:row>5</xdr:row>
      <xdr:rowOff>142875</xdr:rowOff>
    </xdr:to>
    <xdr:sp>
      <xdr:nvSpPr>
        <xdr:cNvPr id="36" name="Line 64"/>
        <xdr:cNvSpPr>
          <a:spLocks/>
        </xdr:cNvSpPr>
      </xdr:nvSpPr>
      <xdr:spPr>
        <a:xfrm>
          <a:off x="3609975" y="5143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5</xdr:row>
      <xdr:rowOff>142875</xdr:rowOff>
    </xdr:from>
    <xdr:to>
      <xdr:col>5</xdr:col>
      <xdr:colOff>180975</xdr:colOff>
      <xdr:row>15</xdr:row>
      <xdr:rowOff>180975</xdr:rowOff>
    </xdr:to>
    <xdr:sp>
      <xdr:nvSpPr>
        <xdr:cNvPr id="37" name="Line 65"/>
        <xdr:cNvSpPr>
          <a:spLocks/>
        </xdr:cNvSpPr>
      </xdr:nvSpPr>
      <xdr:spPr>
        <a:xfrm>
          <a:off x="3609975" y="11334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5</xdr:row>
      <xdr:rowOff>152400</xdr:rowOff>
    </xdr:from>
    <xdr:to>
      <xdr:col>5</xdr:col>
      <xdr:colOff>561975</xdr:colOff>
      <xdr:row>12</xdr:row>
      <xdr:rowOff>57150</xdr:rowOff>
    </xdr:to>
    <xdr:sp>
      <xdr:nvSpPr>
        <xdr:cNvPr id="38" name="Line 66"/>
        <xdr:cNvSpPr>
          <a:spLocks/>
        </xdr:cNvSpPr>
      </xdr:nvSpPr>
      <xdr:spPr>
        <a:xfrm>
          <a:off x="3990975" y="11430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12</xdr:row>
      <xdr:rowOff>38100</xdr:rowOff>
    </xdr:from>
    <xdr:to>
      <xdr:col>5</xdr:col>
      <xdr:colOff>561975</xdr:colOff>
      <xdr:row>15</xdr:row>
      <xdr:rowOff>180975</xdr:rowOff>
    </xdr:to>
    <xdr:sp>
      <xdr:nvSpPr>
        <xdr:cNvPr id="39" name="Line 67"/>
        <xdr:cNvSpPr>
          <a:spLocks/>
        </xdr:cNvSpPr>
      </xdr:nvSpPr>
      <xdr:spPr>
        <a:xfrm>
          <a:off x="3990975" y="24955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5</xdr:row>
      <xdr:rowOff>142875</xdr:rowOff>
    </xdr:from>
    <xdr:to>
      <xdr:col>9</xdr:col>
      <xdr:colOff>28575</xdr:colOff>
      <xdr:row>12</xdr:row>
      <xdr:rowOff>47625</xdr:rowOff>
    </xdr:to>
    <xdr:sp>
      <xdr:nvSpPr>
        <xdr:cNvPr id="40" name="Line 68"/>
        <xdr:cNvSpPr>
          <a:spLocks/>
        </xdr:cNvSpPr>
      </xdr:nvSpPr>
      <xdr:spPr>
        <a:xfrm>
          <a:off x="6200775" y="113347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57150</xdr:rowOff>
    </xdr:from>
    <xdr:to>
      <xdr:col>9</xdr:col>
      <xdr:colOff>38100</xdr:colOff>
      <xdr:row>13</xdr:row>
      <xdr:rowOff>57150</xdr:rowOff>
    </xdr:to>
    <xdr:sp>
      <xdr:nvSpPr>
        <xdr:cNvPr id="41" name="Line 69"/>
        <xdr:cNvSpPr>
          <a:spLocks/>
        </xdr:cNvSpPr>
      </xdr:nvSpPr>
      <xdr:spPr>
        <a:xfrm>
          <a:off x="6210300" y="25146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13</xdr:row>
      <xdr:rowOff>66675</xdr:rowOff>
    </xdr:from>
    <xdr:to>
      <xdr:col>9</xdr:col>
      <xdr:colOff>28575</xdr:colOff>
      <xdr:row>14</xdr:row>
      <xdr:rowOff>152400</xdr:rowOff>
    </xdr:to>
    <xdr:sp>
      <xdr:nvSpPr>
        <xdr:cNvPr id="42" name="Line 70"/>
        <xdr:cNvSpPr>
          <a:spLocks/>
        </xdr:cNvSpPr>
      </xdr:nvSpPr>
      <xdr:spPr>
        <a:xfrm>
          <a:off x="6200775" y="27336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14</xdr:row>
      <xdr:rowOff>161925</xdr:rowOff>
    </xdr:from>
    <xdr:to>
      <xdr:col>9</xdr:col>
      <xdr:colOff>28575</xdr:colOff>
      <xdr:row>15</xdr:row>
      <xdr:rowOff>161925</xdr:rowOff>
    </xdr:to>
    <xdr:sp>
      <xdr:nvSpPr>
        <xdr:cNvPr id="43" name="Line 71"/>
        <xdr:cNvSpPr>
          <a:spLocks/>
        </xdr:cNvSpPr>
      </xdr:nvSpPr>
      <xdr:spPr>
        <a:xfrm>
          <a:off x="6200775" y="30384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0</xdr:colOff>
      <xdr:row>272</xdr:row>
      <xdr:rowOff>76200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27727275" y="622554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</xdr:col>
      <xdr:colOff>419100</xdr:colOff>
      <xdr:row>55</xdr:row>
      <xdr:rowOff>219075</xdr:rowOff>
    </xdr:from>
    <xdr:to>
      <xdr:col>6</xdr:col>
      <xdr:colOff>695325</xdr:colOff>
      <xdr:row>65</xdr:row>
      <xdr:rowOff>114300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2792075"/>
          <a:ext cx="30289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106</xdr:row>
      <xdr:rowOff>19050</xdr:rowOff>
    </xdr:from>
    <xdr:to>
      <xdr:col>7</xdr:col>
      <xdr:colOff>457200</xdr:colOff>
      <xdr:row>120</xdr:row>
      <xdr:rowOff>76200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24250650"/>
          <a:ext cx="384810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88</xdr:row>
      <xdr:rowOff>57150</xdr:rowOff>
    </xdr:from>
    <xdr:to>
      <xdr:col>5</xdr:col>
      <xdr:colOff>400050</xdr:colOff>
      <xdr:row>91</xdr:row>
      <xdr:rowOff>219075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3050" y="20173950"/>
          <a:ext cx="2295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127</xdr:row>
      <xdr:rowOff>104775</xdr:rowOff>
    </xdr:from>
    <xdr:to>
      <xdr:col>6</xdr:col>
      <xdr:colOff>76200</xdr:colOff>
      <xdr:row>129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19400" y="29136975"/>
          <a:ext cx="138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143</xdr:row>
      <xdr:rowOff>219075</xdr:rowOff>
    </xdr:from>
    <xdr:to>
      <xdr:col>7</xdr:col>
      <xdr:colOff>285750</xdr:colOff>
      <xdr:row>152</xdr:row>
      <xdr:rowOff>171450</xdr:rowOff>
    </xdr:to>
    <xdr:graphicFrame>
      <xdr:nvGraphicFramePr>
        <xdr:cNvPr id="6" name="Chart 16"/>
        <xdr:cNvGraphicFramePr/>
      </xdr:nvGraphicFramePr>
      <xdr:xfrm>
        <a:off x="1152525" y="32908875"/>
        <a:ext cx="3981450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4</xdr:col>
      <xdr:colOff>133350</xdr:colOff>
      <xdr:row>156</xdr:row>
      <xdr:rowOff>0</xdr:rowOff>
    </xdr:from>
    <xdr:to>
      <xdr:col>5</xdr:col>
      <xdr:colOff>657225</xdr:colOff>
      <xdr:row>157</xdr:row>
      <xdr:rowOff>19050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35661600"/>
          <a:ext cx="1209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157</xdr:row>
      <xdr:rowOff>0</xdr:rowOff>
    </xdr:from>
    <xdr:to>
      <xdr:col>6</xdr:col>
      <xdr:colOff>38100</xdr:colOff>
      <xdr:row>158</xdr:row>
      <xdr:rowOff>28575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76550" y="35890200"/>
          <a:ext cx="1285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173</xdr:row>
      <xdr:rowOff>171450</xdr:rowOff>
    </xdr:from>
    <xdr:to>
      <xdr:col>6</xdr:col>
      <xdr:colOff>314325</xdr:colOff>
      <xdr:row>189</xdr:row>
      <xdr:rowOff>104775</xdr:rowOff>
    </xdr:to>
    <xdr:graphicFrame>
      <xdr:nvGraphicFramePr>
        <xdr:cNvPr id="9" name="Chart 21"/>
        <xdr:cNvGraphicFramePr/>
      </xdr:nvGraphicFramePr>
      <xdr:xfrm>
        <a:off x="962025" y="39719250"/>
        <a:ext cx="3476625" cy="3590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666750</xdr:colOff>
      <xdr:row>309</xdr:row>
      <xdr:rowOff>104775</xdr:rowOff>
    </xdr:from>
    <xdr:to>
      <xdr:col>6</xdr:col>
      <xdr:colOff>390525</xdr:colOff>
      <xdr:row>324</xdr:row>
      <xdr:rowOff>76200</xdr:rowOff>
    </xdr:to>
    <xdr:graphicFrame>
      <xdr:nvGraphicFramePr>
        <xdr:cNvPr id="10" name="Chart 36"/>
        <xdr:cNvGraphicFramePr/>
      </xdr:nvGraphicFramePr>
      <xdr:xfrm>
        <a:off x="1352550" y="70742175"/>
        <a:ext cx="3162300" cy="3400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2</xdr:col>
      <xdr:colOff>9525</xdr:colOff>
      <xdr:row>251</xdr:row>
      <xdr:rowOff>57150</xdr:rowOff>
    </xdr:from>
    <xdr:to>
      <xdr:col>4</xdr:col>
      <xdr:colOff>609600</xdr:colOff>
      <xdr:row>254</xdr:row>
      <xdr:rowOff>152400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81125" y="57435750"/>
          <a:ext cx="1981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223</xdr:row>
      <xdr:rowOff>66675</xdr:rowOff>
    </xdr:from>
    <xdr:to>
      <xdr:col>5</xdr:col>
      <xdr:colOff>76200</xdr:colOff>
      <xdr:row>224</xdr:row>
      <xdr:rowOff>142875</xdr:rowOff>
    </xdr:to>
    <xdr:pic>
      <xdr:nvPicPr>
        <xdr:cNvPr id="12" name="Picture 1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6300" y="51044475"/>
          <a:ext cx="2638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226</xdr:row>
      <xdr:rowOff>66675</xdr:rowOff>
    </xdr:from>
    <xdr:to>
      <xdr:col>6</xdr:col>
      <xdr:colOff>657225</xdr:colOff>
      <xdr:row>227</xdr:row>
      <xdr:rowOff>104775</xdr:rowOff>
    </xdr:to>
    <xdr:pic>
      <xdr:nvPicPr>
        <xdr:cNvPr id="13" name="Picture 1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04875" y="51730275"/>
          <a:ext cx="3876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229</xdr:row>
      <xdr:rowOff>76200</xdr:rowOff>
    </xdr:from>
    <xdr:to>
      <xdr:col>7</xdr:col>
      <xdr:colOff>419100</xdr:colOff>
      <xdr:row>236</xdr:row>
      <xdr:rowOff>28575</xdr:rowOff>
    </xdr:to>
    <xdr:pic>
      <xdr:nvPicPr>
        <xdr:cNvPr id="14" name="Picture 1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23925" y="52425600"/>
          <a:ext cx="43434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265</xdr:row>
      <xdr:rowOff>85725</xdr:rowOff>
    </xdr:from>
    <xdr:to>
      <xdr:col>3</xdr:col>
      <xdr:colOff>447675</xdr:colOff>
      <xdr:row>268</xdr:row>
      <xdr:rowOff>152400</xdr:rowOff>
    </xdr:to>
    <xdr:pic>
      <xdr:nvPicPr>
        <xdr:cNvPr id="15" name="Picture 12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90650" y="60664725"/>
          <a:ext cx="1123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4</xdr:col>
      <xdr:colOff>171450</xdr:colOff>
      <xdr:row>276</xdr:row>
      <xdr:rowOff>57150</xdr:rowOff>
    </xdr:to>
    <xdr:pic>
      <xdr:nvPicPr>
        <xdr:cNvPr id="16" name="Picture 1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71600" y="62636400"/>
          <a:ext cx="1552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328</xdr:row>
      <xdr:rowOff>133350</xdr:rowOff>
    </xdr:from>
    <xdr:to>
      <xdr:col>4</xdr:col>
      <xdr:colOff>28575</xdr:colOff>
      <xdr:row>330</xdr:row>
      <xdr:rowOff>142875</xdr:rowOff>
    </xdr:to>
    <xdr:pic>
      <xdr:nvPicPr>
        <xdr:cNvPr id="17" name="Picture 12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24025" y="75114150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330</xdr:row>
      <xdr:rowOff>161925</xdr:rowOff>
    </xdr:from>
    <xdr:to>
      <xdr:col>4</xdr:col>
      <xdr:colOff>114300</xdr:colOff>
      <xdr:row>332</xdr:row>
      <xdr:rowOff>114300</xdr:rowOff>
    </xdr:to>
    <xdr:pic>
      <xdr:nvPicPr>
        <xdr:cNvPr id="18" name="Picture 1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33600" y="755999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332</xdr:row>
      <xdr:rowOff>114300</xdr:rowOff>
    </xdr:from>
    <xdr:to>
      <xdr:col>3</xdr:col>
      <xdr:colOff>123825</xdr:colOff>
      <xdr:row>334</xdr:row>
      <xdr:rowOff>180975</xdr:rowOff>
    </xdr:to>
    <xdr:pic>
      <xdr:nvPicPr>
        <xdr:cNvPr id="19" name="Picture 12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38275" y="76009500"/>
          <a:ext cx="752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341</xdr:row>
      <xdr:rowOff>0</xdr:rowOff>
    </xdr:from>
    <xdr:to>
      <xdr:col>4</xdr:col>
      <xdr:colOff>28575</xdr:colOff>
      <xdr:row>343</xdr:row>
      <xdr:rowOff>0</xdr:rowOff>
    </xdr:to>
    <xdr:pic>
      <xdr:nvPicPr>
        <xdr:cNvPr id="20" name="Picture 13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62150" y="7795260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342</xdr:row>
      <xdr:rowOff>152400</xdr:rowOff>
    </xdr:from>
    <xdr:to>
      <xdr:col>4</xdr:col>
      <xdr:colOff>0</xdr:colOff>
      <xdr:row>344</xdr:row>
      <xdr:rowOff>161925</xdr:rowOff>
    </xdr:to>
    <xdr:pic>
      <xdr:nvPicPr>
        <xdr:cNvPr id="21" name="Picture 13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90725" y="783336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353</xdr:row>
      <xdr:rowOff>161925</xdr:rowOff>
    </xdr:from>
    <xdr:to>
      <xdr:col>3</xdr:col>
      <xdr:colOff>304800</xdr:colOff>
      <xdr:row>355</xdr:row>
      <xdr:rowOff>152400</xdr:rowOff>
    </xdr:to>
    <xdr:pic>
      <xdr:nvPicPr>
        <xdr:cNvPr id="22" name="Picture 13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14475" y="80857725"/>
          <a:ext cx="857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397</xdr:row>
      <xdr:rowOff>114300</xdr:rowOff>
    </xdr:from>
    <xdr:to>
      <xdr:col>3</xdr:col>
      <xdr:colOff>657225</xdr:colOff>
      <xdr:row>399</xdr:row>
      <xdr:rowOff>123825</xdr:rowOff>
    </xdr:to>
    <xdr:pic>
      <xdr:nvPicPr>
        <xdr:cNvPr id="23" name="Picture 13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04950" y="9086850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399</xdr:row>
      <xdr:rowOff>104775</xdr:rowOff>
    </xdr:from>
    <xdr:to>
      <xdr:col>3</xdr:col>
      <xdr:colOff>666750</xdr:colOff>
      <xdr:row>401</xdr:row>
      <xdr:rowOff>114300</xdr:rowOff>
    </xdr:to>
    <xdr:pic>
      <xdr:nvPicPr>
        <xdr:cNvPr id="24" name="Picture 13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85900" y="913161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403</xdr:row>
      <xdr:rowOff>114300</xdr:rowOff>
    </xdr:from>
    <xdr:to>
      <xdr:col>3</xdr:col>
      <xdr:colOff>361950</xdr:colOff>
      <xdr:row>405</xdr:row>
      <xdr:rowOff>114300</xdr:rowOff>
    </xdr:to>
    <xdr:pic>
      <xdr:nvPicPr>
        <xdr:cNvPr id="25" name="Picture 13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743075" y="922401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450</xdr:row>
      <xdr:rowOff>114300</xdr:rowOff>
    </xdr:from>
    <xdr:to>
      <xdr:col>3</xdr:col>
      <xdr:colOff>657225</xdr:colOff>
      <xdr:row>452</xdr:row>
      <xdr:rowOff>123825</xdr:rowOff>
    </xdr:to>
    <xdr:pic>
      <xdr:nvPicPr>
        <xdr:cNvPr id="26" name="Picture 14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04950" y="10298430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452</xdr:row>
      <xdr:rowOff>104775</xdr:rowOff>
    </xdr:from>
    <xdr:to>
      <xdr:col>3</xdr:col>
      <xdr:colOff>666750</xdr:colOff>
      <xdr:row>454</xdr:row>
      <xdr:rowOff>114300</xdr:rowOff>
    </xdr:to>
    <xdr:pic>
      <xdr:nvPicPr>
        <xdr:cNvPr id="27" name="Picture 14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85900" y="1034319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456</xdr:row>
      <xdr:rowOff>114300</xdr:rowOff>
    </xdr:from>
    <xdr:to>
      <xdr:col>3</xdr:col>
      <xdr:colOff>361950</xdr:colOff>
      <xdr:row>458</xdr:row>
      <xdr:rowOff>114300</xdr:rowOff>
    </xdr:to>
    <xdr:pic>
      <xdr:nvPicPr>
        <xdr:cNvPr id="28" name="Picture 14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743075" y="1043559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356</xdr:row>
      <xdr:rowOff>133350</xdr:rowOff>
    </xdr:from>
    <xdr:to>
      <xdr:col>5</xdr:col>
      <xdr:colOff>371475</xdr:colOff>
      <xdr:row>367</xdr:row>
      <xdr:rowOff>38100</xdr:rowOff>
    </xdr:to>
    <xdr:pic>
      <xdr:nvPicPr>
        <xdr:cNvPr id="29" name="Picture 14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76350" y="81514950"/>
          <a:ext cx="253365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405</xdr:row>
      <xdr:rowOff>161925</xdr:rowOff>
    </xdr:from>
    <xdr:to>
      <xdr:col>6</xdr:col>
      <xdr:colOff>361950</xdr:colOff>
      <xdr:row>417</xdr:row>
      <xdr:rowOff>190500</xdr:rowOff>
    </xdr:to>
    <xdr:pic>
      <xdr:nvPicPr>
        <xdr:cNvPr id="30" name="Picture 14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676400" y="92744925"/>
          <a:ext cx="280987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114300</xdr:colOff>
      <xdr:row>2</xdr:row>
      <xdr:rowOff>209550</xdr:rowOff>
    </xdr:from>
    <xdr:to>
      <xdr:col>28</xdr:col>
      <xdr:colOff>190500</xdr:colOff>
      <xdr:row>16</xdr:row>
      <xdr:rowOff>47625</xdr:rowOff>
    </xdr:to>
    <xdr:pic>
      <xdr:nvPicPr>
        <xdr:cNvPr id="31" name="Picture 14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6097250" y="666750"/>
          <a:ext cx="350520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335</xdr:row>
      <xdr:rowOff>123825</xdr:rowOff>
    </xdr:from>
    <xdr:to>
      <xdr:col>3</xdr:col>
      <xdr:colOff>142875</xdr:colOff>
      <xdr:row>337</xdr:row>
      <xdr:rowOff>142875</xdr:rowOff>
    </xdr:to>
    <xdr:pic>
      <xdr:nvPicPr>
        <xdr:cNvPr id="32" name="Picture 15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419225" y="76704825"/>
          <a:ext cx="790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169</xdr:row>
      <xdr:rowOff>142875</xdr:rowOff>
    </xdr:from>
    <xdr:to>
      <xdr:col>3</xdr:col>
      <xdr:colOff>571500</xdr:colOff>
      <xdr:row>171</xdr:row>
      <xdr:rowOff>123825</xdr:rowOff>
    </xdr:to>
    <xdr:pic>
      <xdr:nvPicPr>
        <xdr:cNvPr id="33" name="Picture 15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533525" y="38776275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171</xdr:row>
      <xdr:rowOff>152400</xdr:rowOff>
    </xdr:from>
    <xdr:to>
      <xdr:col>3</xdr:col>
      <xdr:colOff>533400</xdr:colOff>
      <xdr:row>173</xdr:row>
      <xdr:rowOff>152400</xdr:rowOff>
    </xdr:to>
    <xdr:pic>
      <xdr:nvPicPr>
        <xdr:cNvPr id="34" name="Picture 15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781175" y="3924300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193</xdr:row>
      <xdr:rowOff>38100</xdr:rowOff>
    </xdr:from>
    <xdr:to>
      <xdr:col>8</xdr:col>
      <xdr:colOff>190500</xdr:colOff>
      <xdr:row>220</xdr:row>
      <xdr:rowOff>133350</xdr:rowOff>
    </xdr:to>
    <xdr:pic>
      <xdr:nvPicPr>
        <xdr:cNvPr id="35" name="Picture 15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57200" y="44157900"/>
          <a:ext cx="5267325" cy="626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18</xdr:row>
      <xdr:rowOff>85725</xdr:rowOff>
    </xdr:from>
    <xdr:to>
      <xdr:col>8</xdr:col>
      <xdr:colOff>361950</xdr:colOff>
      <xdr:row>33</xdr:row>
      <xdr:rowOff>161925</xdr:rowOff>
    </xdr:to>
    <xdr:graphicFrame>
      <xdr:nvGraphicFramePr>
        <xdr:cNvPr id="36" name="Chart 159"/>
        <xdr:cNvGraphicFramePr/>
      </xdr:nvGraphicFramePr>
      <xdr:xfrm>
        <a:off x="2724150" y="4200525"/>
        <a:ext cx="3171825" cy="35052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 editAs="oneCell">
    <xdr:from>
      <xdr:col>1</xdr:col>
      <xdr:colOff>400050</xdr:colOff>
      <xdr:row>90</xdr:row>
      <xdr:rowOff>123825</xdr:rowOff>
    </xdr:from>
    <xdr:to>
      <xdr:col>7</xdr:col>
      <xdr:colOff>9525</xdr:colOff>
      <xdr:row>105</xdr:row>
      <xdr:rowOff>85725</xdr:rowOff>
    </xdr:to>
    <xdr:pic>
      <xdr:nvPicPr>
        <xdr:cNvPr id="37" name="Picture 16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85850" y="20697825"/>
          <a:ext cx="37719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3</xdr:col>
      <xdr:colOff>581025</xdr:colOff>
      <xdr:row>271</xdr:row>
      <xdr:rowOff>142875</xdr:rowOff>
    </xdr:to>
    <xdr:pic>
      <xdr:nvPicPr>
        <xdr:cNvPr id="38" name="Picture 21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71600" y="61722000"/>
          <a:ext cx="1276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447</xdr:row>
      <xdr:rowOff>171450</xdr:rowOff>
    </xdr:from>
    <xdr:to>
      <xdr:col>23</xdr:col>
      <xdr:colOff>419100</xdr:colOff>
      <xdr:row>459</xdr:row>
      <xdr:rowOff>219075</xdr:rowOff>
    </xdr:to>
    <xdr:graphicFrame>
      <xdr:nvGraphicFramePr>
        <xdr:cNvPr id="39" name="Chart 212"/>
        <xdr:cNvGraphicFramePr/>
      </xdr:nvGraphicFramePr>
      <xdr:xfrm>
        <a:off x="12620625" y="102355650"/>
        <a:ext cx="3781425" cy="27908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495300</xdr:colOff>
      <xdr:row>389</xdr:row>
      <xdr:rowOff>76200</xdr:rowOff>
    </xdr:from>
    <xdr:to>
      <xdr:col>23</xdr:col>
      <xdr:colOff>428625</xdr:colOff>
      <xdr:row>399</xdr:row>
      <xdr:rowOff>114300</xdr:rowOff>
    </xdr:to>
    <xdr:graphicFrame>
      <xdr:nvGraphicFramePr>
        <xdr:cNvPr id="40" name="Chart 213"/>
        <xdr:cNvGraphicFramePr/>
      </xdr:nvGraphicFramePr>
      <xdr:xfrm>
        <a:off x="13049250" y="89001600"/>
        <a:ext cx="3362325" cy="23241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</xdr:col>
      <xdr:colOff>504825</xdr:colOff>
      <xdr:row>7</xdr:row>
      <xdr:rowOff>9525</xdr:rowOff>
    </xdr:from>
    <xdr:to>
      <xdr:col>4</xdr:col>
      <xdr:colOff>371475</xdr:colOff>
      <xdr:row>14</xdr:row>
      <xdr:rowOff>219075</xdr:rowOff>
    </xdr:to>
    <xdr:sp>
      <xdr:nvSpPr>
        <xdr:cNvPr id="41" name="Polygon 214"/>
        <xdr:cNvSpPr>
          <a:spLocks/>
        </xdr:cNvSpPr>
      </xdr:nvSpPr>
      <xdr:spPr>
        <a:xfrm>
          <a:off x="1876425" y="1609725"/>
          <a:ext cx="1247775" cy="1809750"/>
        </a:xfrm>
        <a:custGeom>
          <a:pathLst>
            <a:path h="190" w="131">
              <a:moveTo>
                <a:pt x="0" y="189"/>
              </a:moveTo>
              <a:lnTo>
                <a:pt x="25" y="122"/>
              </a:lnTo>
              <a:lnTo>
                <a:pt x="41" y="122"/>
              </a:lnTo>
              <a:lnTo>
                <a:pt x="87" y="0"/>
              </a:lnTo>
              <a:lnTo>
                <a:pt x="100" y="0"/>
              </a:lnTo>
              <a:lnTo>
                <a:pt x="131" y="124"/>
              </a:lnTo>
              <a:lnTo>
                <a:pt x="123" y="144"/>
              </a:lnTo>
              <a:lnTo>
                <a:pt x="94" y="144"/>
              </a:lnTo>
              <a:lnTo>
                <a:pt x="84" y="167"/>
              </a:lnTo>
              <a:lnTo>
                <a:pt x="47" y="167"/>
              </a:lnTo>
              <a:lnTo>
                <a:pt x="38" y="190"/>
              </a:lnTo>
              <a:lnTo>
                <a:pt x="0" y="18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4</xdr:row>
      <xdr:rowOff>133350</xdr:rowOff>
    </xdr:from>
    <xdr:to>
      <xdr:col>6</xdr:col>
      <xdr:colOff>523875</xdr:colOff>
      <xdr:row>7</xdr:row>
      <xdr:rowOff>9525</xdr:rowOff>
    </xdr:to>
    <xdr:sp>
      <xdr:nvSpPr>
        <xdr:cNvPr id="42" name="Polygon 215"/>
        <xdr:cNvSpPr>
          <a:spLocks/>
        </xdr:cNvSpPr>
      </xdr:nvSpPr>
      <xdr:spPr>
        <a:xfrm>
          <a:off x="2838450" y="1047750"/>
          <a:ext cx="1809750" cy="561975"/>
        </a:xfrm>
        <a:custGeom>
          <a:pathLst>
            <a:path h="59" w="190">
              <a:moveTo>
                <a:pt x="0" y="59"/>
              </a:moveTo>
              <a:lnTo>
                <a:pt x="105" y="0"/>
              </a:lnTo>
              <a:lnTo>
                <a:pt x="19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4</xdr:row>
      <xdr:rowOff>133350</xdr:rowOff>
    </xdr:from>
    <xdr:to>
      <xdr:col>5</xdr:col>
      <xdr:colOff>390525</xdr:colOff>
      <xdr:row>4</xdr:row>
      <xdr:rowOff>133350</xdr:rowOff>
    </xdr:to>
    <xdr:sp>
      <xdr:nvSpPr>
        <xdr:cNvPr id="43" name="Line 216"/>
        <xdr:cNvSpPr>
          <a:spLocks/>
        </xdr:cNvSpPr>
      </xdr:nvSpPr>
      <xdr:spPr>
        <a:xfrm flipH="1">
          <a:off x="1095375" y="104775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9525</xdr:rowOff>
    </xdr:from>
    <xdr:to>
      <xdr:col>3</xdr:col>
      <xdr:colOff>657225</xdr:colOff>
      <xdr:row>7</xdr:row>
      <xdr:rowOff>9525</xdr:rowOff>
    </xdr:to>
    <xdr:sp>
      <xdr:nvSpPr>
        <xdr:cNvPr id="44" name="Line 217"/>
        <xdr:cNvSpPr>
          <a:spLocks/>
        </xdr:cNvSpPr>
      </xdr:nvSpPr>
      <xdr:spPr>
        <a:xfrm flipH="1">
          <a:off x="1076325" y="16097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14</xdr:row>
      <xdr:rowOff>209550</xdr:rowOff>
    </xdr:from>
    <xdr:to>
      <xdr:col>2</xdr:col>
      <xdr:colOff>504825</xdr:colOff>
      <xdr:row>14</xdr:row>
      <xdr:rowOff>209550</xdr:rowOff>
    </xdr:to>
    <xdr:sp>
      <xdr:nvSpPr>
        <xdr:cNvPr id="45" name="Line 218"/>
        <xdr:cNvSpPr>
          <a:spLocks/>
        </xdr:cNvSpPr>
      </xdr:nvSpPr>
      <xdr:spPr>
        <a:xfrm flipH="1">
          <a:off x="1095375" y="34099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4</xdr:row>
      <xdr:rowOff>142875</xdr:rowOff>
    </xdr:from>
    <xdr:to>
      <xdr:col>1</xdr:col>
      <xdr:colOff>438150</xdr:colOff>
      <xdr:row>7</xdr:row>
      <xdr:rowOff>9525</xdr:rowOff>
    </xdr:to>
    <xdr:sp>
      <xdr:nvSpPr>
        <xdr:cNvPr id="46" name="Line 219"/>
        <xdr:cNvSpPr>
          <a:spLocks/>
        </xdr:cNvSpPr>
      </xdr:nvSpPr>
      <xdr:spPr>
        <a:xfrm>
          <a:off x="1123950" y="10572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7</xdr:row>
      <xdr:rowOff>0</xdr:rowOff>
    </xdr:from>
    <xdr:to>
      <xdr:col>1</xdr:col>
      <xdr:colOff>438150</xdr:colOff>
      <xdr:row>14</xdr:row>
      <xdr:rowOff>209550</xdr:rowOff>
    </xdr:to>
    <xdr:sp>
      <xdr:nvSpPr>
        <xdr:cNvPr id="47" name="Line 220"/>
        <xdr:cNvSpPr>
          <a:spLocks/>
        </xdr:cNvSpPr>
      </xdr:nvSpPr>
      <xdr:spPr>
        <a:xfrm>
          <a:off x="1123950" y="1600200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12</xdr:row>
      <xdr:rowOff>28575</xdr:rowOff>
    </xdr:from>
    <xdr:to>
      <xdr:col>3</xdr:col>
      <xdr:colOff>47625</xdr:colOff>
      <xdr:row>12</xdr:row>
      <xdr:rowOff>28575</xdr:rowOff>
    </xdr:to>
    <xdr:sp>
      <xdr:nvSpPr>
        <xdr:cNvPr id="48" name="Line 221"/>
        <xdr:cNvSpPr>
          <a:spLocks/>
        </xdr:cNvSpPr>
      </xdr:nvSpPr>
      <xdr:spPr>
        <a:xfrm flipH="1">
          <a:off x="1485900" y="27717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7</xdr:row>
      <xdr:rowOff>0</xdr:rowOff>
    </xdr:from>
    <xdr:to>
      <xdr:col>2</xdr:col>
      <xdr:colOff>152400</xdr:colOff>
      <xdr:row>12</xdr:row>
      <xdr:rowOff>28575</xdr:rowOff>
    </xdr:to>
    <xdr:sp>
      <xdr:nvSpPr>
        <xdr:cNvPr id="49" name="Line 222"/>
        <xdr:cNvSpPr>
          <a:spLocks/>
        </xdr:cNvSpPr>
      </xdr:nvSpPr>
      <xdr:spPr>
        <a:xfrm flipV="1">
          <a:off x="1524000" y="160020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12</xdr:row>
      <xdr:rowOff>38100</xdr:rowOff>
    </xdr:from>
    <xdr:to>
      <xdr:col>2</xdr:col>
      <xdr:colOff>152400</xdr:colOff>
      <xdr:row>14</xdr:row>
      <xdr:rowOff>209550</xdr:rowOff>
    </xdr:to>
    <xdr:sp>
      <xdr:nvSpPr>
        <xdr:cNvPr id="50" name="Line 223"/>
        <xdr:cNvSpPr>
          <a:spLocks/>
        </xdr:cNvSpPr>
      </xdr:nvSpPr>
      <xdr:spPr>
        <a:xfrm>
          <a:off x="1524000" y="27813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10</xdr:row>
      <xdr:rowOff>38100</xdr:rowOff>
    </xdr:from>
    <xdr:to>
      <xdr:col>3</xdr:col>
      <xdr:colOff>200025</xdr:colOff>
      <xdr:row>12</xdr:row>
      <xdr:rowOff>28575</xdr:rowOff>
    </xdr:to>
    <xdr:sp>
      <xdr:nvSpPr>
        <xdr:cNvPr id="51" name="Line 224"/>
        <xdr:cNvSpPr>
          <a:spLocks/>
        </xdr:cNvSpPr>
      </xdr:nvSpPr>
      <xdr:spPr>
        <a:xfrm flipV="1">
          <a:off x="2266950" y="23241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10</xdr:row>
      <xdr:rowOff>9525</xdr:rowOff>
    </xdr:from>
    <xdr:to>
      <xdr:col>3</xdr:col>
      <xdr:colOff>38100</xdr:colOff>
      <xdr:row>12</xdr:row>
      <xdr:rowOff>28575</xdr:rowOff>
    </xdr:to>
    <xdr:sp>
      <xdr:nvSpPr>
        <xdr:cNvPr id="52" name="Line 225"/>
        <xdr:cNvSpPr>
          <a:spLocks/>
        </xdr:cNvSpPr>
      </xdr:nvSpPr>
      <xdr:spPr>
        <a:xfrm flipV="1">
          <a:off x="2105025" y="22955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10</xdr:row>
      <xdr:rowOff>66675</xdr:rowOff>
    </xdr:from>
    <xdr:to>
      <xdr:col>3</xdr:col>
      <xdr:colOff>200025</xdr:colOff>
      <xdr:row>10</xdr:row>
      <xdr:rowOff>66675</xdr:rowOff>
    </xdr:to>
    <xdr:sp>
      <xdr:nvSpPr>
        <xdr:cNvPr id="53" name="Line 226"/>
        <xdr:cNvSpPr>
          <a:spLocks/>
        </xdr:cNvSpPr>
      </xdr:nvSpPr>
      <xdr:spPr>
        <a:xfrm flipH="1">
          <a:off x="2105025" y="2352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14</xdr:row>
      <xdr:rowOff>219075</xdr:rowOff>
    </xdr:from>
    <xdr:to>
      <xdr:col>2</xdr:col>
      <xdr:colOff>504825</xdr:colOff>
      <xdr:row>17</xdr:row>
      <xdr:rowOff>57150</xdr:rowOff>
    </xdr:to>
    <xdr:sp>
      <xdr:nvSpPr>
        <xdr:cNvPr id="54" name="Line 227"/>
        <xdr:cNvSpPr>
          <a:spLocks/>
        </xdr:cNvSpPr>
      </xdr:nvSpPr>
      <xdr:spPr>
        <a:xfrm>
          <a:off x="1876425" y="3419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14</xdr:row>
      <xdr:rowOff>219075</xdr:rowOff>
    </xdr:from>
    <xdr:to>
      <xdr:col>3</xdr:col>
      <xdr:colOff>171450</xdr:colOff>
      <xdr:row>17</xdr:row>
      <xdr:rowOff>76200</xdr:rowOff>
    </xdr:to>
    <xdr:sp>
      <xdr:nvSpPr>
        <xdr:cNvPr id="55" name="Line 228"/>
        <xdr:cNvSpPr>
          <a:spLocks/>
        </xdr:cNvSpPr>
      </xdr:nvSpPr>
      <xdr:spPr>
        <a:xfrm>
          <a:off x="2238375" y="34194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17</xdr:row>
      <xdr:rowOff>28575</xdr:rowOff>
    </xdr:from>
    <xdr:to>
      <xdr:col>3</xdr:col>
      <xdr:colOff>171450</xdr:colOff>
      <xdr:row>17</xdr:row>
      <xdr:rowOff>28575</xdr:rowOff>
    </xdr:to>
    <xdr:sp>
      <xdr:nvSpPr>
        <xdr:cNvPr id="56" name="Line 229"/>
        <xdr:cNvSpPr>
          <a:spLocks/>
        </xdr:cNvSpPr>
      </xdr:nvSpPr>
      <xdr:spPr>
        <a:xfrm>
          <a:off x="1876425" y="39147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14</xdr:row>
      <xdr:rowOff>9525</xdr:rowOff>
    </xdr:from>
    <xdr:to>
      <xdr:col>3</xdr:col>
      <xdr:colOff>257175</xdr:colOff>
      <xdr:row>16</xdr:row>
      <xdr:rowOff>28575</xdr:rowOff>
    </xdr:to>
    <xdr:sp>
      <xdr:nvSpPr>
        <xdr:cNvPr id="57" name="Line 230"/>
        <xdr:cNvSpPr>
          <a:spLocks/>
        </xdr:cNvSpPr>
      </xdr:nvSpPr>
      <xdr:spPr>
        <a:xfrm>
          <a:off x="2324100" y="32099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14</xdr:row>
      <xdr:rowOff>0</xdr:rowOff>
    </xdr:from>
    <xdr:to>
      <xdr:col>3</xdr:col>
      <xdr:colOff>609600</xdr:colOff>
      <xdr:row>16</xdr:row>
      <xdr:rowOff>57150</xdr:rowOff>
    </xdr:to>
    <xdr:sp>
      <xdr:nvSpPr>
        <xdr:cNvPr id="58" name="Line 231"/>
        <xdr:cNvSpPr>
          <a:spLocks/>
        </xdr:cNvSpPr>
      </xdr:nvSpPr>
      <xdr:spPr>
        <a:xfrm>
          <a:off x="2676525" y="3200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16</xdr:row>
      <xdr:rowOff>9525</xdr:rowOff>
    </xdr:from>
    <xdr:to>
      <xdr:col>3</xdr:col>
      <xdr:colOff>600075</xdr:colOff>
      <xdr:row>16</xdr:row>
      <xdr:rowOff>9525</xdr:rowOff>
    </xdr:to>
    <xdr:sp>
      <xdr:nvSpPr>
        <xdr:cNvPr id="59" name="Line 232"/>
        <xdr:cNvSpPr>
          <a:spLocks/>
        </xdr:cNvSpPr>
      </xdr:nvSpPr>
      <xdr:spPr>
        <a:xfrm>
          <a:off x="2333625" y="3667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9525</xdr:rowOff>
    </xdr:from>
    <xdr:to>
      <xdr:col>4</xdr:col>
      <xdr:colOff>19050</xdr:colOff>
      <xdr:row>15</xdr:row>
      <xdr:rowOff>57150</xdr:rowOff>
    </xdr:to>
    <xdr:sp>
      <xdr:nvSpPr>
        <xdr:cNvPr id="60" name="Line 233"/>
        <xdr:cNvSpPr>
          <a:spLocks/>
        </xdr:cNvSpPr>
      </xdr:nvSpPr>
      <xdr:spPr>
        <a:xfrm>
          <a:off x="2771775" y="29813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13</xdr:row>
      <xdr:rowOff>0</xdr:rowOff>
    </xdr:from>
    <xdr:to>
      <xdr:col>4</xdr:col>
      <xdr:colOff>285750</xdr:colOff>
      <xdr:row>15</xdr:row>
      <xdr:rowOff>76200</xdr:rowOff>
    </xdr:to>
    <xdr:sp>
      <xdr:nvSpPr>
        <xdr:cNvPr id="61" name="Line 234"/>
        <xdr:cNvSpPr>
          <a:spLocks/>
        </xdr:cNvSpPr>
      </xdr:nvSpPr>
      <xdr:spPr>
        <a:xfrm>
          <a:off x="3038475" y="2971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28575</xdr:rowOff>
    </xdr:from>
    <xdr:to>
      <xdr:col>4</xdr:col>
      <xdr:colOff>285750</xdr:colOff>
      <xdr:row>15</xdr:row>
      <xdr:rowOff>28575</xdr:rowOff>
    </xdr:to>
    <xdr:sp>
      <xdr:nvSpPr>
        <xdr:cNvPr id="62" name="Line 235"/>
        <xdr:cNvSpPr>
          <a:spLocks/>
        </xdr:cNvSpPr>
      </xdr:nvSpPr>
      <xdr:spPr>
        <a:xfrm flipH="1">
          <a:off x="2771775" y="34575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12</xdr:row>
      <xdr:rowOff>38100</xdr:rowOff>
    </xdr:from>
    <xdr:to>
      <xdr:col>5</xdr:col>
      <xdr:colOff>609600</xdr:colOff>
      <xdr:row>12</xdr:row>
      <xdr:rowOff>38100</xdr:rowOff>
    </xdr:to>
    <xdr:sp>
      <xdr:nvSpPr>
        <xdr:cNvPr id="63" name="Line 236"/>
        <xdr:cNvSpPr>
          <a:spLocks/>
        </xdr:cNvSpPr>
      </xdr:nvSpPr>
      <xdr:spPr>
        <a:xfrm>
          <a:off x="3114675" y="2781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7</xdr:row>
      <xdr:rowOff>9525</xdr:rowOff>
    </xdr:from>
    <xdr:to>
      <xdr:col>5</xdr:col>
      <xdr:colOff>666750</xdr:colOff>
      <xdr:row>7</xdr:row>
      <xdr:rowOff>9525</xdr:rowOff>
    </xdr:to>
    <xdr:sp>
      <xdr:nvSpPr>
        <xdr:cNvPr id="64" name="Line 237"/>
        <xdr:cNvSpPr>
          <a:spLocks/>
        </xdr:cNvSpPr>
      </xdr:nvSpPr>
      <xdr:spPr>
        <a:xfrm>
          <a:off x="2828925" y="16097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13</xdr:row>
      <xdr:rowOff>9525</xdr:rowOff>
    </xdr:from>
    <xdr:to>
      <xdr:col>5</xdr:col>
      <xdr:colOff>628650</xdr:colOff>
      <xdr:row>13</xdr:row>
      <xdr:rowOff>9525</xdr:rowOff>
    </xdr:to>
    <xdr:sp>
      <xdr:nvSpPr>
        <xdr:cNvPr id="65" name="Line 238"/>
        <xdr:cNvSpPr>
          <a:spLocks/>
        </xdr:cNvSpPr>
      </xdr:nvSpPr>
      <xdr:spPr>
        <a:xfrm>
          <a:off x="3048000" y="29813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13</xdr:row>
      <xdr:rowOff>219075</xdr:rowOff>
    </xdr:from>
    <xdr:to>
      <xdr:col>5</xdr:col>
      <xdr:colOff>638175</xdr:colOff>
      <xdr:row>13</xdr:row>
      <xdr:rowOff>219075</xdr:rowOff>
    </xdr:to>
    <xdr:sp>
      <xdr:nvSpPr>
        <xdr:cNvPr id="66" name="Line 239"/>
        <xdr:cNvSpPr>
          <a:spLocks/>
        </xdr:cNvSpPr>
      </xdr:nvSpPr>
      <xdr:spPr>
        <a:xfrm>
          <a:off x="2676525" y="31908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14</xdr:row>
      <xdr:rowOff>209550</xdr:rowOff>
    </xdr:from>
    <xdr:to>
      <xdr:col>5</xdr:col>
      <xdr:colOff>619125</xdr:colOff>
      <xdr:row>14</xdr:row>
      <xdr:rowOff>209550</xdr:rowOff>
    </xdr:to>
    <xdr:sp>
      <xdr:nvSpPr>
        <xdr:cNvPr id="67" name="Line 240"/>
        <xdr:cNvSpPr>
          <a:spLocks/>
        </xdr:cNvSpPr>
      </xdr:nvSpPr>
      <xdr:spPr>
        <a:xfrm>
          <a:off x="2247900" y="34099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7</xdr:row>
      <xdr:rowOff>9525</xdr:rowOff>
    </xdr:from>
    <xdr:to>
      <xdr:col>5</xdr:col>
      <xdr:colOff>590550</xdr:colOff>
      <xdr:row>12</xdr:row>
      <xdr:rowOff>28575</xdr:rowOff>
    </xdr:to>
    <xdr:sp>
      <xdr:nvSpPr>
        <xdr:cNvPr id="68" name="Line 241"/>
        <xdr:cNvSpPr>
          <a:spLocks/>
        </xdr:cNvSpPr>
      </xdr:nvSpPr>
      <xdr:spPr>
        <a:xfrm>
          <a:off x="4029075" y="160972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12</xdr:row>
      <xdr:rowOff>38100</xdr:rowOff>
    </xdr:from>
    <xdr:to>
      <xdr:col>5</xdr:col>
      <xdr:colOff>590550</xdr:colOff>
      <xdr:row>13</xdr:row>
      <xdr:rowOff>9525</xdr:rowOff>
    </xdr:to>
    <xdr:sp>
      <xdr:nvSpPr>
        <xdr:cNvPr id="69" name="Line 242"/>
        <xdr:cNvSpPr>
          <a:spLocks/>
        </xdr:cNvSpPr>
      </xdr:nvSpPr>
      <xdr:spPr>
        <a:xfrm>
          <a:off x="4029075" y="27813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13</xdr:row>
      <xdr:rowOff>9525</xdr:rowOff>
    </xdr:from>
    <xdr:to>
      <xdr:col>5</xdr:col>
      <xdr:colOff>590550</xdr:colOff>
      <xdr:row>13</xdr:row>
      <xdr:rowOff>209550</xdr:rowOff>
    </xdr:to>
    <xdr:sp>
      <xdr:nvSpPr>
        <xdr:cNvPr id="70" name="Line 243"/>
        <xdr:cNvSpPr>
          <a:spLocks/>
        </xdr:cNvSpPr>
      </xdr:nvSpPr>
      <xdr:spPr>
        <a:xfrm>
          <a:off x="4029075" y="29813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13</xdr:row>
      <xdr:rowOff>209550</xdr:rowOff>
    </xdr:from>
    <xdr:to>
      <xdr:col>5</xdr:col>
      <xdr:colOff>590550</xdr:colOff>
      <xdr:row>14</xdr:row>
      <xdr:rowOff>200025</xdr:rowOff>
    </xdr:to>
    <xdr:sp>
      <xdr:nvSpPr>
        <xdr:cNvPr id="71" name="Line 244"/>
        <xdr:cNvSpPr>
          <a:spLocks/>
        </xdr:cNvSpPr>
      </xdr:nvSpPr>
      <xdr:spPr>
        <a:xfrm>
          <a:off x="4029075" y="31813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3</xdr:row>
      <xdr:rowOff>28575</xdr:rowOff>
    </xdr:from>
    <xdr:to>
      <xdr:col>6</xdr:col>
      <xdr:colOff>381000</xdr:colOff>
      <xdr:row>4</xdr:row>
      <xdr:rowOff>123825</xdr:rowOff>
    </xdr:to>
    <xdr:grpSp>
      <xdr:nvGrpSpPr>
        <xdr:cNvPr id="72" name="Group 252"/>
        <xdr:cNvGrpSpPr>
          <a:grpSpLocks/>
        </xdr:cNvGrpSpPr>
      </xdr:nvGrpSpPr>
      <xdr:grpSpPr>
        <a:xfrm>
          <a:off x="3829050" y="714375"/>
          <a:ext cx="676275" cy="323850"/>
          <a:chOff x="402" y="123"/>
          <a:chExt cx="71" cy="34"/>
        </a:xfrm>
        <a:solidFill>
          <a:srgbClr val="FFFFFF"/>
        </a:solidFill>
      </xdr:grpSpPr>
      <xdr:sp>
        <xdr:nvSpPr>
          <xdr:cNvPr id="73" name="Line 245"/>
          <xdr:cNvSpPr>
            <a:spLocks/>
          </xdr:cNvSpPr>
        </xdr:nvSpPr>
        <xdr:spPr>
          <a:xfrm>
            <a:off x="402" y="123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Line 246"/>
          <xdr:cNvSpPr>
            <a:spLocks/>
          </xdr:cNvSpPr>
        </xdr:nvSpPr>
        <xdr:spPr>
          <a:xfrm>
            <a:off x="415" y="123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Line 247"/>
          <xdr:cNvSpPr>
            <a:spLocks/>
          </xdr:cNvSpPr>
        </xdr:nvSpPr>
        <xdr:spPr>
          <a:xfrm>
            <a:off x="426" y="123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Line 248"/>
          <xdr:cNvSpPr>
            <a:spLocks/>
          </xdr:cNvSpPr>
        </xdr:nvSpPr>
        <xdr:spPr>
          <a:xfrm>
            <a:off x="438" y="123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249"/>
          <xdr:cNvSpPr>
            <a:spLocks/>
          </xdr:cNvSpPr>
        </xdr:nvSpPr>
        <xdr:spPr>
          <a:xfrm>
            <a:off x="449" y="123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250"/>
          <xdr:cNvSpPr>
            <a:spLocks/>
          </xdr:cNvSpPr>
        </xdr:nvSpPr>
        <xdr:spPr>
          <a:xfrm>
            <a:off x="462" y="123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251"/>
          <xdr:cNvSpPr>
            <a:spLocks/>
          </xdr:cNvSpPr>
        </xdr:nvSpPr>
        <xdr:spPr>
          <a:xfrm>
            <a:off x="473" y="123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638175</xdr:colOff>
      <xdr:row>5</xdr:row>
      <xdr:rowOff>95250</xdr:rowOff>
    </xdr:from>
    <xdr:to>
      <xdr:col>3</xdr:col>
      <xdr:colOff>638175</xdr:colOff>
      <xdr:row>7</xdr:row>
      <xdr:rowOff>0</xdr:rowOff>
    </xdr:to>
    <xdr:sp>
      <xdr:nvSpPr>
        <xdr:cNvPr id="80" name="Line 253"/>
        <xdr:cNvSpPr>
          <a:spLocks/>
        </xdr:cNvSpPr>
      </xdr:nvSpPr>
      <xdr:spPr>
        <a:xfrm flipV="1">
          <a:off x="2705100" y="12382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95250</xdr:rowOff>
    </xdr:from>
    <xdr:to>
      <xdr:col>4</xdr:col>
      <xdr:colOff>85725</xdr:colOff>
      <xdr:row>7</xdr:row>
      <xdr:rowOff>0</xdr:rowOff>
    </xdr:to>
    <xdr:sp>
      <xdr:nvSpPr>
        <xdr:cNvPr id="81" name="Line 254"/>
        <xdr:cNvSpPr>
          <a:spLocks/>
        </xdr:cNvSpPr>
      </xdr:nvSpPr>
      <xdr:spPr>
        <a:xfrm flipV="1">
          <a:off x="2838450" y="12382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5</xdr:row>
      <xdr:rowOff>133350</xdr:rowOff>
    </xdr:from>
    <xdr:to>
      <xdr:col>4</xdr:col>
      <xdr:colOff>76200</xdr:colOff>
      <xdr:row>5</xdr:row>
      <xdr:rowOff>133350</xdr:rowOff>
    </xdr:to>
    <xdr:sp>
      <xdr:nvSpPr>
        <xdr:cNvPr id="82" name="Line 255"/>
        <xdr:cNvSpPr>
          <a:spLocks/>
        </xdr:cNvSpPr>
      </xdr:nvSpPr>
      <xdr:spPr>
        <a:xfrm flipH="1">
          <a:off x="2705100" y="12763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1</xdr:row>
      <xdr:rowOff>200025</xdr:rowOff>
    </xdr:from>
    <xdr:to>
      <xdr:col>6</xdr:col>
      <xdr:colOff>542925</xdr:colOff>
      <xdr:row>2</xdr:row>
      <xdr:rowOff>200025</xdr:rowOff>
    </xdr:to>
    <xdr:sp textlink="$R$39">
      <xdr:nvSpPr>
        <xdr:cNvPr id="83" name="TextBox 257"/>
        <xdr:cNvSpPr txBox="1">
          <a:spLocks noChangeArrowheads="1"/>
        </xdr:cNvSpPr>
      </xdr:nvSpPr>
      <xdr:spPr>
        <a:xfrm>
          <a:off x="3810000" y="428625"/>
          <a:ext cx="857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df67c6b1-e6cd-4f59-8d62-11690eed3793}" type="TxLink">
            <a:rPr lang="en-US" cap="none" sz="1100" b="0" i="0" u="none" baseline="0"/>
            <a:t>q=0kN/m2</a:t>
          </a:fld>
        </a:p>
      </xdr:txBody>
    </xdr:sp>
    <xdr:clientData/>
  </xdr:twoCellAnchor>
  <xdr:twoCellAnchor>
    <xdr:from>
      <xdr:col>0</xdr:col>
      <xdr:colOff>266700</xdr:colOff>
      <xdr:row>5</xdr:row>
      <xdr:rowOff>47625</xdr:rowOff>
    </xdr:from>
    <xdr:to>
      <xdr:col>1</xdr:col>
      <xdr:colOff>438150</xdr:colOff>
      <xdr:row>6</xdr:row>
      <xdr:rowOff>47625</xdr:rowOff>
    </xdr:to>
    <xdr:sp textlink="$R$21">
      <xdr:nvSpPr>
        <xdr:cNvPr id="84" name="TextBox 258"/>
        <xdr:cNvSpPr txBox="1">
          <a:spLocks noChangeArrowheads="1"/>
        </xdr:cNvSpPr>
      </xdr:nvSpPr>
      <xdr:spPr>
        <a:xfrm>
          <a:off x="266700" y="1190625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4b091ce5-2887-4192-9a8e-cc33aeaa5c4a}" type="TxLink">
            <a:rPr lang="en-US" cap="none" sz="1100" b="0" i="0" u="none" baseline="0"/>
            <a:t>Ho=2m</a:t>
          </a:fld>
        </a:p>
      </xdr:txBody>
    </xdr:sp>
    <xdr:clientData/>
  </xdr:twoCellAnchor>
  <xdr:twoCellAnchor>
    <xdr:from>
      <xdr:col>0</xdr:col>
      <xdr:colOff>276225</xdr:colOff>
      <xdr:row>10</xdr:row>
      <xdr:rowOff>57150</xdr:rowOff>
    </xdr:from>
    <xdr:to>
      <xdr:col>1</xdr:col>
      <xdr:colOff>447675</xdr:colOff>
      <xdr:row>11</xdr:row>
      <xdr:rowOff>57150</xdr:rowOff>
    </xdr:to>
    <xdr:sp textlink="$R$22">
      <xdr:nvSpPr>
        <xdr:cNvPr id="85" name="TextBox 259"/>
        <xdr:cNvSpPr txBox="1">
          <a:spLocks noChangeArrowheads="1"/>
        </xdr:cNvSpPr>
      </xdr:nvSpPr>
      <xdr:spPr>
        <a:xfrm>
          <a:off x="276225" y="2343150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18ace149-6531-4485-a881-4f31509ecef2}" type="TxLink">
            <a:rPr lang="en-US" cap="none" sz="1100" b="0" i="0" u="none" baseline="0"/>
            <a:t>H=10m</a:t>
          </a:fld>
        </a:p>
      </xdr:txBody>
    </xdr:sp>
    <xdr:clientData/>
  </xdr:twoCellAnchor>
  <xdr:twoCellAnchor>
    <xdr:from>
      <xdr:col>1</xdr:col>
      <xdr:colOff>123825</xdr:colOff>
      <xdr:row>8</xdr:row>
      <xdr:rowOff>142875</xdr:rowOff>
    </xdr:from>
    <xdr:to>
      <xdr:col>2</xdr:col>
      <xdr:colOff>457200</xdr:colOff>
      <xdr:row>9</xdr:row>
      <xdr:rowOff>142875</xdr:rowOff>
    </xdr:to>
    <xdr:sp textlink="$R$24">
      <xdr:nvSpPr>
        <xdr:cNvPr id="86" name="TextBox 260"/>
        <xdr:cNvSpPr txBox="1">
          <a:spLocks noChangeArrowheads="1"/>
        </xdr:cNvSpPr>
      </xdr:nvSpPr>
      <xdr:spPr>
        <a:xfrm>
          <a:off x="809625" y="197167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3d06f55f-9eef-4058-bc2a-0c4ac958e3d5}" type="TxLink">
            <a:rPr lang="en-US" cap="none" sz="1100" b="0" i="0" u="none" baseline="0"/>
            <a:t>HW=5m</a:t>
          </a:fld>
        </a:p>
      </xdr:txBody>
    </xdr:sp>
    <xdr:clientData/>
  </xdr:twoCellAnchor>
  <xdr:twoCellAnchor>
    <xdr:from>
      <xdr:col>1</xdr:col>
      <xdr:colOff>400050</xdr:colOff>
      <xdr:row>12</xdr:row>
      <xdr:rowOff>200025</xdr:rowOff>
    </xdr:from>
    <xdr:to>
      <xdr:col>2</xdr:col>
      <xdr:colOff>571500</xdr:colOff>
      <xdr:row>13</xdr:row>
      <xdr:rowOff>200025</xdr:rowOff>
    </xdr:to>
    <xdr:sp textlink="$R$25">
      <xdr:nvSpPr>
        <xdr:cNvPr id="87" name="TextBox 261"/>
        <xdr:cNvSpPr txBox="1">
          <a:spLocks noChangeArrowheads="1"/>
        </xdr:cNvSpPr>
      </xdr:nvSpPr>
      <xdr:spPr>
        <a:xfrm>
          <a:off x="1085850" y="2943225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1494bf6-786f-490b-aeda-002518a87e2f}" type="TxLink">
            <a:rPr lang="en-US" cap="none" sz="1100" b="0" i="0" u="none" baseline="0"/>
            <a:t>Hf=5m</a:t>
          </a:fld>
        </a:p>
      </xdr:txBody>
    </xdr:sp>
    <xdr:clientData/>
  </xdr:twoCellAnchor>
  <xdr:twoCellAnchor>
    <xdr:from>
      <xdr:col>2</xdr:col>
      <xdr:colOff>152400</xdr:colOff>
      <xdr:row>9</xdr:row>
      <xdr:rowOff>66675</xdr:rowOff>
    </xdr:from>
    <xdr:to>
      <xdr:col>3</xdr:col>
      <xdr:colOff>314325</xdr:colOff>
      <xdr:row>10</xdr:row>
      <xdr:rowOff>66675</xdr:rowOff>
    </xdr:to>
    <xdr:sp textlink="$R$33">
      <xdr:nvSpPr>
        <xdr:cNvPr id="88" name="TextBox 262"/>
        <xdr:cNvSpPr txBox="1">
          <a:spLocks noChangeArrowheads="1"/>
        </xdr:cNvSpPr>
      </xdr:nvSpPr>
      <xdr:spPr>
        <a:xfrm>
          <a:off x="1524000" y="2124075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0f630fa2-26f2-4bf3-9919-d1894a4fea6c}" type="TxLink">
            <a:rPr lang="en-US" cap="none" sz="1100" b="0" i="0" u="none" baseline="0"/>
            <a:t>bs=0.5m</a:t>
          </a:fld>
        </a:p>
      </xdr:txBody>
    </xdr:sp>
    <xdr:clientData/>
  </xdr:twoCellAnchor>
  <xdr:twoCellAnchor>
    <xdr:from>
      <xdr:col>2</xdr:col>
      <xdr:colOff>295275</xdr:colOff>
      <xdr:row>7</xdr:row>
      <xdr:rowOff>152400</xdr:rowOff>
    </xdr:from>
    <xdr:to>
      <xdr:col>3</xdr:col>
      <xdr:colOff>457200</xdr:colOff>
      <xdr:row>8</xdr:row>
      <xdr:rowOff>152400</xdr:rowOff>
    </xdr:to>
    <xdr:sp textlink="$R$35">
      <xdr:nvSpPr>
        <xdr:cNvPr id="89" name="TextBox 263"/>
        <xdr:cNvSpPr txBox="1">
          <a:spLocks noChangeArrowheads="1"/>
        </xdr:cNvSpPr>
      </xdr:nvSpPr>
      <xdr:spPr>
        <a:xfrm>
          <a:off x="1666875" y="1752600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fbec8be1-e6b5-4a89-b03f-69c1bf06fbb9}" type="TxLink">
            <a:rPr lang="en-US" cap="none" sz="1100" b="0" i="0" u="none" baseline="0"/>
            <a:t>1: 0.2</a:t>
          </a:fld>
        </a:p>
      </xdr:txBody>
    </xdr:sp>
    <xdr:clientData/>
  </xdr:twoCellAnchor>
  <xdr:twoCellAnchor>
    <xdr:from>
      <xdr:col>5</xdr:col>
      <xdr:colOff>638175</xdr:colOff>
      <xdr:row>9</xdr:row>
      <xdr:rowOff>38100</xdr:rowOff>
    </xdr:from>
    <xdr:to>
      <xdr:col>7</xdr:col>
      <xdr:colOff>85725</xdr:colOff>
      <xdr:row>10</xdr:row>
      <xdr:rowOff>38100</xdr:rowOff>
    </xdr:to>
    <xdr:sp textlink="$R$23">
      <xdr:nvSpPr>
        <xdr:cNvPr id="90" name="TextBox 264"/>
        <xdr:cNvSpPr txBox="1">
          <a:spLocks noChangeArrowheads="1"/>
        </xdr:cNvSpPr>
      </xdr:nvSpPr>
      <xdr:spPr>
        <a:xfrm>
          <a:off x="4076700" y="2095500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7183234-733c-46e8-9df6-e66a75847e42}" type="TxLink">
            <a:rPr lang="en-US" cap="none" sz="1100" b="0" i="0" u="none" baseline="0"/>
            <a:t>HA=7m</a:t>
          </a:fld>
        </a:p>
      </xdr:txBody>
    </xdr:sp>
    <xdr:clientData/>
  </xdr:twoCellAnchor>
  <xdr:twoCellAnchor>
    <xdr:from>
      <xdr:col>4</xdr:col>
      <xdr:colOff>238125</xdr:colOff>
      <xdr:row>8</xdr:row>
      <xdr:rowOff>142875</xdr:rowOff>
    </xdr:from>
    <xdr:to>
      <xdr:col>5</xdr:col>
      <xdr:colOff>409575</xdr:colOff>
      <xdr:row>9</xdr:row>
      <xdr:rowOff>142875</xdr:rowOff>
    </xdr:to>
    <xdr:sp textlink="$R$36">
      <xdr:nvSpPr>
        <xdr:cNvPr id="91" name="TextBox 265"/>
        <xdr:cNvSpPr txBox="1">
          <a:spLocks noChangeArrowheads="1"/>
        </xdr:cNvSpPr>
      </xdr:nvSpPr>
      <xdr:spPr>
        <a:xfrm>
          <a:off x="2990850" y="1971675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a749816-80c4-42ee-a751-d0d5116840cf}" type="TxLink">
            <a:rPr lang="en-US" cap="none" sz="1100" b="0" i="0" u="none" baseline="0"/>
            <a:t>1: 0.3</a:t>
          </a:fld>
        </a:p>
      </xdr:txBody>
    </xdr:sp>
    <xdr:clientData/>
  </xdr:twoCellAnchor>
  <xdr:twoCellAnchor>
    <xdr:from>
      <xdr:col>5</xdr:col>
      <xdr:colOff>628650</xdr:colOff>
      <xdr:row>11</xdr:row>
      <xdr:rowOff>209550</xdr:rowOff>
    </xdr:from>
    <xdr:to>
      <xdr:col>7</xdr:col>
      <xdr:colOff>76200</xdr:colOff>
      <xdr:row>12</xdr:row>
      <xdr:rowOff>209550</xdr:rowOff>
    </xdr:to>
    <xdr:sp textlink="$R$28">
      <xdr:nvSpPr>
        <xdr:cNvPr id="92" name="TextBox 266"/>
        <xdr:cNvSpPr txBox="1">
          <a:spLocks noChangeArrowheads="1"/>
        </xdr:cNvSpPr>
      </xdr:nvSpPr>
      <xdr:spPr>
        <a:xfrm>
          <a:off x="4067175" y="2724150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e46ae1f-212c-4f65-a444-1385e7e36aab}" type="TxLink">
            <a:rPr lang="en-US" cap="none" sz="1100" b="0" i="0" u="none" baseline="0"/>
            <a:t>H3=1m</a:t>
          </a:fld>
        </a:p>
      </xdr:txBody>
    </xdr:sp>
    <xdr:clientData/>
  </xdr:twoCellAnchor>
  <xdr:twoCellAnchor>
    <xdr:from>
      <xdr:col>5</xdr:col>
      <xdr:colOff>628650</xdr:colOff>
      <xdr:row>13</xdr:row>
      <xdr:rowOff>9525</xdr:rowOff>
    </xdr:from>
    <xdr:to>
      <xdr:col>7</xdr:col>
      <xdr:colOff>76200</xdr:colOff>
      <xdr:row>14</xdr:row>
      <xdr:rowOff>9525</xdr:rowOff>
    </xdr:to>
    <xdr:sp textlink="$R$27">
      <xdr:nvSpPr>
        <xdr:cNvPr id="93" name="TextBox 267"/>
        <xdr:cNvSpPr txBox="1">
          <a:spLocks noChangeArrowheads="1"/>
        </xdr:cNvSpPr>
      </xdr:nvSpPr>
      <xdr:spPr>
        <a:xfrm>
          <a:off x="4067175" y="2981325"/>
          <a:ext cx="857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a3103b7c-6b10-4d86-a332-75980964d3d3}" type="TxLink">
            <a:rPr lang="en-US" cap="none" sz="1100" b="0" i="0" u="none" baseline="0"/>
            <a:t>H2=1m</a:t>
          </a:fld>
        </a:p>
      </xdr:txBody>
    </xdr:sp>
    <xdr:clientData/>
  </xdr:twoCellAnchor>
  <xdr:twoCellAnchor>
    <xdr:from>
      <xdr:col>5</xdr:col>
      <xdr:colOff>628650</xdr:colOff>
      <xdr:row>14</xdr:row>
      <xdr:rowOff>9525</xdr:rowOff>
    </xdr:from>
    <xdr:to>
      <xdr:col>7</xdr:col>
      <xdr:colOff>76200</xdr:colOff>
      <xdr:row>15</xdr:row>
      <xdr:rowOff>9525</xdr:rowOff>
    </xdr:to>
    <xdr:sp textlink="$R$26">
      <xdr:nvSpPr>
        <xdr:cNvPr id="94" name="TextBox 268"/>
        <xdr:cNvSpPr txBox="1">
          <a:spLocks noChangeArrowheads="1"/>
        </xdr:cNvSpPr>
      </xdr:nvSpPr>
      <xdr:spPr>
        <a:xfrm>
          <a:off x="4067175" y="3209925"/>
          <a:ext cx="857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6b657a5a-d7a6-43c6-bc94-58db6623ee0a}" type="TxLink">
            <a:rPr lang="en-US" cap="none" sz="1100" b="0" i="0" u="none" baseline="0"/>
            <a:t>H1=1m</a:t>
          </a:fld>
        </a:p>
      </xdr:txBody>
    </xdr:sp>
    <xdr:clientData/>
  </xdr:twoCellAnchor>
  <xdr:twoCellAnchor>
    <xdr:from>
      <xdr:col>4</xdr:col>
      <xdr:colOff>0</xdr:colOff>
      <xdr:row>15</xdr:row>
      <xdr:rowOff>19050</xdr:rowOff>
    </xdr:from>
    <xdr:to>
      <xdr:col>5</xdr:col>
      <xdr:colOff>171450</xdr:colOff>
      <xdr:row>16</xdr:row>
      <xdr:rowOff>19050</xdr:rowOff>
    </xdr:to>
    <xdr:sp textlink="$R$31">
      <xdr:nvSpPr>
        <xdr:cNvPr id="95" name="TextBox 269"/>
        <xdr:cNvSpPr txBox="1">
          <a:spLocks noChangeArrowheads="1"/>
        </xdr:cNvSpPr>
      </xdr:nvSpPr>
      <xdr:spPr>
        <a:xfrm>
          <a:off x="2752725" y="3448050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2d3d02f-2ce4-41d8-b7a0-fbc9450da2ff}" type="TxLink">
            <a:rPr lang="en-US" cap="none" sz="1100" b="0" i="0" u="none" baseline="0"/>
            <a:t>B3=1.4m</a:t>
          </a:fld>
        </a:p>
      </xdr:txBody>
    </xdr:sp>
    <xdr:clientData/>
  </xdr:twoCellAnchor>
  <xdr:twoCellAnchor>
    <xdr:from>
      <xdr:col>3</xdr:col>
      <xdr:colOff>238125</xdr:colOff>
      <xdr:row>16</xdr:row>
      <xdr:rowOff>9525</xdr:rowOff>
    </xdr:from>
    <xdr:to>
      <xdr:col>4</xdr:col>
      <xdr:colOff>409575</xdr:colOff>
      <xdr:row>17</xdr:row>
      <xdr:rowOff>9525</xdr:rowOff>
    </xdr:to>
    <xdr:sp textlink="$R$30">
      <xdr:nvSpPr>
        <xdr:cNvPr id="96" name="TextBox 270"/>
        <xdr:cNvSpPr txBox="1">
          <a:spLocks noChangeArrowheads="1"/>
        </xdr:cNvSpPr>
      </xdr:nvSpPr>
      <xdr:spPr>
        <a:xfrm>
          <a:off x="2305050" y="3667125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78c0c8f-6373-44af-acaf-8897376fabf6}" type="TxLink">
            <a:rPr lang="en-US" cap="none" sz="1100" b="0" i="0" u="none" baseline="0"/>
            <a:t>B2=1.5m</a:t>
          </a:fld>
        </a:p>
      </xdr:txBody>
    </xdr:sp>
    <xdr:clientData/>
  </xdr:twoCellAnchor>
  <xdr:twoCellAnchor>
    <xdr:from>
      <xdr:col>1</xdr:col>
      <xdr:colOff>676275</xdr:colOff>
      <xdr:row>15</xdr:row>
      <xdr:rowOff>219075</xdr:rowOff>
    </xdr:from>
    <xdr:to>
      <xdr:col>3</xdr:col>
      <xdr:colOff>152400</xdr:colOff>
      <xdr:row>16</xdr:row>
      <xdr:rowOff>219075</xdr:rowOff>
    </xdr:to>
    <xdr:sp textlink="$R$29">
      <xdr:nvSpPr>
        <xdr:cNvPr id="97" name="TextBox 271"/>
        <xdr:cNvSpPr txBox="1">
          <a:spLocks noChangeArrowheads="1"/>
        </xdr:cNvSpPr>
      </xdr:nvSpPr>
      <xdr:spPr>
        <a:xfrm>
          <a:off x="1362075" y="3648075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b4678101-878e-4eee-aa69-deefe16b531a}" type="TxLink">
            <a:rPr lang="en-US" cap="none" sz="1100" b="0" i="0" u="none" baseline="0"/>
            <a:t>B1=1.5m</a:t>
          </a:fld>
        </a:p>
      </xdr:txBody>
    </xdr:sp>
    <xdr:clientData/>
  </xdr:twoCellAnchor>
  <xdr:twoCellAnchor>
    <xdr:from>
      <xdr:col>3</xdr:col>
      <xdr:colOff>180975</xdr:colOff>
      <xdr:row>4</xdr:row>
      <xdr:rowOff>47625</xdr:rowOff>
    </xdr:from>
    <xdr:to>
      <xdr:col>4</xdr:col>
      <xdr:colOff>352425</xdr:colOff>
      <xdr:row>5</xdr:row>
      <xdr:rowOff>47625</xdr:rowOff>
    </xdr:to>
    <xdr:sp textlink="$R$32">
      <xdr:nvSpPr>
        <xdr:cNvPr id="98" name="TextBox 272"/>
        <xdr:cNvSpPr txBox="1">
          <a:spLocks noChangeArrowheads="1"/>
        </xdr:cNvSpPr>
      </xdr:nvSpPr>
      <xdr:spPr>
        <a:xfrm>
          <a:off x="2247900" y="962025"/>
          <a:ext cx="857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fld id="{ed67b316-1dda-40df-a177-a2dbbbffec1b}" type="TxLink">
            <a:rPr lang="en-US" cap="none" sz="1100" b="0" i="0" u="none" baseline="0"/>
            <a:t>bo=0.4m</a:t>
          </a:fld>
        </a:p>
      </xdr:txBody>
    </xdr:sp>
    <xdr:clientData/>
  </xdr:twoCellAnchor>
  <xdr:twoCellAnchor>
    <xdr:from>
      <xdr:col>3</xdr:col>
      <xdr:colOff>161925</xdr:colOff>
      <xdr:row>11</xdr:row>
      <xdr:rowOff>200025</xdr:rowOff>
    </xdr:from>
    <xdr:to>
      <xdr:col>4</xdr:col>
      <xdr:colOff>333375</xdr:colOff>
      <xdr:row>12</xdr:row>
      <xdr:rowOff>200025</xdr:rowOff>
    </xdr:to>
    <xdr:sp textlink="$R$37">
      <xdr:nvSpPr>
        <xdr:cNvPr id="99" name="TextBox 273"/>
        <xdr:cNvSpPr txBox="1">
          <a:spLocks noChangeArrowheads="1"/>
        </xdr:cNvSpPr>
      </xdr:nvSpPr>
      <xdr:spPr>
        <a:xfrm>
          <a:off x="2228850" y="2714625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63d3fc13-24db-4fdb-b520-d18c6a29384c}" type="TxLink">
            <a:rPr lang="en-US" cap="none" sz="1100" b="0" i="0" u="none" baseline="0"/>
            <a:t>1: 0.2</a:t>
          </a:fld>
        </a:p>
      </xdr:txBody>
    </xdr:sp>
    <xdr:clientData/>
  </xdr:twoCellAnchor>
  <xdr:twoCellAnchor>
    <xdr:from>
      <xdr:col>5</xdr:col>
      <xdr:colOff>19050</xdr:colOff>
      <xdr:row>5</xdr:row>
      <xdr:rowOff>104775</xdr:rowOff>
    </xdr:from>
    <xdr:to>
      <xdr:col>6</xdr:col>
      <xdr:colOff>190500</xdr:colOff>
      <xdr:row>6</xdr:row>
      <xdr:rowOff>104775</xdr:rowOff>
    </xdr:to>
    <xdr:sp textlink="$R$38">
      <xdr:nvSpPr>
        <xdr:cNvPr id="100" name="TextBox 274"/>
        <xdr:cNvSpPr txBox="1">
          <a:spLocks noChangeArrowheads="1"/>
        </xdr:cNvSpPr>
      </xdr:nvSpPr>
      <xdr:spPr>
        <a:xfrm>
          <a:off x="3457575" y="1247775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a6d0f60-51c6-4a85-bb67-c9c038ca9264}" type="TxLink">
            <a:rPr lang="en-US" cap="none" sz="1100" b="0" i="0" u="none" baseline="0"/>
            <a:t>1: 1.5</a:t>
          </a:fld>
        </a:p>
      </xdr:txBody>
    </xdr:sp>
    <xdr:clientData/>
  </xdr:twoCellAnchor>
  <xdr:twoCellAnchor>
    <xdr:from>
      <xdr:col>1</xdr:col>
      <xdr:colOff>381000</xdr:colOff>
      <xdr:row>13</xdr:row>
      <xdr:rowOff>95250</xdr:rowOff>
    </xdr:from>
    <xdr:to>
      <xdr:col>2</xdr:col>
      <xdr:colOff>552450</xdr:colOff>
      <xdr:row>14</xdr:row>
      <xdr:rowOff>95250</xdr:rowOff>
    </xdr:to>
    <xdr:sp textlink="$R$35">
      <xdr:nvSpPr>
        <xdr:cNvPr id="101" name="TextBox 275"/>
        <xdr:cNvSpPr txBox="1">
          <a:spLocks noChangeArrowheads="1"/>
        </xdr:cNvSpPr>
      </xdr:nvSpPr>
      <xdr:spPr>
        <a:xfrm>
          <a:off x="1066800" y="3067050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fld id="{bf6ce013-b720-4731-aedb-5936f3459d17}" type="TxLink">
            <a:rPr lang="en-US" cap="none" sz="1100" b="0" i="0" u="none" baseline="0"/>
            <a:t>1: 0.2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37"/>
  <sheetViews>
    <sheetView showGridLines="0" showRowColHeaders="0" tabSelected="1" workbookViewId="0" topLeftCell="A13">
      <selection activeCell="A32" sqref="A32:G41"/>
    </sheetView>
  </sheetViews>
  <sheetFormatPr defaultColWidth="9.00390625" defaultRowHeight="13.5"/>
  <cols>
    <col min="1" max="36" width="9.00390625" style="140" customWidth="1"/>
    <col min="37" max="37" width="9.375" style="140" customWidth="1"/>
    <col min="38" max="38" width="9.00390625" style="140" customWidth="1"/>
    <col min="39" max="39" width="13.50390625" style="140" customWidth="1"/>
    <col min="40" max="16384" width="9.00390625" style="140" customWidth="1"/>
  </cols>
  <sheetData>
    <row r="1" spans="1:40" ht="15">
      <c r="A1" s="138" t="s">
        <v>72</v>
      </c>
      <c r="B1" s="139"/>
      <c r="C1" s="139"/>
      <c r="D1" s="139"/>
      <c r="E1" s="139"/>
      <c r="F1" s="159" t="str">
        <f>'段切り基礎擁壁'!C2</f>
        <v>地震時</v>
      </c>
      <c r="G1" s="139"/>
      <c r="H1" s="139"/>
      <c r="I1" s="139"/>
      <c r="J1" s="139"/>
      <c r="K1" s="139"/>
      <c r="L1" s="139"/>
      <c r="P1" s="141" t="s">
        <v>90</v>
      </c>
      <c r="AJ1" s="118"/>
      <c r="AK1" s="118"/>
      <c r="AL1" s="118"/>
      <c r="AM1" s="118"/>
      <c r="AN1" s="118"/>
    </row>
    <row r="2" spans="1:40" ht="15">
      <c r="A2" s="139" t="s">
        <v>93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P2" s="141" t="s">
        <v>91</v>
      </c>
      <c r="Q2" s="142" t="s">
        <v>92</v>
      </c>
      <c r="R2" s="137">
        <v>200</v>
      </c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J2" s="118"/>
      <c r="AK2" s="161" t="str">
        <f>"H="&amp;H&amp;"m"</f>
        <v>H=10m</v>
      </c>
      <c r="AL2" s="161"/>
      <c r="AM2" s="161" t="str">
        <f>"γ="&amp;γ&amp;"kN/m3"</f>
        <v>γ=20kN/m3</v>
      </c>
      <c r="AN2" s="118"/>
    </row>
    <row r="3" spans="1:40" ht="16.5">
      <c r="A3" s="139"/>
      <c r="B3" s="143" t="s">
        <v>96</v>
      </c>
      <c r="C3" s="135">
        <v>2</v>
      </c>
      <c r="D3" s="139" t="s">
        <v>97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1" t="s">
        <v>94</v>
      </c>
      <c r="Q3" s="142" t="s">
        <v>95</v>
      </c>
      <c r="R3" s="137">
        <v>100</v>
      </c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39"/>
      <c r="AJ3" s="118"/>
      <c r="AK3" s="161" t="str">
        <f>"Ho="&amp;Ho&amp;"m"</f>
        <v>Ho=2m</v>
      </c>
      <c r="AL3" s="161"/>
      <c r="AM3" s="161" t="str">
        <f>"φ="&amp;φd&amp;"゜"</f>
        <v>φ=35゜</v>
      </c>
      <c r="AN3" s="118"/>
    </row>
    <row r="4" spans="1:40" ht="15">
      <c r="A4" s="139"/>
      <c r="B4" s="143" t="s">
        <v>98</v>
      </c>
      <c r="C4" s="135">
        <v>10</v>
      </c>
      <c r="D4" s="139" t="s">
        <v>97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18"/>
      <c r="AK4" s="161" t="str">
        <f>"HA="&amp;HA&amp;"m"</f>
        <v>HA=7m</v>
      </c>
      <c r="AL4" s="161"/>
      <c r="AM4" s="161" t="str">
        <f>"c="&amp;cu&amp;"kN/m2"</f>
        <v>c=7kN/m2</v>
      </c>
      <c r="AN4" s="118"/>
    </row>
    <row r="5" spans="1:40" ht="16.5">
      <c r="A5" s="139"/>
      <c r="B5" s="143" t="s">
        <v>99</v>
      </c>
      <c r="C5" s="135">
        <v>7</v>
      </c>
      <c r="D5" s="139" t="s">
        <v>97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18"/>
      <c r="AK5" s="161" t="str">
        <f>"Hw="&amp;Hw&amp;"m"</f>
        <v>Hw=5m</v>
      </c>
      <c r="AL5" s="161"/>
      <c r="AM5" s="161"/>
      <c r="AN5" s="118"/>
    </row>
    <row r="6" spans="1:40" ht="16.5">
      <c r="A6" s="139"/>
      <c r="B6" s="143" t="s">
        <v>100</v>
      </c>
      <c r="C6" s="135">
        <v>5</v>
      </c>
      <c r="D6" s="139" t="s">
        <v>97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18"/>
      <c r="AK6" s="161" t="str">
        <f>"Hf="&amp;Hf&amp;"m"</f>
        <v>Hf=5m</v>
      </c>
      <c r="AL6" s="161"/>
      <c r="AM6" s="161" t="str">
        <f>"μ="&amp;μ</f>
        <v>μ=0.7</v>
      </c>
      <c r="AN6" s="118"/>
    </row>
    <row r="7" spans="1:40" ht="16.5">
      <c r="A7" s="139"/>
      <c r="B7" s="143" t="s">
        <v>101</v>
      </c>
      <c r="C7" s="162">
        <f>C4-C6</f>
        <v>5</v>
      </c>
      <c r="D7" s="139" t="s">
        <v>97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18"/>
      <c r="AK7" s="161" t="str">
        <f>"B1="&amp;Bfa&amp;"m"</f>
        <v>B1=1.5m</v>
      </c>
      <c r="AL7" s="161"/>
      <c r="AM7" s="161" t="str">
        <f>"qd="&amp;qd&amp;"kN/m2"</f>
        <v>qd=1800kN/m2</v>
      </c>
      <c r="AN7" s="118"/>
    </row>
    <row r="8" spans="1:40" ht="16.5">
      <c r="A8" s="139"/>
      <c r="B8" s="143" t="s">
        <v>102</v>
      </c>
      <c r="C8" s="135">
        <v>1</v>
      </c>
      <c r="D8" s="139" t="s">
        <v>97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18"/>
      <c r="AK8" s="161" t="str">
        <f>"B2="&amp;Bse&amp;"m"</f>
        <v>B2=1.5m</v>
      </c>
      <c r="AL8" s="161"/>
      <c r="AM8" s="161" t="str">
        <f>"N="&amp;N</f>
        <v>N=50</v>
      </c>
      <c r="AN8" s="118"/>
    </row>
    <row r="9" spans="1:40" ht="16.5">
      <c r="A9" s="139"/>
      <c r="B9" s="143" t="s">
        <v>103</v>
      </c>
      <c r="C9" s="135">
        <v>1</v>
      </c>
      <c r="D9" s="139" t="s">
        <v>97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18"/>
      <c r="AK9" s="161" t="str">
        <f>"B3="&amp;Bth&amp;"m"</f>
        <v>B3=1.4m</v>
      </c>
      <c r="AL9" s="161"/>
      <c r="AM9" s="161"/>
      <c r="AN9" s="118"/>
    </row>
    <row r="10" spans="1:40" ht="16.5">
      <c r="A10" s="139"/>
      <c r="B10" s="143" t="s">
        <v>104</v>
      </c>
      <c r="C10" s="162">
        <f>C4-(C8+C9+C5)</f>
        <v>1</v>
      </c>
      <c r="D10" s="139" t="s">
        <v>97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18"/>
      <c r="AK10" s="161" t="str">
        <f>"H1="&amp;Hfa&amp;"m"</f>
        <v>H1=1m</v>
      </c>
      <c r="AL10" s="161"/>
      <c r="AM10" s="161"/>
      <c r="AN10" s="118"/>
    </row>
    <row r="11" spans="1:40" ht="16.5">
      <c r="A11" s="139"/>
      <c r="B11" s="143" t="s">
        <v>105</v>
      </c>
      <c r="C11" s="135">
        <v>1.5</v>
      </c>
      <c r="D11" s="139" t="s">
        <v>97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18"/>
      <c r="AK11" s="161" t="str">
        <f>"H2="&amp;Hse&amp;"m"</f>
        <v>H2=1m</v>
      </c>
      <c r="AL11" s="161"/>
      <c r="AM11" s="161"/>
      <c r="AN11" s="118"/>
    </row>
    <row r="12" spans="1:40" ht="16.5">
      <c r="A12" s="139"/>
      <c r="B12" s="143" t="s">
        <v>106</v>
      </c>
      <c r="C12" s="135">
        <v>1.5</v>
      </c>
      <c r="D12" s="139" t="s">
        <v>97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18"/>
      <c r="AK12" s="161" t="str">
        <f>"H3="&amp;C10&amp;"m"</f>
        <v>H3=1m</v>
      </c>
      <c r="AL12" s="161"/>
      <c r="AM12" s="161"/>
      <c r="AN12" s="118"/>
    </row>
    <row r="13" spans="1:40" ht="16.5">
      <c r="A13" s="139"/>
      <c r="B13" s="143" t="s">
        <v>107</v>
      </c>
      <c r="C13" s="144">
        <f>ROUND(C4*C17+C15+C14+C5*C18-(C4-C5)*C19-(C11+C12),2)</f>
        <v>1.4</v>
      </c>
      <c r="D13" s="139" t="s">
        <v>97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18"/>
      <c r="AK13" s="161" t="str">
        <f>"bo="&amp;bo&amp;"m"</f>
        <v>bo=0.4m</v>
      </c>
      <c r="AL13" s="161"/>
      <c r="AM13" s="161"/>
      <c r="AN13" s="118"/>
    </row>
    <row r="14" spans="1:40" ht="16.5">
      <c r="A14" s="139"/>
      <c r="B14" s="143" t="s">
        <v>108</v>
      </c>
      <c r="C14" s="135">
        <v>0.4</v>
      </c>
      <c r="D14" s="139" t="s">
        <v>97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18"/>
      <c r="AK14" s="161" t="str">
        <f>"bs="&amp;bs&amp;"m"</f>
        <v>bs=0.5m</v>
      </c>
      <c r="AL14" s="161"/>
      <c r="AM14" s="161"/>
      <c r="AN14" s="118"/>
    </row>
    <row r="15" spans="1:40" ht="16.5">
      <c r="A15" s="139"/>
      <c r="B15" s="143" t="s">
        <v>109</v>
      </c>
      <c r="C15" s="135">
        <v>0.5</v>
      </c>
      <c r="D15" s="139" t="s">
        <v>97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18"/>
      <c r="AK15" s="161" t="str">
        <f>"1:"&amp;nf</f>
        <v>1:0.2</v>
      </c>
      <c r="AL15" s="161"/>
      <c r="AM15" s="161"/>
      <c r="AN15" s="118"/>
    </row>
    <row r="16" spans="1:40" ht="16.5">
      <c r="A16" s="139"/>
      <c r="B16" s="143" t="s">
        <v>110</v>
      </c>
      <c r="C16" s="135">
        <v>10</v>
      </c>
      <c r="D16" s="139" t="s">
        <v>111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18"/>
      <c r="AK16" s="161" t="str">
        <f>"1:"&amp;nr</f>
        <v>1:0.3</v>
      </c>
      <c r="AL16" s="161"/>
      <c r="AM16" s="161"/>
      <c r="AN16" s="118"/>
    </row>
    <row r="17" spans="1:40" ht="16.5">
      <c r="A17" s="139"/>
      <c r="B17" s="143" t="s">
        <v>112</v>
      </c>
      <c r="C17" s="135">
        <v>0.2</v>
      </c>
      <c r="D17" s="141" t="s">
        <v>113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18"/>
      <c r="AK17" s="161" t="str">
        <f>"1:"&amp;nb</f>
        <v>1:0.2</v>
      </c>
      <c r="AL17" s="161"/>
      <c r="AM17" s="161"/>
      <c r="AN17" s="118"/>
    </row>
    <row r="18" spans="1:40" ht="16.5">
      <c r="A18" s="139"/>
      <c r="B18" s="143" t="s">
        <v>114</v>
      </c>
      <c r="C18" s="135">
        <v>0.3</v>
      </c>
      <c r="D18" s="141" t="s">
        <v>115</v>
      </c>
      <c r="E18" s="139"/>
      <c r="F18" s="139"/>
      <c r="G18" s="139"/>
      <c r="H18" s="139"/>
      <c r="I18" s="139"/>
      <c r="J18" s="139"/>
      <c r="K18" s="139"/>
      <c r="L18" s="139"/>
      <c r="AI18" s="139"/>
      <c r="AJ18" s="118"/>
      <c r="AK18" s="161" t="str">
        <f>"1:"&amp;m</f>
        <v>1:1.5</v>
      </c>
      <c r="AL18" s="161"/>
      <c r="AM18" s="161"/>
      <c r="AN18" s="118"/>
    </row>
    <row r="19" spans="1:39" ht="16.5">
      <c r="A19" s="139"/>
      <c r="B19" s="143" t="s">
        <v>117</v>
      </c>
      <c r="C19" s="135">
        <v>0.2</v>
      </c>
      <c r="D19" s="141" t="s">
        <v>118</v>
      </c>
      <c r="E19" s="139"/>
      <c r="K19" s="139"/>
      <c r="L19" s="139"/>
      <c r="M19" s="141" t="s">
        <v>71</v>
      </c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18"/>
      <c r="AK19" s="161" t="str">
        <f>"q="&amp;q&amp;"kN/m2"</f>
        <v>q=0kN/m2</v>
      </c>
      <c r="AL19" s="161"/>
      <c r="AM19" s="161"/>
    </row>
    <row r="20" spans="1:39" ht="15">
      <c r="A20" s="139"/>
      <c r="B20" s="143" t="s">
        <v>125</v>
      </c>
      <c r="C20" s="135">
        <v>1.5</v>
      </c>
      <c r="D20" s="141" t="s">
        <v>126</v>
      </c>
      <c r="E20" s="139"/>
      <c r="K20" s="147"/>
      <c r="L20" s="139"/>
      <c r="M20" s="196" t="s">
        <v>119</v>
      </c>
      <c r="N20" s="194"/>
      <c r="O20" s="194"/>
      <c r="P20" s="145" t="s">
        <v>122</v>
      </c>
      <c r="Q20" s="145" t="s">
        <v>123</v>
      </c>
      <c r="R20" s="145" t="s">
        <v>124</v>
      </c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39"/>
      <c r="AJ20" s="118"/>
      <c r="AK20" s="161"/>
      <c r="AL20" s="161"/>
      <c r="AM20" s="161"/>
    </row>
    <row r="21" spans="1:39" ht="18">
      <c r="A21" s="139" t="s">
        <v>131</v>
      </c>
      <c r="B21" s="148" t="s">
        <v>132</v>
      </c>
      <c r="C21" s="143" t="s">
        <v>133</v>
      </c>
      <c r="D21" s="135">
        <v>0</v>
      </c>
      <c r="E21" s="139" t="s">
        <v>134</v>
      </c>
      <c r="K21" s="150"/>
      <c r="L21" s="139"/>
      <c r="M21" s="196" t="s">
        <v>67</v>
      </c>
      <c r="N21" s="196" t="s">
        <v>129</v>
      </c>
      <c r="O21" s="145" t="s">
        <v>130</v>
      </c>
      <c r="P21" s="151">
        <f>'段切り基礎擁壁'!E399</f>
        <v>0.2542466666666667</v>
      </c>
      <c r="Q21" s="149">
        <f>'段切り基礎擁壁'!H399</f>
        <v>6.75</v>
      </c>
      <c r="R21" s="146" t="str">
        <f>'段切り基礎擁壁'!I400</f>
        <v>SAFE</v>
      </c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39"/>
      <c r="AJ21" s="118"/>
      <c r="AK21" s="118"/>
      <c r="AL21" s="118"/>
      <c r="AM21" s="118"/>
    </row>
    <row r="22" spans="1:34" ht="16.5">
      <c r="A22" s="139"/>
      <c r="B22" s="148" t="s">
        <v>136</v>
      </c>
      <c r="C22" s="143" t="s">
        <v>74</v>
      </c>
      <c r="D22" s="135">
        <v>0.1</v>
      </c>
      <c r="E22" s="139"/>
      <c r="F22" s="141" t="s">
        <v>116</v>
      </c>
      <c r="G22" s="139"/>
      <c r="H22" s="139"/>
      <c r="I22" s="139"/>
      <c r="J22" s="139"/>
      <c r="K22" s="144"/>
      <c r="L22" s="139"/>
      <c r="M22" s="194"/>
      <c r="N22" s="194"/>
      <c r="O22" s="145" t="s">
        <v>135</v>
      </c>
      <c r="P22" s="151">
        <f>'段切り基礎擁壁'!E401</f>
        <v>0.42475333333333337</v>
      </c>
      <c r="Q22" s="149">
        <f>'段切り基礎擁壁'!H401</f>
        <v>6.75</v>
      </c>
      <c r="R22" s="146" t="str">
        <f>'段切り基礎擁壁'!I402</f>
        <v>SAFE</v>
      </c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</row>
    <row r="23" spans="1:34" ht="18">
      <c r="A23" s="141" t="s">
        <v>140</v>
      </c>
      <c r="B23" s="148" t="s">
        <v>141</v>
      </c>
      <c r="C23" s="148" t="s">
        <v>75</v>
      </c>
      <c r="D23" s="136">
        <v>20</v>
      </c>
      <c r="E23" s="139" t="s">
        <v>142</v>
      </c>
      <c r="F23" s="196" t="s">
        <v>119</v>
      </c>
      <c r="G23" s="197"/>
      <c r="H23" s="145" t="s">
        <v>70</v>
      </c>
      <c r="I23" s="145" t="s">
        <v>120</v>
      </c>
      <c r="J23" s="145" t="s">
        <v>121</v>
      </c>
      <c r="K23" s="144"/>
      <c r="L23" s="139"/>
      <c r="M23" s="194"/>
      <c r="N23" s="195" t="s">
        <v>139</v>
      </c>
      <c r="O23" s="201"/>
      <c r="P23" s="151">
        <f>'段切り基礎擁壁'!E405</f>
        <v>0.11574</v>
      </c>
      <c r="Q23" s="149">
        <f>'段切り基礎擁壁'!H405</f>
        <v>0.49499999999999994</v>
      </c>
      <c r="R23" s="146" t="str">
        <f>'段切り基礎擁壁'!I406</f>
        <v>SAFE</v>
      </c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</row>
    <row r="24" spans="1:34" ht="15">
      <c r="A24" s="139"/>
      <c r="B24" s="153" t="s">
        <v>49</v>
      </c>
      <c r="C24" s="148" t="s">
        <v>77</v>
      </c>
      <c r="D24" s="136">
        <v>35</v>
      </c>
      <c r="E24" s="141" t="s">
        <v>144</v>
      </c>
      <c r="F24" s="198" t="s">
        <v>127</v>
      </c>
      <c r="G24" s="145" t="s">
        <v>128</v>
      </c>
      <c r="H24" s="149">
        <f>'段切り基礎擁壁'!D337</f>
        <v>1.4643442720747721</v>
      </c>
      <c r="I24" s="149">
        <f>'段切り基礎擁壁'!F337</f>
        <v>1.2</v>
      </c>
      <c r="J24" s="146" t="str">
        <f>'段切り基礎擁壁'!G337</f>
        <v>SAFE</v>
      </c>
      <c r="K24" s="144"/>
      <c r="L24" s="139"/>
      <c r="M24" s="196" t="s">
        <v>68</v>
      </c>
      <c r="N24" s="196" t="s">
        <v>143</v>
      </c>
      <c r="O24" s="145" t="s">
        <v>130</v>
      </c>
      <c r="P24" s="151">
        <f>'段切り基礎擁壁'!E452</f>
        <v>0.2778192000000001</v>
      </c>
      <c r="Q24" s="149">
        <f>'段切り基礎擁壁'!H452</f>
        <v>6.75</v>
      </c>
      <c r="R24" s="146" t="str">
        <f>'段切り基礎擁壁'!I453</f>
        <v>SAFE</v>
      </c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</row>
    <row r="25" spans="1:34" ht="18">
      <c r="A25" s="139"/>
      <c r="B25" s="148" t="s">
        <v>147</v>
      </c>
      <c r="C25" s="143" t="s">
        <v>79</v>
      </c>
      <c r="D25" s="136">
        <v>7</v>
      </c>
      <c r="E25" s="139" t="s">
        <v>148</v>
      </c>
      <c r="F25" s="199"/>
      <c r="G25" s="152" t="s">
        <v>161</v>
      </c>
      <c r="H25" s="149">
        <f>'段切り基礎擁壁'!D334</f>
        <v>1.81</v>
      </c>
      <c r="I25" s="149">
        <f>'段切り基礎擁壁'!F334</f>
        <v>1.5</v>
      </c>
      <c r="J25" s="149" t="str">
        <f>'段切り基礎擁壁'!G334</f>
        <v>SAFE</v>
      </c>
      <c r="K25" s="144"/>
      <c r="L25" s="139"/>
      <c r="M25" s="194"/>
      <c r="N25" s="194"/>
      <c r="O25" s="145" t="s">
        <v>146</v>
      </c>
      <c r="P25" s="151">
        <f>'段切り基礎擁壁'!E454</f>
        <v>0.13963413333333324</v>
      </c>
      <c r="Q25" s="149">
        <f>'段切り基礎擁壁'!H454</f>
        <v>6.75</v>
      </c>
      <c r="R25" s="146" t="str">
        <f>'段切り基礎擁壁'!I455</f>
        <v>SAFE</v>
      </c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</row>
    <row r="26" spans="1:34" ht="18">
      <c r="A26" s="154" t="s">
        <v>151</v>
      </c>
      <c r="B26" s="153" t="s">
        <v>152</v>
      </c>
      <c r="C26" s="143" t="s">
        <v>81</v>
      </c>
      <c r="D26" s="137">
        <v>1800</v>
      </c>
      <c r="E26" s="139" t="s">
        <v>153</v>
      </c>
      <c r="F26" s="198" t="s">
        <v>137</v>
      </c>
      <c r="G26" s="145" t="s">
        <v>138</v>
      </c>
      <c r="H26" s="146">
        <f>'段切り基礎擁壁'!D347</f>
        <v>2.15</v>
      </c>
      <c r="I26" s="149">
        <f>'段切り基礎擁壁'!F347</f>
        <v>1.2</v>
      </c>
      <c r="J26" s="149" t="str">
        <f>'段切り基礎擁壁'!G347</f>
        <v>SAFE</v>
      </c>
      <c r="K26" s="144"/>
      <c r="L26" s="139"/>
      <c r="M26" s="194"/>
      <c r="N26" s="195" t="s">
        <v>150</v>
      </c>
      <c r="O26" s="201"/>
      <c r="P26" s="151">
        <f>'段切り基礎擁壁'!E458</f>
        <v>0.09153666666666666</v>
      </c>
      <c r="Q26" s="149">
        <f>'段切り基礎擁壁'!H458</f>
        <v>0.49499999999999994</v>
      </c>
      <c r="R26" s="146" t="str">
        <f>'段切り基礎擁壁'!I459</f>
        <v>SAFE</v>
      </c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</row>
    <row r="27" spans="1:34" ht="15">
      <c r="A27" s="139"/>
      <c r="B27" s="153" t="s">
        <v>155</v>
      </c>
      <c r="C27" s="148" t="s">
        <v>83</v>
      </c>
      <c r="D27" s="137">
        <v>0.7</v>
      </c>
      <c r="E27" s="139"/>
      <c r="F27" s="200"/>
      <c r="G27" s="145" t="s">
        <v>68</v>
      </c>
      <c r="H27" s="146">
        <f>'段切り基礎擁壁'!D348</f>
        <v>1.21</v>
      </c>
      <c r="I27" s="149">
        <f>'段切り基礎擁壁'!F348</f>
        <v>1.2</v>
      </c>
      <c r="J27" s="149" t="str">
        <f>'段切り基礎擁壁'!G348</f>
        <v>SAFE</v>
      </c>
      <c r="K27" s="144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</row>
    <row r="28" spans="1:12" ht="15">
      <c r="A28" s="139"/>
      <c r="B28" s="142" t="s">
        <v>84</v>
      </c>
      <c r="C28" s="142" t="s">
        <v>50</v>
      </c>
      <c r="D28" s="137">
        <v>50</v>
      </c>
      <c r="E28" s="141" t="s">
        <v>156</v>
      </c>
      <c r="F28" s="200"/>
      <c r="G28" s="145" t="s">
        <v>145</v>
      </c>
      <c r="H28" s="146" t="str">
        <f>'段切り基礎擁壁'!D349</f>
        <v>***</v>
      </c>
      <c r="I28" s="149" t="str">
        <f>'段切り基礎擁壁'!F349</f>
        <v>***</v>
      </c>
      <c r="J28" s="149" t="str">
        <f>'段切り基礎擁壁'!G349</f>
        <v>***</v>
      </c>
      <c r="K28" s="139"/>
      <c r="L28" s="139"/>
    </row>
    <row r="29" spans="1:12" ht="18">
      <c r="A29" s="139" t="s">
        <v>157</v>
      </c>
      <c r="B29" s="148" t="s">
        <v>158</v>
      </c>
      <c r="C29" s="148" t="s">
        <v>85</v>
      </c>
      <c r="D29" s="137">
        <v>23</v>
      </c>
      <c r="E29" s="139" t="s">
        <v>142</v>
      </c>
      <c r="F29" s="200"/>
      <c r="G29" s="145" t="s">
        <v>149</v>
      </c>
      <c r="H29" s="146">
        <f>'段切り基礎擁壁'!D350</f>
        <v>1.79</v>
      </c>
      <c r="I29" s="149">
        <f>'段切り基礎擁壁'!F350</f>
        <v>1.2</v>
      </c>
      <c r="J29" s="149" t="str">
        <f>'段切り基礎擁壁'!G350</f>
        <v>SAFE</v>
      </c>
      <c r="K29" s="139"/>
      <c r="L29" s="139"/>
    </row>
    <row r="30" spans="1:12" ht="18">
      <c r="A30" s="139"/>
      <c r="B30" s="148" t="s">
        <v>159</v>
      </c>
      <c r="C30" s="148" t="s">
        <v>87</v>
      </c>
      <c r="D30" s="137">
        <v>18</v>
      </c>
      <c r="E30" s="139" t="s">
        <v>160</v>
      </c>
      <c r="F30" s="196" t="s">
        <v>154</v>
      </c>
      <c r="G30" s="194"/>
      <c r="H30" s="151">
        <f>'段切り基礎擁壁'!E355</f>
        <v>3.848291786034977</v>
      </c>
      <c r="I30" s="149">
        <f>'段切り基礎擁壁'!G355</f>
        <v>2</v>
      </c>
      <c r="J30" s="149" t="str">
        <f>'段切り基礎擁壁'!H355</f>
        <v>SAFE</v>
      </c>
      <c r="K30" s="139"/>
      <c r="L30" s="139"/>
    </row>
    <row r="31" spans="1:12" ht="1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</row>
    <row r="32" spans="11:12" ht="15">
      <c r="K32" s="139"/>
      <c r="L32" s="139"/>
    </row>
    <row r="33" spans="11:14" ht="15">
      <c r="K33" s="139"/>
      <c r="L33" s="155"/>
      <c r="M33" s="156"/>
      <c r="N33" s="156"/>
    </row>
    <row r="34" spans="11:14" ht="15">
      <c r="K34" s="155"/>
      <c r="L34" s="155"/>
      <c r="M34" s="156"/>
      <c r="N34" s="156"/>
    </row>
    <row r="35" spans="1:14" s="157" customFormat="1" ht="30" customHeight="1">
      <c r="A35" s="140"/>
      <c r="B35" s="140"/>
      <c r="C35" s="140"/>
      <c r="D35" s="140"/>
      <c r="E35" s="140"/>
      <c r="F35" s="140"/>
      <c r="G35" s="140"/>
      <c r="K35" s="155"/>
      <c r="L35" s="158"/>
      <c r="M35" s="158"/>
      <c r="N35" s="158"/>
    </row>
    <row r="36" spans="11:14" ht="17.25">
      <c r="K36" s="158"/>
      <c r="L36" s="156"/>
      <c r="M36" s="156"/>
      <c r="N36" s="156"/>
    </row>
    <row r="37" ht="13.5">
      <c r="K37" s="156"/>
    </row>
  </sheetData>
  <sheetProtection/>
  <mergeCells count="11">
    <mergeCell ref="M20:O20"/>
    <mergeCell ref="N21:N22"/>
    <mergeCell ref="N24:N25"/>
    <mergeCell ref="M21:M23"/>
    <mergeCell ref="M24:M26"/>
    <mergeCell ref="N26:O26"/>
    <mergeCell ref="N23:O23"/>
    <mergeCell ref="F23:G23"/>
    <mergeCell ref="F24:F25"/>
    <mergeCell ref="F26:F29"/>
    <mergeCell ref="F30:G30"/>
  </mergeCells>
  <conditionalFormatting sqref="H25">
    <cfRule type="cellIs" priority="1" dxfId="0" operator="lessThan" stopIfTrue="1">
      <formula>$I$25</formula>
    </cfRule>
  </conditionalFormatting>
  <conditionalFormatting sqref="H26:H28">
    <cfRule type="cellIs" priority="2" dxfId="0" operator="lessThan" stopIfTrue="1">
      <formula>$I$26</formula>
    </cfRule>
  </conditionalFormatting>
  <conditionalFormatting sqref="H29">
    <cfRule type="cellIs" priority="3" dxfId="0" operator="lessThan" stopIfTrue="1">
      <formula>$I$29</formula>
    </cfRule>
  </conditionalFormatting>
  <conditionalFormatting sqref="H30">
    <cfRule type="cellIs" priority="4" dxfId="0" operator="lessThan" stopIfTrue="1">
      <formula>$I$30</formula>
    </cfRule>
  </conditionalFormatting>
  <conditionalFormatting sqref="P21">
    <cfRule type="cellIs" priority="5" dxfId="0" operator="greaterThan" stopIfTrue="1">
      <formula>$Q$21</formula>
    </cfRule>
  </conditionalFormatting>
  <conditionalFormatting sqref="P23">
    <cfRule type="cellIs" priority="6" dxfId="0" operator="greaterThan" stopIfTrue="1">
      <formula>$Q$23</formula>
    </cfRule>
  </conditionalFormatting>
  <conditionalFormatting sqref="P24">
    <cfRule type="cellIs" priority="7" dxfId="0" operator="greaterThan" stopIfTrue="1">
      <formula>$Q$24</formula>
    </cfRule>
  </conditionalFormatting>
  <conditionalFormatting sqref="P26">
    <cfRule type="cellIs" priority="8" dxfId="0" operator="greaterThan" stopIfTrue="1">
      <formula>$Q$26</formula>
    </cfRule>
  </conditionalFormatting>
  <conditionalFormatting sqref="H24">
    <cfRule type="cellIs" priority="9" dxfId="0" operator="lessThan" stopIfTrue="1">
      <formula>$I$24</formula>
    </cfRule>
  </conditionalFormatting>
  <printOptions/>
  <pageMargins left="0.75" right="0.75" top="1" bottom="1" header="0.512" footer="0.512"/>
  <pageSetup horizontalDpi="600" verticalDpi="600" orientation="landscape" paperSize="9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R619"/>
  <sheetViews>
    <sheetView zoomScale="75" zoomScaleNormal="75" workbookViewId="0" topLeftCell="A349">
      <selection activeCell="H374" sqref="H374"/>
    </sheetView>
  </sheetViews>
  <sheetFormatPr defaultColWidth="9.00390625" defaultRowHeight="18" customHeight="1"/>
  <cols>
    <col min="1" max="1" width="9.00390625" style="128" customWidth="1"/>
    <col min="2" max="2" width="9.00390625" style="22" customWidth="1"/>
    <col min="3" max="3" width="9.125" style="22" bestFit="1" customWidth="1"/>
    <col min="4" max="6" width="9.00390625" style="22" customWidth="1"/>
    <col min="7" max="7" width="9.50390625" style="22" bestFit="1" customWidth="1"/>
    <col min="8" max="11" width="9.00390625" style="22" customWidth="1"/>
    <col min="12" max="12" width="9.25390625" style="22" customWidth="1"/>
    <col min="13" max="17" width="9.00390625" style="22" customWidth="1"/>
    <col min="18" max="18" width="10.875" style="22" customWidth="1"/>
    <col min="19" max="34" width="9.00390625" style="22" customWidth="1"/>
    <col min="35" max="35" width="10.125" style="22" bestFit="1" customWidth="1"/>
    <col min="36" max="42" width="9.00390625" style="22" customWidth="1"/>
    <col min="43" max="43" width="11.625" style="22" bestFit="1" customWidth="1"/>
    <col min="44" max="16384" width="9.00390625" style="22" customWidth="1"/>
  </cols>
  <sheetData>
    <row r="1" ht="18" customHeight="1">
      <c r="A1" s="38" t="s">
        <v>438</v>
      </c>
    </row>
    <row r="2" spans="1:3" ht="18" customHeight="1">
      <c r="A2" s="38" t="s">
        <v>439</v>
      </c>
      <c r="C2" s="22" t="str">
        <f>IF(kH&gt;0,"地震時","常時")</f>
        <v>地震時</v>
      </c>
    </row>
    <row r="3" ht="18" customHeight="1">
      <c r="A3" s="38" t="s">
        <v>440</v>
      </c>
    </row>
    <row r="4" spans="38:45" ht="18" customHeight="1">
      <c r="AL4" s="21"/>
      <c r="AM4" s="21"/>
      <c r="AN4" s="21"/>
      <c r="AO4" s="21"/>
      <c r="AP4" s="21"/>
      <c r="AQ4" s="21"/>
      <c r="AR4" s="21"/>
      <c r="AS4" s="21"/>
    </row>
    <row r="5" spans="1:45" ht="18" customHeight="1">
      <c r="A5" s="38"/>
      <c r="AE5" s="32" t="s">
        <v>162</v>
      </c>
      <c r="AL5" s="21"/>
      <c r="AM5" s="80" t="s">
        <v>94</v>
      </c>
      <c r="AN5" s="21"/>
      <c r="AO5" s="21"/>
      <c r="AP5" s="21"/>
      <c r="AQ5" s="21"/>
      <c r="AR5" s="21"/>
      <c r="AS5" s="21"/>
    </row>
    <row r="6" spans="1:45" ht="18" customHeight="1">
      <c r="A6" s="38"/>
      <c r="AC6" s="177" t="s">
        <v>466</v>
      </c>
      <c r="AD6" s="41" t="s">
        <v>464</v>
      </c>
      <c r="AE6" s="108" t="s">
        <v>465</v>
      </c>
      <c r="AF6" s="32" t="s">
        <v>163</v>
      </c>
      <c r="AG6" s="32" t="s">
        <v>274</v>
      </c>
      <c r="AH6" s="32" t="s">
        <v>164</v>
      </c>
      <c r="AI6" s="32" t="s">
        <v>165</v>
      </c>
      <c r="AJ6" s="32" t="s">
        <v>275</v>
      </c>
      <c r="AK6" s="32" t="s">
        <v>166</v>
      </c>
      <c r="AL6" s="80" t="s">
        <v>276</v>
      </c>
      <c r="AM6" s="80" t="s">
        <v>277</v>
      </c>
      <c r="AN6" s="80" t="s">
        <v>278</v>
      </c>
      <c r="AO6" s="80" t="s">
        <v>279</v>
      </c>
      <c r="AP6" s="21"/>
      <c r="AQ6" s="21"/>
      <c r="AR6" s="21"/>
      <c r="AS6" s="21"/>
    </row>
    <row r="7" spans="1:45" ht="18" customHeight="1">
      <c r="A7" s="38"/>
      <c r="AC7" s="52">
        <v>0</v>
      </c>
      <c r="AD7" s="70">
        <f>D68</f>
        <v>0</v>
      </c>
      <c r="AE7" s="71">
        <f>E68</f>
        <v>0</v>
      </c>
      <c r="AL7" s="21"/>
      <c r="AM7" s="21"/>
      <c r="AN7" s="21"/>
      <c r="AO7" s="21"/>
      <c r="AP7" s="21"/>
      <c r="AQ7" s="21"/>
      <c r="AR7" s="21"/>
      <c r="AS7" s="21"/>
    </row>
    <row r="8" spans="1:45" ht="18" customHeight="1">
      <c r="A8" s="38"/>
      <c r="AC8" s="52">
        <f>AC7+1</f>
        <v>1</v>
      </c>
      <c r="AD8" s="70">
        <f aca="true" t="shared" si="0" ref="AD8:AE17">D69</f>
        <v>1</v>
      </c>
      <c r="AE8" s="71">
        <f t="shared" si="0"/>
        <v>5</v>
      </c>
      <c r="AL8" s="21"/>
      <c r="AM8" s="21"/>
      <c r="AN8" s="21"/>
      <c r="AO8" s="21"/>
      <c r="AP8" s="21"/>
      <c r="AQ8" s="21"/>
      <c r="AR8" s="21"/>
      <c r="AS8" s="21"/>
    </row>
    <row r="9" spans="1:45" ht="18" customHeight="1">
      <c r="A9" s="38"/>
      <c r="AC9" s="52">
        <f aca="true" t="shared" si="1" ref="AC9:AC17">AC8+1</f>
        <v>2</v>
      </c>
      <c r="AD9" s="70">
        <f t="shared" si="0"/>
        <v>1.5</v>
      </c>
      <c r="AE9" s="71">
        <f t="shared" si="0"/>
        <v>5</v>
      </c>
      <c r="AL9" s="21"/>
      <c r="AM9" s="21"/>
      <c r="AN9" s="21"/>
      <c r="AO9" s="21"/>
      <c r="AP9" s="21"/>
      <c r="AQ9" s="21"/>
      <c r="AR9" s="21"/>
      <c r="AS9" s="21"/>
    </row>
    <row r="10" spans="1:45" ht="18" customHeight="1">
      <c r="A10" s="38"/>
      <c r="AC10" s="52">
        <f t="shared" si="1"/>
        <v>3</v>
      </c>
      <c r="AD10" s="70">
        <f t="shared" si="0"/>
        <v>2.5</v>
      </c>
      <c r="AE10" s="71">
        <f t="shared" si="0"/>
        <v>10</v>
      </c>
      <c r="AL10" s="21"/>
      <c r="AM10" s="21"/>
      <c r="AN10" s="21"/>
      <c r="AO10" s="21"/>
      <c r="AP10" s="21"/>
      <c r="AQ10" s="21"/>
      <c r="AR10" s="21"/>
      <c r="AS10" s="21"/>
    </row>
    <row r="11" spans="29:45" ht="18" customHeight="1">
      <c r="AC11" s="52">
        <f t="shared" si="1"/>
        <v>4</v>
      </c>
      <c r="AD11" s="70">
        <f t="shared" si="0"/>
        <v>2.9</v>
      </c>
      <c r="AE11" s="71">
        <f t="shared" si="0"/>
        <v>10</v>
      </c>
      <c r="AL11" s="21"/>
      <c r="AM11" s="21"/>
      <c r="AN11" s="21"/>
      <c r="AO11" s="21"/>
      <c r="AP11" s="21"/>
      <c r="AQ11" s="21"/>
      <c r="AR11" s="21"/>
      <c r="AS11" s="21"/>
    </row>
    <row r="12" spans="29:45" ht="18" customHeight="1">
      <c r="AC12" s="52">
        <f t="shared" si="1"/>
        <v>5</v>
      </c>
      <c r="AD12" s="70">
        <f t="shared" si="0"/>
        <v>5</v>
      </c>
      <c r="AE12" s="71">
        <f t="shared" si="0"/>
        <v>3</v>
      </c>
      <c r="AL12" s="21"/>
      <c r="AM12" s="21"/>
      <c r="AN12" s="21"/>
      <c r="AO12" s="21"/>
      <c r="AP12" s="21"/>
      <c r="AQ12" s="21"/>
      <c r="AR12" s="21"/>
      <c r="AS12" s="21"/>
    </row>
    <row r="13" spans="29:45" ht="18" customHeight="1">
      <c r="AC13" s="52">
        <f t="shared" si="1"/>
        <v>6</v>
      </c>
      <c r="AD13" s="70">
        <f t="shared" si="0"/>
        <v>4.8</v>
      </c>
      <c r="AE13" s="71">
        <f t="shared" si="0"/>
        <v>2</v>
      </c>
      <c r="AL13" s="21"/>
      <c r="AM13" s="21"/>
      <c r="AN13" s="21"/>
      <c r="AO13" s="21"/>
      <c r="AP13" s="21"/>
      <c r="AQ13" s="21"/>
      <c r="AR13" s="21"/>
      <c r="AS13" s="21"/>
    </row>
    <row r="14" spans="29:45" ht="18" customHeight="1">
      <c r="AC14" s="52">
        <f t="shared" si="1"/>
        <v>7</v>
      </c>
      <c r="AD14" s="70">
        <f t="shared" si="0"/>
        <v>3.4000000000000004</v>
      </c>
      <c r="AE14" s="71">
        <f t="shared" si="0"/>
        <v>2</v>
      </c>
      <c r="AL14" s="21"/>
      <c r="AM14" s="21"/>
      <c r="AN14" s="21"/>
      <c r="AO14" s="21"/>
      <c r="AP14" s="21"/>
      <c r="AQ14" s="21"/>
      <c r="AR14" s="21"/>
      <c r="AS14" s="21"/>
    </row>
    <row r="15" spans="3:45" ht="18" customHeight="1">
      <c r="C15" s="21"/>
      <c r="D15" s="21"/>
      <c r="E15" s="21"/>
      <c r="H15" s="21"/>
      <c r="AC15" s="52">
        <f t="shared" si="1"/>
        <v>8</v>
      </c>
      <c r="AD15" s="70">
        <f t="shared" si="0"/>
        <v>3.2</v>
      </c>
      <c r="AE15" s="71">
        <f t="shared" si="0"/>
        <v>1</v>
      </c>
      <c r="AL15" s="21"/>
      <c r="AM15" s="21"/>
      <c r="AN15" s="21"/>
      <c r="AO15" s="21"/>
      <c r="AP15" s="21"/>
      <c r="AQ15" s="21"/>
      <c r="AR15" s="21"/>
      <c r="AS15" s="21"/>
    </row>
    <row r="16" spans="3:45" ht="18" customHeight="1">
      <c r="C16" s="21"/>
      <c r="D16" s="21"/>
      <c r="E16" s="21"/>
      <c r="H16" s="21"/>
      <c r="AC16" s="52">
        <f t="shared" si="1"/>
        <v>9</v>
      </c>
      <c r="AD16" s="70">
        <f>D77</f>
        <v>1.7</v>
      </c>
      <c r="AE16" s="71">
        <f>E77</f>
        <v>1</v>
      </c>
      <c r="AL16" s="21"/>
      <c r="AM16" s="21"/>
      <c r="AN16" s="21"/>
      <c r="AO16" s="21"/>
      <c r="AP16" s="21"/>
      <c r="AQ16" s="21"/>
      <c r="AR16" s="21"/>
      <c r="AS16" s="21"/>
    </row>
    <row r="17" spans="3:45" ht="18" customHeight="1">
      <c r="C17" s="21"/>
      <c r="D17" s="21"/>
      <c r="E17" s="80"/>
      <c r="H17" s="21"/>
      <c r="AC17" s="126">
        <f t="shared" si="1"/>
        <v>10</v>
      </c>
      <c r="AD17" s="72">
        <f t="shared" si="0"/>
        <v>1.5</v>
      </c>
      <c r="AE17" s="73">
        <f t="shared" si="0"/>
        <v>0</v>
      </c>
      <c r="AL17" s="21"/>
      <c r="AM17" s="21"/>
      <c r="AN17" s="21"/>
      <c r="AO17" s="21"/>
      <c r="AP17" s="21"/>
      <c r="AQ17" s="21"/>
      <c r="AR17" s="21"/>
      <c r="AS17" s="21"/>
    </row>
    <row r="18" spans="3:45" ht="18" customHeight="1">
      <c r="C18" s="21"/>
      <c r="D18" s="21"/>
      <c r="E18" s="21"/>
      <c r="H18" s="21"/>
      <c r="AC18" s="81">
        <v>0</v>
      </c>
      <c r="AD18" s="116">
        <f>D79</f>
        <v>0</v>
      </c>
      <c r="AE18" s="116">
        <f>E79</f>
        <v>0</v>
      </c>
      <c r="AL18" s="21"/>
      <c r="AM18" s="21"/>
      <c r="AN18" s="21"/>
      <c r="AO18" s="21"/>
      <c r="AP18" s="21"/>
      <c r="AQ18" s="21"/>
      <c r="AR18" s="21"/>
      <c r="AS18" s="21"/>
    </row>
    <row r="19" spans="1:45" ht="18" customHeight="1">
      <c r="A19" s="129" t="s">
        <v>416</v>
      </c>
      <c r="B19" s="31" t="s">
        <v>280</v>
      </c>
      <c r="C19" s="40">
        <f>IF(m=0,0,input!C3)</f>
        <v>2</v>
      </c>
      <c r="D19" s="21" t="s">
        <v>167</v>
      </c>
      <c r="E19" s="21"/>
      <c r="H19" s="21"/>
      <c r="AD19" s="22">
        <f>AD11</f>
        <v>2.9</v>
      </c>
      <c r="AF19" s="22">
        <f>AE11</f>
        <v>10</v>
      </c>
      <c r="AL19" s="21"/>
      <c r="AM19" s="21"/>
      <c r="AN19" s="21"/>
      <c r="AO19" s="21"/>
      <c r="AP19" s="21"/>
      <c r="AQ19" s="21"/>
      <c r="AR19" s="21"/>
      <c r="AS19" s="21"/>
    </row>
    <row r="20" spans="1:45" ht="18" customHeight="1">
      <c r="A20" s="38"/>
      <c r="B20" s="31" t="s">
        <v>281</v>
      </c>
      <c r="C20" s="40">
        <f>input!C4</f>
        <v>10</v>
      </c>
      <c r="D20" s="21" t="s">
        <v>167</v>
      </c>
      <c r="E20" s="21"/>
      <c r="AD20" s="22">
        <f>AD19+Ho*m</f>
        <v>5.9</v>
      </c>
      <c r="AF20" s="22">
        <f>AF19+Ho</f>
        <v>12</v>
      </c>
      <c r="AL20" s="21"/>
      <c r="AM20" s="21"/>
      <c r="AN20" s="21"/>
      <c r="AO20" s="21"/>
      <c r="AP20" s="21"/>
      <c r="AQ20" s="21"/>
      <c r="AR20" s="21"/>
      <c r="AS20" s="21"/>
    </row>
    <row r="21" spans="1:45" ht="18" customHeight="1">
      <c r="A21" s="38"/>
      <c r="B21" s="31" t="s">
        <v>282</v>
      </c>
      <c r="C21" s="40">
        <f>input!C5</f>
        <v>7</v>
      </c>
      <c r="D21" s="21" t="s">
        <v>167</v>
      </c>
      <c r="E21" s="21"/>
      <c r="R21" s="22" t="str">
        <f>B19&amp;Ho&amp;D19</f>
        <v>Ho=2m</v>
      </c>
      <c r="AD21" s="22">
        <f>AD24+2</f>
        <v>11.599775814281102</v>
      </c>
      <c r="AF21" s="22">
        <f>AF20</f>
        <v>12</v>
      </c>
      <c r="AL21" s="21"/>
      <c r="AM21" s="21"/>
      <c r="AN21" s="21"/>
      <c r="AO21" s="21"/>
      <c r="AP21" s="21"/>
      <c r="AQ21" s="21"/>
      <c r="AR21" s="21"/>
      <c r="AS21" s="21"/>
    </row>
    <row r="22" spans="1:45" ht="18" customHeight="1">
      <c r="A22" s="38"/>
      <c r="B22" s="31" t="s">
        <v>283</v>
      </c>
      <c r="C22" s="40">
        <f>input!C6</f>
        <v>5</v>
      </c>
      <c r="D22" s="21" t="s">
        <v>167</v>
      </c>
      <c r="E22" s="21"/>
      <c r="R22" s="22" t="str">
        <f>B20&amp;H&amp;D20</f>
        <v>H=10m</v>
      </c>
      <c r="AD22" s="22">
        <f>AD12</f>
        <v>5</v>
      </c>
      <c r="AH22" s="22">
        <f>AE12</f>
        <v>3</v>
      </c>
      <c r="AL22" s="21"/>
      <c r="AM22" s="21"/>
      <c r="AN22" s="21"/>
      <c r="AO22" s="21"/>
      <c r="AP22" s="21"/>
      <c r="AQ22" s="21"/>
      <c r="AR22" s="21"/>
      <c r="AS22" s="21"/>
    </row>
    <row r="23" spans="1:45" ht="18" customHeight="1">
      <c r="A23" s="38"/>
      <c r="B23" s="31" t="s">
        <v>284</v>
      </c>
      <c r="C23" s="40">
        <f>input!C7</f>
        <v>5</v>
      </c>
      <c r="D23" s="21" t="s">
        <v>167</v>
      </c>
      <c r="E23" s="21"/>
      <c r="R23" s="22" t="str">
        <f>B21&amp;HA&amp;D21</f>
        <v>HA=7m</v>
      </c>
      <c r="AD23" s="22">
        <f>AD22+lc*COS(ωa)</f>
        <v>9.599775814281102</v>
      </c>
      <c r="AH23" s="22">
        <f>AH22+lc*SIN(ωa)</f>
        <v>10.655312511120183</v>
      </c>
      <c r="AL23" s="21"/>
      <c r="AM23" s="21"/>
      <c r="AN23" s="21"/>
      <c r="AO23" s="21"/>
      <c r="AP23" s="21"/>
      <c r="AQ23" s="21"/>
      <c r="AR23" s="21"/>
      <c r="AS23" s="21"/>
    </row>
    <row r="24" spans="1:45" ht="18" customHeight="1">
      <c r="A24" s="38"/>
      <c r="B24" s="31" t="s">
        <v>285</v>
      </c>
      <c r="C24" s="40">
        <f>input!C8</f>
        <v>1</v>
      </c>
      <c r="D24" s="21" t="s">
        <v>167</v>
      </c>
      <c r="E24" s="21"/>
      <c r="R24" s="22" t="str">
        <f>B22&amp;Hw&amp;D22</f>
        <v>HW=5m</v>
      </c>
      <c r="AD24" s="22">
        <f>AD23</f>
        <v>9.599775814281102</v>
      </c>
      <c r="AH24" s="22">
        <f>AH23+zc</f>
        <v>12</v>
      </c>
      <c r="AL24" s="21"/>
      <c r="AM24" s="21"/>
      <c r="AN24" s="21"/>
      <c r="AO24" s="21"/>
      <c r="AP24" s="21"/>
      <c r="AQ24" s="21"/>
      <c r="AR24" s="21"/>
      <c r="AS24" s="21"/>
    </row>
    <row r="25" spans="1:45" ht="18" customHeight="1">
      <c r="A25" s="38"/>
      <c r="B25" s="31" t="s">
        <v>286</v>
      </c>
      <c r="C25" s="40">
        <f>input!C9</f>
        <v>1</v>
      </c>
      <c r="D25" s="21" t="s">
        <v>167</v>
      </c>
      <c r="E25" s="21"/>
      <c r="R25" s="22" t="str">
        <f>B23&amp;Hf&amp;D23</f>
        <v>Hf=5m</v>
      </c>
      <c r="AD25" s="22">
        <f>AD20</f>
        <v>5.9</v>
      </c>
      <c r="AG25" s="22">
        <f>AF20</f>
        <v>12</v>
      </c>
      <c r="AL25" s="21"/>
      <c r="AM25" s="21"/>
      <c r="AN25" s="21"/>
      <c r="AO25" s="21"/>
      <c r="AP25" s="21"/>
      <c r="AQ25" s="21"/>
      <c r="AR25" s="21"/>
      <c r="AS25" s="21"/>
    </row>
    <row r="26" spans="1:45" ht="18" customHeight="1">
      <c r="A26" s="38"/>
      <c r="B26" s="31" t="s">
        <v>287</v>
      </c>
      <c r="C26" s="40">
        <f>input!C10</f>
        <v>1</v>
      </c>
      <c r="D26" s="21" t="s">
        <v>167</v>
      </c>
      <c r="E26" s="21"/>
      <c r="R26" s="22" t="str">
        <f>B24&amp;Hfa&amp;D24</f>
        <v>H1=1m</v>
      </c>
      <c r="AD26" s="22">
        <f>AD25</f>
        <v>5.9</v>
      </c>
      <c r="AG26" s="22">
        <f>AG25+q/γ</f>
        <v>12</v>
      </c>
      <c r="AL26" s="21"/>
      <c r="AM26" s="21"/>
      <c r="AN26" s="21"/>
      <c r="AO26" s="21"/>
      <c r="AP26" s="21"/>
      <c r="AQ26" s="21"/>
      <c r="AR26" s="21"/>
      <c r="AS26" s="21"/>
    </row>
    <row r="27" spans="1:45" ht="18" customHeight="1">
      <c r="A27" s="130" t="s">
        <v>69</v>
      </c>
      <c r="B27" s="31" t="s">
        <v>288</v>
      </c>
      <c r="C27" s="40">
        <f>input!C11</f>
        <v>1.5</v>
      </c>
      <c r="D27" s="22" t="s">
        <v>168</v>
      </c>
      <c r="E27" s="21"/>
      <c r="R27" s="22" t="str">
        <f>B25&amp;Hse&amp;D25</f>
        <v>H2=1m</v>
      </c>
      <c r="AD27" s="22">
        <f>AD21</f>
        <v>11.599775814281102</v>
      </c>
      <c r="AG27" s="22">
        <f>AG26</f>
        <v>12</v>
      </c>
      <c r="AL27" s="21"/>
      <c r="AM27" s="21"/>
      <c r="AN27" s="21"/>
      <c r="AO27" s="21"/>
      <c r="AP27" s="21"/>
      <c r="AQ27" s="21"/>
      <c r="AR27" s="21"/>
      <c r="AS27" s="21"/>
    </row>
    <row r="28" spans="2:45" ht="18" customHeight="1">
      <c r="B28" s="31" t="s">
        <v>289</v>
      </c>
      <c r="C28" s="40">
        <f>input!C12</f>
        <v>1.5</v>
      </c>
      <c r="D28" s="22" t="s">
        <v>168</v>
      </c>
      <c r="E28" s="21"/>
      <c r="R28" s="22" t="str">
        <f>B26&amp;C26&amp;D26</f>
        <v>H3=1m</v>
      </c>
      <c r="AD28" s="28">
        <f>F83</f>
        <v>2.548630594522378</v>
      </c>
      <c r="AI28" s="28">
        <f>F84</f>
        <v>4.159652638610555</v>
      </c>
      <c r="AL28" s="21"/>
      <c r="AM28" s="21"/>
      <c r="AN28" s="21"/>
      <c r="AO28" s="21"/>
      <c r="AP28" s="21"/>
      <c r="AQ28" s="21"/>
      <c r="AR28" s="21"/>
      <c r="AS28" s="21"/>
    </row>
    <row r="29" spans="2:45" ht="18" customHeight="1">
      <c r="B29" s="31" t="s">
        <v>290</v>
      </c>
      <c r="C29" s="40">
        <f>input!C13</f>
        <v>1.4</v>
      </c>
      <c r="D29" s="22" t="s">
        <v>168</v>
      </c>
      <c r="E29" s="21"/>
      <c r="R29" s="22" t="str">
        <f>B27&amp;Bfa&amp;D27</f>
        <v>B1=1.5m</v>
      </c>
      <c r="AD29" s="28">
        <f>AD28</f>
        <v>2.548630594522378</v>
      </c>
      <c r="AI29" s="22">
        <f>AI28-G81/input!R2</f>
        <v>1.290402638610555</v>
      </c>
      <c r="AL29" s="21"/>
      <c r="AM29" s="21"/>
      <c r="AN29" s="21"/>
      <c r="AO29" s="21"/>
      <c r="AP29" s="21"/>
      <c r="AQ29" s="21"/>
      <c r="AR29" s="21"/>
      <c r="AS29" s="21"/>
    </row>
    <row r="30" spans="2:45" ht="18" customHeight="1">
      <c r="B30" s="31" t="s">
        <v>291</v>
      </c>
      <c r="C30" s="40">
        <f>input!C14</f>
        <v>0.4</v>
      </c>
      <c r="D30" s="22" t="s">
        <v>168</v>
      </c>
      <c r="E30" s="21"/>
      <c r="G30" s="31"/>
      <c r="H30" s="40"/>
      <c r="R30" s="22" t="str">
        <f>B28&amp;Bse&amp;D28</f>
        <v>B2=1.5m</v>
      </c>
      <c r="AD30" s="28">
        <f>AD28</f>
        <v>2.548630594522378</v>
      </c>
      <c r="AJ30" s="28">
        <f>AI28</f>
        <v>4.159652638610555</v>
      </c>
      <c r="AL30" s="21"/>
      <c r="AM30" s="21"/>
      <c r="AN30" s="21"/>
      <c r="AO30" s="21"/>
      <c r="AP30" s="21"/>
      <c r="AQ30" s="21"/>
      <c r="AR30" s="21"/>
      <c r="AS30" s="21"/>
    </row>
    <row r="31" spans="2:45" ht="18" customHeight="1">
      <c r="B31" s="31" t="s">
        <v>292</v>
      </c>
      <c r="C31" s="40">
        <f>input!C15</f>
        <v>0.5</v>
      </c>
      <c r="D31" s="22" t="s">
        <v>168</v>
      </c>
      <c r="E31" s="21"/>
      <c r="G31" s="31"/>
      <c r="H31" s="40"/>
      <c r="R31" s="22" t="str">
        <f>B29&amp;Bth&amp;D29</f>
        <v>B3=1.4m</v>
      </c>
      <c r="AD31" s="22">
        <f>AD30-G82/input!R2</f>
        <v>2.261705594522378</v>
      </c>
      <c r="AJ31" s="28">
        <f>AJ30</f>
        <v>4.159652638610555</v>
      </c>
      <c r="AL31" s="21"/>
      <c r="AM31" s="21"/>
      <c r="AN31" s="21"/>
      <c r="AO31" s="21"/>
      <c r="AP31" s="21"/>
      <c r="AQ31" s="21"/>
      <c r="AR31" s="21"/>
      <c r="AS31" s="21"/>
    </row>
    <row r="32" spans="1:45" ht="18" customHeight="1">
      <c r="A32" s="130" t="s">
        <v>417</v>
      </c>
      <c r="B32" s="31" t="s">
        <v>293</v>
      </c>
      <c r="C32" s="40">
        <f>input!C16</f>
        <v>10</v>
      </c>
      <c r="D32" s="22" t="s">
        <v>169</v>
      </c>
      <c r="E32" s="21"/>
      <c r="G32" s="31"/>
      <c r="H32" s="40"/>
      <c r="R32" s="22" t="str">
        <f>B30&amp;bo&amp;D30</f>
        <v>bo=0.4m</v>
      </c>
      <c r="AD32" s="26">
        <f>F159</f>
        <v>4.3</v>
      </c>
      <c r="AK32" s="26">
        <f>F160</f>
        <v>5.333333333333334</v>
      </c>
      <c r="AL32" s="21"/>
      <c r="AM32" s="21"/>
      <c r="AN32" s="21"/>
      <c r="AO32" s="21"/>
      <c r="AP32" s="21"/>
      <c r="AQ32" s="21"/>
      <c r="AR32" s="21"/>
      <c r="AS32" s="21"/>
    </row>
    <row r="33" spans="1:45" ht="18" customHeight="1">
      <c r="A33" s="130" t="s">
        <v>170</v>
      </c>
      <c r="B33" s="31" t="s">
        <v>294</v>
      </c>
      <c r="C33" s="40">
        <f>input!C17</f>
        <v>0.2</v>
      </c>
      <c r="E33" s="21"/>
      <c r="G33" s="31"/>
      <c r="H33" s="40"/>
      <c r="R33" s="22" t="str">
        <f>B31&amp;bs&amp;D31</f>
        <v>bs=0.5m</v>
      </c>
      <c r="AD33" s="22">
        <f>AD32+G158/input!R2</f>
        <v>5.438575858109092</v>
      </c>
      <c r="AK33" s="22">
        <f>AK32+G157/input!R2</f>
        <v>6.1070867327973035</v>
      </c>
      <c r="AL33" s="21"/>
      <c r="AM33" s="21"/>
      <c r="AN33" s="21"/>
      <c r="AO33" s="21"/>
      <c r="AP33" s="21"/>
      <c r="AQ33" s="21"/>
      <c r="AR33" s="21"/>
      <c r="AS33" s="21"/>
    </row>
    <row r="34" spans="2:45" ht="18" customHeight="1">
      <c r="B34" s="31" t="s">
        <v>295</v>
      </c>
      <c r="C34" s="40">
        <f>input!C18</f>
        <v>0.3</v>
      </c>
      <c r="E34" s="21"/>
      <c r="G34" s="31"/>
      <c r="H34" s="40"/>
      <c r="R34" s="22" t="str">
        <f>B32&amp;Lw&amp;D32</f>
        <v>LW=10m</v>
      </c>
      <c r="AD34" s="28">
        <f>d</f>
        <v>0.926127338121528</v>
      </c>
      <c r="AL34" s="21">
        <v>0</v>
      </c>
      <c r="AM34" s="21"/>
      <c r="AN34" s="21"/>
      <c r="AO34" s="21"/>
      <c r="AP34" s="21"/>
      <c r="AQ34" s="21"/>
      <c r="AR34" s="21"/>
      <c r="AS34" s="21"/>
    </row>
    <row r="35" spans="2:45" ht="18" customHeight="1">
      <c r="B35" s="31" t="s">
        <v>296</v>
      </c>
      <c r="C35" s="40">
        <f>input!C19</f>
        <v>0.2</v>
      </c>
      <c r="E35" s="21"/>
      <c r="G35" s="31"/>
      <c r="H35" s="40"/>
      <c r="R35" s="22" t="str">
        <f>"1: "&amp;nf</f>
        <v>1: 0.2</v>
      </c>
      <c r="AD35" s="22">
        <f>AD34+ΣH/input!R2</f>
        <v>2.3516281962306205</v>
      </c>
      <c r="AL35" s="21">
        <f>AL34+ΣV/input!R2</f>
        <v>3.64300339946397</v>
      </c>
      <c r="AM35" s="21"/>
      <c r="AN35" s="21"/>
      <c r="AO35" s="21"/>
      <c r="AP35" s="21"/>
      <c r="AQ35" s="21"/>
      <c r="AR35" s="21"/>
      <c r="AS35" s="21"/>
    </row>
    <row r="36" spans="2:45" ht="18" customHeight="1">
      <c r="B36" s="31" t="s">
        <v>297</v>
      </c>
      <c r="C36" s="40">
        <f>input!C20</f>
        <v>1.5</v>
      </c>
      <c r="E36" s="21"/>
      <c r="G36" s="31"/>
      <c r="H36" s="40"/>
      <c r="R36" s="22" t="str">
        <f>"1: "&amp;nr</f>
        <v>1: 0.3</v>
      </c>
      <c r="AD36" s="22">
        <f>0</f>
        <v>0</v>
      </c>
      <c r="AL36" s="21"/>
      <c r="AM36" s="21">
        <v>0</v>
      </c>
      <c r="AN36" s="21"/>
      <c r="AO36" s="21"/>
      <c r="AP36" s="21"/>
      <c r="AQ36" s="21"/>
      <c r="AR36" s="21"/>
      <c r="AS36" s="21"/>
    </row>
    <row r="37" spans="1:45" ht="18" customHeight="1">
      <c r="A37" s="38" t="s">
        <v>441</v>
      </c>
      <c r="C37" s="120" t="s">
        <v>298</v>
      </c>
      <c r="D37" s="46" t="s">
        <v>73</v>
      </c>
      <c r="E37" s="42">
        <f>input!D21</f>
        <v>0</v>
      </c>
      <c r="F37" s="22" t="s">
        <v>134</v>
      </c>
      <c r="H37" s="21"/>
      <c r="R37" s="22" t="str">
        <f>"1: "&amp;nb</f>
        <v>1: 0.2</v>
      </c>
      <c r="AD37" s="22">
        <v>0</v>
      </c>
      <c r="AL37" s="21"/>
      <c r="AM37" s="45">
        <f>AM36-D305/input!R3</f>
        <v>-4.6774000000000004</v>
      </c>
      <c r="AN37" s="45"/>
      <c r="AO37" s="45"/>
      <c r="AP37" s="21"/>
      <c r="AQ37" s="21"/>
      <c r="AR37" s="21"/>
      <c r="AS37" s="21"/>
    </row>
    <row r="38" spans="1:45" ht="18" customHeight="1">
      <c r="A38" s="38"/>
      <c r="C38" s="120" t="s">
        <v>299</v>
      </c>
      <c r="D38" s="46" t="s">
        <v>74</v>
      </c>
      <c r="E38" s="40">
        <f>ROUND(input!D22,2)</f>
        <v>0.1</v>
      </c>
      <c r="R38" s="22" t="str">
        <f>"1: "&amp;m</f>
        <v>1: 1.5</v>
      </c>
      <c r="AD38" s="22">
        <f>AD17</f>
        <v>1.5</v>
      </c>
      <c r="AL38" s="21"/>
      <c r="AM38" s="45">
        <f>AM36-E305/input!R3</f>
        <v>-2.5726</v>
      </c>
      <c r="AN38" s="45"/>
      <c r="AO38" s="45"/>
      <c r="AP38" s="21"/>
      <c r="AQ38" s="21"/>
      <c r="AR38" s="21"/>
      <c r="AS38" s="21"/>
    </row>
    <row r="39" spans="1:45" ht="18" customHeight="1">
      <c r="A39" s="38" t="s">
        <v>442</v>
      </c>
      <c r="C39" s="120" t="s">
        <v>300</v>
      </c>
      <c r="D39" s="120" t="s">
        <v>301</v>
      </c>
      <c r="E39" s="42">
        <f>input!D23</f>
        <v>20</v>
      </c>
      <c r="F39" s="22" t="s">
        <v>142</v>
      </c>
      <c r="R39" s="22" t="str">
        <f>D37&amp;q&amp;F37</f>
        <v>q=0kN/m2</v>
      </c>
      <c r="AD39" s="22">
        <f>AD38</f>
        <v>1.5</v>
      </c>
      <c r="AL39" s="21"/>
      <c r="AM39" s="45">
        <v>0</v>
      </c>
      <c r="AN39" s="45"/>
      <c r="AO39" s="45"/>
      <c r="AP39" s="21"/>
      <c r="AQ39" s="21"/>
      <c r="AR39" s="21"/>
      <c r="AS39" s="21"/>
    </row>
    <row r="40" spans="1:45" ht="18" customHeight="1">
      <c r="A40" s="38"/>
      <c r="C40" s="120" t="s">
        <v>76</v>
      </c>
      <c r="D40" s="120" t="s">
        <v>302</v>
      </c>
      <c r="E40" s="42">
        <f>input!D24</f>
        <v>35</v>
      </c>
      <c r="F40" s="32" t="s">
        <v>303</v>
      </c>
      <c r="AD40" s="22">
        <f>AD16</f>
        <v>1.7</v>
      </c>
      <c r="AL40" s="21"/>
      <c r="AM40" s="45"/>
      <c r="AN40" s="45">
        <f>AE16</f>
        <v>1</v>
      </c>
      <c r="AO40" s="45"/>
      <c r="AP40" s="21"/>
      <c r="AQ40" s="21"/>
      <c r="AR40" s="21"/>
      <c r="AS40" s="21"/>
    </row>
    <row r="41" spans="1:45" ht="18" customHeight="1">
      <c r="A41" s="38"/>
      <c r="C41" s="120" t="s">
        <v>78</v>
      </c>
      <c r="D41" s="46" t="s">
        <v>79</v>
      </c>
      <c r="E41" s="42">
        <f>input!D25</f>
        <v>7</v>
      </c>
      <c r="F41" s="22" t="s">
        <v>148</v>
      </c>
      <c r="AD41" s="22">
        <f>AD40</f>
        <v>1.7</v>
      </c>
      <c r="AL41" s="21"/>
      <c r="AM41" s="45"/>
      <c r="AN41" s="45">
        <f>AN40-D306/input!R3</f>
        <v>-1.2919</v>
      </c>
      <c r="AO41" s="45"/>
      <c r="AP41" s="21"/>
      <c r="AQ41" s="21"/>
      <c r="AR41" s="21"/>
      <c r="AS41" s="21"/>
    </row>
    <row r="42" spans="1:45" ht="18" customHeight="1">
      <c r="A42" s="38" t="s">
        <v>443</v>
      </c>
      <c r="C42" s="47"/>
      <c r="D42" s="21"/>
      <c r="E42" s="43"/>
      <c r="AD42" s="24">
        <f>D283</f>
        <v>3.2</v>
      </c>
      <c r="AL42" s="21"/>
      <c r="AM42" s="45"/>
      <c r="AN42" s="45">
        <f>AN40-E306/input!R3</f>
        <v>0.8129</v>
      </c>
      <c r="AO42" s="45"/>
      <c r="AP42" s="21"/>
      <c r="AQ42" s="21"/>
      <c r="AR42" s="21"/>
      <c r="AS42" s="21"/>
    </row>
    <row r="43" spans="1:45" ht="18" customHeight="1">
      <c r="A43" s="38"/>
      <c r="C43" s="120" t="s">
        <v>80</v>
      </c>
      <c r="D43" s="46" t="s">
        <v>81</v>
      </c>
      <c r="E43" s="43">
        <f>input!D26</f>
        <v>1800</v>
      </c>
      <c r="F43" s="22" t="s">
        <v>153</v>
      </c>
      <c r="AD43" s="22">
        <f>AD42</f>
        <v>3.2</v>
      </c>
      <c r="AL43" s="21"/>
      <c r="AM43" s="45"/>
      <c r="AN43" s="45">
        <f>AN40</f>
        <v>1</v>
      </c>
      <c r="AO43" s="45"/>
      <c r="AP43" s="21"/>
      <c r="AQ43" s="21"/>
      <c r="AR43" s="21"/>
      <c r="AS43" s="21"/>
    </row>
    <row r="44" spans="1:45" ht="18" customHeight="1">
      <c r="A44" s="38"/>
      <c r="C44" s="120" t="s">
        <v>82</v>
      </c>
      <c r="D44" s="120" t="s">
        <v>304</v>
      </c>
      <c r="E44" s="43">
        <f>input!D27</f>
        <v>0.7</v>
      </c>
      <c r="AD44" s="22">
        <f>AD14</f>
        <v>3.4000000000000004</v>
      </c>
      <c r="AL44" s="21"/>
      <c r="AM44" s="45"/>
      <c r="AN44" s="45"/>
      <c r="AO44" s="45">
        <f>AE14</f>
        <v>2</v>
      </c>
      <c r="AP44" s="21"/>
      <c r="AQ44" s="21"/>
      <c r="AR44" s="21"/>
      <c r="AS44" s="21"/>
    </row>
    <row r="45" spans="1:45" ht="18" customHeight="1">
      <c r="A45" s="38"/>
      <c r="C45" s="47" t="s">
        <v>305</v>
      </c>
      <c r="D45" s="47" t="s">
        <v>50</v>
      </c>
      <c r="E45" s="43">
        <f>input!D28</f>
        <v>50</v>
      </c>
      <c r="F45" s="32" t="s">
        <v>306</v>
      </c>
      <c r="AD45" s="22">
        <f>AD44</f>
        <v>3.4000000000000004</v>
      </c>
      <c r="AL45" s="21"/>
      <c r="AM45" s="45"/>
      <c r="AN45" s="45"/>
      <c r="AO45" s="45">
        <f>AO44-D307/input!R3</f>
        <v>2</v>
      </c>
      <c r="AP45" s="21"/>
      <c r="AQ45" s="21"/>
      <c r="AR45" s="21"/>
      <c r="AS45" s="21"/>
    </row>
    <row r="46" spans="1:45" ht="18" customHeight="1">
      <c r="A46" s="38" t="s">
        <v>444</v>
      </c>
      <c r="C46" s="47"/>
      <c r="D46" s="47"/>
      <c r="E46" s="43"/>
      <c r="AD46" s="22">
        <f>AD13</f>
        <v>4.8</v>
      </c>
      <c r="AL46" s="21"/>
      <c r="AM46" s="21"/>
      <c r="AN46" s="21"/>
      <c r="AO46" s="21">
        <f>AO44-E307/input!R3</f>
        <v>2</v>
      </c>
      <c r="AP46" s="21"/>
      <c r="AQ46" s="21"/>
      <c r="AR46" s="21"/>
      <c r="AS46" s="21"/>
    </row>
    <row r="47" spans="1:45" ht="18" customHeight="1">
      <c r="A47" s="38"/>
      <c r="C47" s="120" t="s">
        <v>300</v>
      </c>
      <c r="D47" s="120" t="s">
        <v>307</v>
      </c>
      <c r="E47" s="43">
        <f>input!D29</f>
        <v>23</v>
      </c>
      <c r="F47" s="22" t="s">
        <v>142</v>
      </c>
      <c r="AD47" s="22">
        <f>AD46</f>
        <v>4.8</v>
      </c>
      <c r="AL47" s="21"/>
      <c r="AM47" s="21"/>
      <c r="AN47" s="21"/>
      <c r="AO47" s="45">
        <f>AO44</f>
        <v>2</v>
      </c>
      <c r="AP47" s="21"/>
      <c r="AQ47" s="21"/>
      <c r="AR47" s="21"/>
      <c r="AS47" s="21"/>
    </row>
    <row r="48" spans="1:45" ht="18" customHeight="1">
      <c r="A48" s="38"/>
      <c r="C48" s="120" t="s">
        <v>86</v>
      </c>
      <c r="D48" s="120" t="s">
        <v>308</v>
      </c>
      <c r="E48" s="43">
        <f>input!D30</f>
        <v>18</v>
      </c>
      <c r="F48" s="22" t="s">
        <v>160</v>
      </c>
      <c r="AL48" s="21"/>
      <c r="AM48" s="21"/>
      <c r="AN48" s="21"/>
      <c r="AO48" s="45"/>
      <c r="AP48" s="21"/>
      <c r="AQ48" s="21"/>
      <c r="AR48" s="21"/>
      <c r="AS48" s="21"/>
    </row>
    <row r="49" spans="1:45" ht="18" customHeight="1">
      <c r="A49" s="38"/>
      <c r="B49" s="27"/>
      <c r="C49" s="120" t="s">
        <v>309</v>
      </c>
      <c r="D49" s="120" t="s">
        <v>310</v>
      </c>
      <c r="E49" s="43">
        <f>σck/4*ε</f>
        <v>6.75</v>
      </c>
      <c r="F49" s="22" t="s">
        <v>311</v>
      </c>
      <c r="AL49" s="21"/>
      <c r="AM49" s="21"/>
      <c r="AN49" s="21"/>
      <c r="AO49" s="45"/>
      <c r="AP49" s="21"/>
      <c r="AQ49" s="21"/>
      <c r="AR49" s="21"/>
      <c r="AS49" s="21"/>
    </row>
    <row r="50" spans="1:45" ht="18" customHeight="1">
      <c r="A50" s="38"/>
      <c r="B50" s="27"/>
      <c r="C50" s="120" t="s">
        <v>88</v>
      </c>
      <c r="D50" s="120" t="s">
        <v>312</v>
      </c>
      <c r="E50" s="43">
        <f>σck/80*ε</f>
        <v>0.3375</v>
      </c>
      <c r="F50" s="22" t="s">
        <v>311</v>
      </c>
      <c r="AL50" s="21"/>
      <c r="AM50" s="21"/>
      <c r="AN50" s="21"/>
      <c r="AO50" s="45"/>
      <c r="AP50" s="21"/>
      <c r="AQ50" s="21"/>
      <c r="AR50" s="21"/>
      <c r="AS50" s="21"/>
    </row>
    <row r="51" spans="1:45" ht="18" customHeight="1">
      <c r="A51" s="38"/>
      <c r="B51" s="27"/>
      <c r="C51" s="120" t="s">
        <v>89</v>
      </c>
      <c r="D51" s="120" t="s">
        <v>313</v>
      </c>
      <c r="E51" s="43">
        <f>(σck/100+0.15)*ε</f>
        <v>0.49499999999999994</v>
      </c>
      <c r="F51" s="22" t="s">
        <v>311</v>
      </c>
      <c r="AL51" s="21"/>
      <c r="AM51" s="21"/>
      <c r="AN51" s="21"/>
      <c r="AO51" s="45"/>
      <c r="AP51" s="21"/>
      <c r="AQ51" s="21"/>
      <c r="AR51" s="21"/>
      <c r="AS51" s="21"/>
    </row>
    <row r="52" spans="1:45" ht="18" customHeight="1">
      <c r="A52" s="38" t="s">
        <v>445</v>
      </c>
      <c r="B52" s="27"/>
      <c r="C52" s="47"/>
      <c r="D52" s="21"/>
      <c r="E52" s="21"/>
      <c r="AL52" s="21"/>
      <c r="AM52" s="21"/>
      <c r="AN52" s="21"/>
      <c r="AO52" s="45"/>
      <c r="AP52" s="21"/>
      <c r="AQ52" s="21"/>
      <c r="AR52" s="21"/>
      <c r="AS52" s="21"/>
    </row>
    <row r="53" spans="1:45" ht="18" customHeight="1">
      <c r="A53" s="38" t="s">
        <v>446</v>
      </c>
      <c r="B53" s="27"/>
      <c r="C53" s="27"/>
      <c r="D53" s="44"/>
      <c r="AL53" s="21"/>
      <c r="AM53" s="21"/>
      <c r="AN53" s="21"/>
      <c r="AO53" s="45"/>
      <c r="AP53" s="21"/>
      <c r="AQ53" s="21"/>
      <c r="AR53" s="21"/>
      <c r="AS53" s="21"/>
    </row>
    <row r="54" spans="1:45" ht="18" customHeight="1">
      <c r="A54" s="25" t="s">
        <v>448</v>
      </c>
      <c r="C54" s="27"/>
      <c r="D54" s="44"/>
      <c r="AL54" s="21"/>
      <c r="AM54" s="21"/>
      <c r="AN54" s="21"/>
      <c r="AO54" s="45"/>
      <c r="AP54" s="21"/>
      <c r="AQ54" s="21"/>
      <c r="AR54" s="21"/>
      <c r="AS54" s="21"/>
    </row>
    <row r="55" spans="1:45" ht="18" customHeight="1">
      <c r="A55" s="38"/>
      <c r="B55" s="27"/>
      <c r="C55" s="25" t="s">
        <v>171</v>
      </c>
      <c r="D55" s="44"/>
      <c r="AL55" s="21"/>
      <c r="AM55" s="21"/>
      <c r="AN55" s="21"/>
      <c r="AO55" s="45"/>
      <c r="AP55" s="21"/>
      <c r="AQ55" s="21"/>
      <c r="AR55" s="21"/>
      <c r="AS55" s="21"/>
    </row>
    <row r="56" spans="1:45" ht="18" customHeight="1">
      <c r="A56" s="38"/>
      <c r="B56" s="27"/>
      <c r="C56" s="82"/>
      <c r="D56" s="44"/>
      <c r="AL56" s="21"/>
      <c r="AM56" s="21"/>
      <c r="AN56" s="21"/>
      <c r="AO56" s="45"/>
      <c r="AP56" s="21"/>
      <c r="AQ56" s="21"/>
      <c r="AR56" s="21"/>
      <c r="AS56" s="21"/>
    </row>
    <row r="57" spans="1:45" ht="18" customHeight="1">
      <c r="A57" s="38"/>
      <c r="B57" s="27"/>
      <c r="C57" s="82"/>
      <c r="D57" s="44"/>
      <c r="AL57" s="21"/>
      <c r="AM57" s="21"/>
      <c r="AN57" s="21"/>
      <c r="AO57" s="21"/>
      <c r="AP57" s="21"/>
      <c r="AQ57" s="21"/>
      <c r="AR57" s="21"/>
      <c r="AS57" s="21"/>
    </row>
    <row r="58" spans="1:45" ht="18" customHeight="1">
      <c r="A58" s="38"/>
      <c r="B58" s="27"/>
      <c r="C58" s="82"/>
      <c r="D58" s="44"/>
      <c r="AL58" s="21"/>
      <c r="AM58" s="21"/>
      <c r="AN58" s="21"/>
      <c r="AO58" s="21"/>
      <c r="AP58" s="21"/>
      <c r="AQ58" s="21"/>
      <c r="AR58" s="21"/>
      <c r="AS58" s="21"/>
    </row>
    <row r="59" spans="1:45" ht="18" customHeight="1">
      <c r="A59" s="38"/>
      <c r="B59" s="27"/>
      <c r="C59" s="82"/>
      <c r="D59" s="44"/>
      <c r="AL59" s="21"/>
      <c r="AM59" s="21"/>
      <c r="AN59" s="21"/>
      <c r="AO59" s="21"/>
      <c r="AP59" s="21"/>
      <c r="AQ59" s="21"/>
      <c r="AR59" s="21"/>
      <c r="AS59" s="21"/>
    </row>
    <row r="60" spans="1:45" ht="18" customHeight="1">
      <c r="A60" s="38"/>
      <c r="B60" s="27"/>
      <c r="C60" s="82"/>
      <c r="D60" s="44"/>
      <c r="AL60" s="21"/>
      <c r="AM60" s="21"/>
      <c r="AN60" s="21"/>
      <c r="AO60" s="21"/>
      <c r="AP60" s="21"/>
      <c r="AQ60" s="21"/>
      <c r="AR60" s="21"/>
      <c r="AS60" s="21"/>
    </row>
    <row r="61" spans="1:45" ht="18" customHeight="1">
      <c r="A61" s="38"/>
      <c r="B61" s="27"/>
      <c r="C61" s="82"/>
      <c r="D61" s="44"/>
      <c r="AL61" s="21"/>
      <c r="AM61" s="21"/>
      <c r="AN61" s="21"/>
      <c r="AO61" s="21"/>
      <c r="AP61" s="21"/>
      <c r="AQ61" s="21"/>
      <c r="AR61" s="21"/>
      <c r="AS61" s="21"/>
    </row>
    <row r="62" spans="1:45" ht="18" customHeight="1">
      <c r="A62" s="38"/>
      <c r="B62" s="27"/>
      <c r="C62" s="27"/>
      <c r="D62" s="44"/>
      <c r="AL62" s="21"/>
      <c r="AM62" s="21"/>
      <c r="AN62" s="21"/>
      <c r="AO62" s="21"/>
      <c r="AP62" s="21"/>
      <c r="AQ62" s="21"/>
      <c r="AR62" s="21"/>
      <c r="AS62" s="21"/>
    </row>
    <row r="63" spans="1:45" ht="18" customHeight="1">
      <c r="A63" s="38"/>
      <c r="B63" s="27"/>
      <c r="C63" s="27"/>
      <c r="D63" s="44"/>
      <c r="AL63" s="21"/>
      <c r="AM63" s="21"/>
      <c r="AN63" s="21"/>
      <c r="AO63" s="21"/>
      <c r="AP63" s="21"/>
      <c r="AQ63" s="21"/>
      <c r="AR63" s="21"/>
      <c r="AS63" s="21"/>
    </row>
    <row r="64" spans="1:45" ht="18" customHeight="1">
      <c r="A64" s="38"/>
      <c r="B64" s="27"/>
      <c r="C64" s="27"/>
      <c r="D64" s="44"/>
      <c r="AL64" s="21"/>
      <c r="AM64" s="21"/>
      <c r="AN64" s="21"/>
      <c r="AO64" s="21"/>
      <c r="AP64" s="21"/>
      <c r="AQ64" s="21"/>
      <c r="AR64" s="21"/>
      <c r="AS64" s="21"/>
    </row>
    <row r="65" spans="1:45" ht="18" customHeight="1">
      <c r="A65" s="38"/>
      <c r="B65" s="27"/>
      <c r="C65" s="27"/>
      <c r="D65" s="44"/>
      <c r="AL65" s="21"/>
      <c r="AM65" s="21"/>
      <c r="AN65" s="21"/>
      <c r="AO65" s="21"/>
      <c r="AP65" s="21"/>
      <c r="AQ65" s="21"/>
      <c r="AR65" s="21"/>
      <c r="AS65" s="21"/>
    </row>
    <row r="66" spans="1:45" ht="18" customHeight="1">
      <c r="A66" s="38"/>
      <c r="B66" s="27"/>
      <c r="C66" s="27"/>
      <c r="D66" s="44"/>
      <c r="AL66" s="21"/>
      <c r="AM66" s="21"/>
      <c r="AN66" s="21"/>
      <c r="AO66" s="21"/>
      <c r="AP66" s="21"/>
      <c r="AQ66" s="21"/>
      <c r="AR66" s="21"/>
      <c r="AS66" s="21"/>
    </row>
    <row r="67" spans="1:45" ht="18" customHeight="1">
      <c r="A67" s="38"/>
      <c r="B67" s="31"/>
      <c r="C67" s="48"/>
      <c r="D67" s="49" t="s">
        <v>314</v>
      </c>
      <c r="E67" s="49" t="s">
        <v>315</v>
      </c>
      <c r="F67" s="50" t="s">
        <v>46</v>
      </c>
      <c r="G67" s="50" t="s">
        <v>47</v>
      </c>
      <c r="H67" s="51" t="s">
        <v>48</v>
      </c>
      <c r="AL67" s="21"/>
      <c r="AM67" s="21"/>
      <c r="AN67" s="21"/>
      <c r="AO67" s="21"/>
      <c r="AP67" s="21"/>
      <c r="AQ67" s="21"/>
      <c r="AR67" s="21"/>
      <c r="AS67" s="21"/>
    </row>
    <row r="68" spans="1:45" ht="18" customHeight="1">
      <c r="A68" s="38"/>
      <c r="B68" s="31"/>
      <c r="C68" s="52">
        <v>0</v>
      </c>
      <c r="D68" s="70">
        <v>0</v>
      </c>
      <c r="E68" s="70">
        <v>0</v>
      </c>
      <c r="F68" s="178">
        <f>(D69*E68-D68*E69)/2</f>
        <v>0</v>
      </c>
      <c r="G68" s="178">
        <f>(E69-E68)*(D68^2+1/3*(D69-D68)*(D69+2*D68))*(-1/2)</f>
        <v>-0.8333333333333333</v>
      </c>
      <c r="H68" s="179">
        <f>(D69-D68)*(E68^2+1/3*(E69-E68)*(E69+2*E68))/2</f>
        <v>4.166666666666666</v>
      </c>
      <c r="AL68" s="21"/>
      <c r="AM68" s="21"/>
      <c r="AN68" s="21"/>
      <c r="AO68" s="21"/>
      <c r="AP68" s="21"/>
      <c r="AQ68" s="21"/>
      <c r="AR68" s="21"/>
      <c r="AS68" s="21"/>
    </row>
    <row r="69" spans="1:45" ht="18" customHeight="1">
      <c r="A69" s="38"/>
      <c r="B69" s="31"/>
      <c r="C69" s="52">
        <f>C68+1</f>
        <v>1</v>
      </c>
      <c r="D69" s="70">
        <f>Hf*nf</f>
        <v>1</v>
      </c>
      <c r="E69" s="70">
        <f>Hf</f>
        <v>5</v>
      </c>
      <c r="F69" s="178">
        <f aca="true" t="shared" si="2" ref="F69:F76">(D70*E69-D69*E70)/2</f>
        <v>1.25</v>
      </c>
      <c r="G69" s="178">
        <f aca="true" t="shared" si="3" ref="G69:G76">(E70-E69)*(D69^2+1/3*(D70-D69)*(D70+2*D69))*(-1/2)</f>
        <v>0</v>
      </c>
      <c r="H69" s="179">
        <f aca="true" t="shared" si="4" ref="H69:H76">(D70-D69)*(E69^2+1/3*(E70-E69)*(E70+2*E69))/2</f>
        <v>6.25</v>
      </c>
      <c r="AL69" s="21"/>
      <c r="AM69" s="21"/>
      <c r="AN69" s="21"/>
      <c r="AO69" s="21"/>
      <c r="AP69" s="21"/>
      <c r="AQ69" s="21"/>
      <c r="AR69" s="21"/>
      <c r="AS69" s="21"/>
    </row>
    <row r="70" spans="1:45" ht="18" customHeight="1">
      <c r="A70" s="38"/>
      <c r="B70" s="31"/>
      <c r="C70" s="52">
        <f aca="true" t="shared" si="5" ref="C70:C78">C69+1</f>
        <v>2</v>
      </c>
      <c r="D70" s="70">
        <f>D69+bs</f>
        <v>1.5</v>
      </c>
      <c r="E70" s="70">
        <f>E69</f>
        <v>5</v>
      </c>
      <c r="F70" s="178">
        <f t="shared" si="2"/>
        <v>-1.25</v>
      </c>
      <c r="G70" s="178">
        <f t="shared" si="3"/>
        <v>-10.208333333333332</v>
      </c>
      <c r="H70" s="179">
        <f t="shared" si="4"/>
        <v>29.166666666666664</v>
      </c>
      <c r="AL70" s="21"/>
      <c r="AM70" s="21"/>
      <c r="AN70" s="21"/>
      <c r="AO70" s="21"/>
      <c r="AP70" s="21"/>
      <c r="AQ70" s="21"/>
      <c r="AR70" s="21"/>
      <c r="AS70" s="21"/>
    </row>
    <row r="71" spans="1:45" ht="18" customHeight="1">
      <c r="A71" s="38"/>
      <c r="B71" s="31"/>
      <c r="C71" s="52">
        <f t="shared" si="5"/>
        <v>3</v>
      </c>
      <c r="D71" s="70">
        <f>H*nf+bs</f>
        <v>2.5</v>
      </c>
      <c r="E71" s="70">
        <f>H</f>
        <v>10</v>
      </c>
      <c r="F71" s="178">
        <f t="shared" si="2"/>
        <v>2</v>
      </c>
      <c r="G71" s="178">
        <f t="shared" si="3"/>
        <v>0</v>
      </c>
      <c r="H71" s="179">
        <f t="shared" si="4"/>
        <v>19.999999999999996</v>
      </c>
      <c r="AL71" s="21"/>
      <c r="AM71" s="21"/>
      <c r="AN71" s="21"/>
      <c r="AO71" s="21"/>
      <c r="AP71" s="21"/>
      <c r="AQ71" s="21"/>
      <c r="AR71" s="21"/>
      <c r="AS71" s="21"/>
    </row>
    <row r="72" spans="1:45" ht="18" customHeight="1">
      <c r="A72" s="38"/>
      <c r="B72" s="31"/>
      <c r="C72" s="52">
        <f t="shared" si="5"/>
        <v>4</v>
      </c>
      <c r="D72" s="70">
        <f>D71+bo</f>
        <v>2.9</v>
      </c>
      <c r="E72" s="70">
        <f>H</f>
        <v>10</v>
      </c>
      <c r="F72" s="178">
        <f t="shared" si="2"/>
        <v>20.65</v>
      </c>
      <c r="G72" s="178">
        <f t="shared" si="3"/>
        <v>55.894999999999996</v>
      </c>
      <c r="H72" s="179">
        <f t="shared" si="4"/>
        <v>48.65000000000001</v>
      </c>
      <c r="AL72" s="21"/>
      <c r="AM72" s="21"/>
      <c r="AN72" s="21"/>
      <c r="AO72" s="21"/>
      <c r="AP72" s="21"/>
      <c r="AQ72" s="21"/>
      <c r="AR72" s="21"/>
      <c r="AS72" s="21"/>
    </row>
    <row r="73" spans="1:45" ht="18" customHeight="1">
      <c r="A73" s="38"/>
      <c r="B73" s="31"/>
      <c r="C73" s="52">
        <f t="shared" si="5"/>
        <v>5</v>
      </c>
      <c r="D73" s="70">
        <f>D72+HA*nr</f>
        <v>5</v>
      </c>
      <c r="E73" s="70">
        <f>H-HA</f>
        <v>3</v>
      </c>
      <c r="F73" s="178">
        <f t="shared" si="2"/>
        <v>2.1999999999999993</v>
      </c>
      <c r="G73" s="178">
        <f t="shared" si="3"/>
        <v>12.006666666666666</v>
      </c>
      <c r="H73" s="179">
        <f t="shared" si="4"/>
        <v>-0.633333333333334</v>
      </c>
      <c r="AL73" s="21"/>
      <c r="AM73" s="21"/>
      <c r="AN73" s="21"/>
      <c r="AO73" s="21"/>
      <c r="AP73" s="21"/>
      <c r="AQ73" s="21"/>
      <c r="AR73" s="21"/>
      <c r="AS73" s="21"/>
    </row>
    <row r="74" spans="1:45" ht="18" customHeight="1">
      <c r="A74" s="38"/>
      <c r="B74" s="31"/>
      <c r="C74" s="52">
        <f t="shared" si="5"/>
        <v>6</v>
      </c>
      <c r="D74" s="70">
        <f>D73-C26*nb</f>
        <v>4.8</v>
      </c>
      <c r="E74" s="70">
        <f>E75</f>
        <v>2</v>
      </c>
      <c r="F74" s="178">
        <f t="shared" si="2"/>
        <v>-1.3999999999999995</v>
      </c>
      <c r="G74" s="178">
        <f t="shared" si="3"/>
        <v>0</v>
      </c>
      <c r="H74" s="179">
        <f t="shared" si="4"/>
        <v>-2.799999999999999</v>
      </c>
      <c r="AL74" s="21"/>
      <c r="AM74" s="21"/>
      <c r="AN74" s="21"/>
      <c r="AO74" s="21"/>
      <c r="AP74" s="21"/>
      <c r="AQ74" s="21"/>
      <c r="AR74" s="21"/>
      <c r="AS74" s="21"/>
    </row>
    <row r="75" spans="1:45" ht="18" customHeight="1">
      <c r="A75" s="38"/>
      <c r="B75" s="31"/>
      <c r="C75" s="52">
        <f t="shared" si="5"/>
        <v>7</v>
      </c>
      <c r="D75" s="70">
        <f>D76+Hse*nb</f>
        <v>3.4000000000000004</v>
      </c>
      <c r="E75" s="70">
        <f>Hfa+Hse</f>
        <v>2</v>
      </c>
      <c r="F75" s="178">
        <f t="shared" si="2"/>
        <v>1.5</v>
      </c>
      <c r="G75" s="178">
        <f t="shared" si="3"/>
        <v>5.446666666666667</v>
      </c>
      <c r="H75" s="179">
        <f t="shared" si="4"/>
        <v>-0.23333333333333356</v>
      </c>
      <c r="AL75" s="21"/>
      <c r="AM75" s="21"/>
      <c r="AN75" s="21"/>
      <c r="AO75" s="21"/>
      <c r="AP75" s="21"/>
      <c r="AQ75" s="21"/>
      <c r="AR75" s="21"/>
      <c r="AS75" s="21"/>
    </row>
    <row r="76" spans="1:45" ht="18" customHeight="1">
      <c r="A76" s="38"/>
      <c r="B76" s="31"/>
      <c r="C76" s="52">
        <f t="shared" si="5"/>
        <v>8</v>
      </c>
      <c r="D76" s="70">
        <f>D77+Bse</f>
        <v>3.2</v>
      </c>
      <c r="E76" s="70">
        <f>Hfa</f>
        <v>1</v>
      </c>
      <c r="F76" s="178">
        <f t="shared" si="2"/>
        <v>-0.7500000000000001</v>
      </c>
      <c r="G76" s="178">
        <f t="shared" si="3"/>
        <v>0</v>
      </c>
      <c r="H76" s="179">
        <f t="shared" si="4"/>
        <v>-0.7500000000000001</v>
      </c>
      <c r="AL76" s="21"/>
      <c r="AM76" s="21"/>
      <c r="AN76" s="21"/>
      <c r="AO76" s="21"/>
      <c r="AP76" s="21"/>
      <c r="AQ76" s="21"/>
      <c r="AR76" s="21"/>
      <c r="AS76" s="21"/>
    </row>
    <row r="77" spans="1:45" ht="18" customHeight="1">
      <c r="A77" s="38"/>
      <c r="B77" s="31"/>
      <c r="C77" s="52">
        <f t="shared" si="5"/>
        <v>9</v>
      </c>
      <c r="D77" s="70">
        <f>D78+Hfa*nb</f>
        <v>1.7</v>
      </c>
      <c r="E77" s="70">
        <f>Hfa</f>
        <v>1</v>
      </c>
      <c r="F77" s="178">
        <f>(D78*E77-D77*E78)/2</f>
        <v>0.75</v>
      </c>
      <c r="G77" s="178">
        <f>(E78-E77)*(D77^2+1/3*(D78-D77)*(D78+2*D77))*(-1/2)</f>
        <v>1.2816666666666665</v>
      </c>
      <c r="H77" s="179">
        <f>(D78-D77)*(E77^2+1/3*(E78-E77)*(E78+2*E77))/2</f>
        <v>-0.03333333333333333</v>
      </c>
      <c r="AL77" s="21"/>
      <c r="AM77" s="21"/>
      <c r="AN77" s="21"/>
      <c r="AO77" s="21"/>
      <c r="AP77" s="21"/>
      <c r="AQ77" s="21"/>
      <c r="AR77" s="21"/>
      <c r="AS77" s="21"/>
    </row>
    <row r="78" spans="1:45" ht="18" customHeight="1">
      <c r="A78" s="38"/>
      <c r="C78" s="52">
        <f t="shared" si="5"/>
        <v>10</v>
      </c>
      <c r="D78" s="70">
        <f>Bfa</f>
        <v>1.5</v>
      </c>
      <c r="E78" s="70">
        <v>0</v>
      </c>
      <c r="F78" s="178">
        <f>(D79*E78-D78*E79)/2</f>
        <v>0</v>
      </c>
      <c r="G78" s="178">
        <f>(E79-E78)*(D78^2+1/3*(D79-D78)*(D79+2*D78))*(-1/2)</f>
        <v>0</v>
      </c>
      <c r="H78" s="179">
        <f>(D79-D78)*(E78^2+1/3*(E79-E78)*(E79+2*E78))/2</f>
        <v>0</v>
      </c>
      <c r="AH78" s="17"/>
      <c r="AL78" s="11"/>
      <c r="AM78" s="11"/>
      <c r="AN78" s="11"/>
      <c r="AO78" s="11"/>
      <c r="AP78" s="11"/>
      <c r="AQ78" s="11"/>
      <c r="AR78" s="11"/>
      <c r="AS78" s="21"/>
    </row>
    <row r="79" spans="1:45" ht="18" customHeight="1">
      <c r="A79" s="38"/>
      <c r="C79" s="52">
        <v>0</v>
      </c>
      <c r="D79" s="70">
        <v>0</v>
      </c>
      <c r="E79" s="70">
        <v>0</v>
      </c>
      <c r="F79" s="178">
        <v>0</v>
      </c>
      <c r="G79" s="178">
        <v>0</v>
      </c>
      <c r="H79" s="179">
        <v>0</v>
      </c>
      <c r="AL79" s="11"/>
      <c r="AM79" s="11"/>
      <c r="AN79" s="11"/>
      <c r="AO79" s="11"/>
      <c r="AP79" s="11"/>
      <c r="AQ79" s="11"/>
      <c r="AR79" s="11"/>
      <c r="AS79" s="21"/>
    </row>
    <row r="80" spans="1:45" ht="18" customHeight="1">
      <c r="A80" s="38"/>
      <c r="C80" s="29" t="s">
        <v>172</v>
      </c>
      <c r="D80" s="41"/>
      <c r="E80" s="41"/>
      <c r="F80" s="39">
        <f>SUM(F68:F79)</f>
        <v>24.95</v>
      </c>
      <c r="G80" s="39">
        <f>SUM(G68:G79)</f>
        <v>63.58833333333333</v>
      </c>
      <c r="H80" s="79">
        <f>SUM(H68:H79)</f>
        <v>103.78333333333335</v>
      </c>
      <c r="AL80" s="11"/>
      <c r="AM80" s="11"/>
      <c r="AN80" s="11"/>
      <c r="AO80" s="11"/>
      <c r="AP80" s="11"/>
      <c r="AQ80" s="11"/>
      <c r="AR80" s="11"/>
      <c r="AS80" s="21"/>
    </row>
    <row r="81" spans="1:45" ht="18" customHeight="1">
      <c r="A81" s="38"/>
      <c r="D81" s="58" t="s">
        <v>173</v>
      </c>
      <c r="E81" s="59" t="s">
        <v>316</v>
      </c>
      <c r="F81" s="32" t="s">
        <v>317</v>
      </c>
      <c r="G81" s="172">
        <f>F80*γc</f>
        <v>573.85</v>
      </c>
      <c r="H81" s="61" t="s">
        <v>174</v>
      </c>
      <c r="AL81" s="11"/>
      <c r="AM81" s="11"/>
      <c r="AN81" s="11"/>
      <c r="AO81" s="11"/>
      <c r="AP81" s="11"/>
      <c r="AQ81" s="11"/>
      <c r="AR81" s="11"/>
      <c r="AS81" s="21"/>
    </row>
    <row r="82" spans="1:45" ht="18" customHeight="1">
      <c r="A82" s="38"/>
      <c r="D82" s="62" t="s">
        <v>175</v>
      </c>
      <c r="E82" s="59" t="s">
        <v>318</v>
      </c>
      <c r="F82" s="63" t="s">
        <v>319</v>
      </c>
      <c r="G82" s="172">
        <f>G81*kH</f>
        <v>57.385000000000005</v>
      </c>
      <c r="H82" s="61" t="s">
        <v>174</v>
      </c>
      <c r="AL82" s="11"/>
      <c r="AM82" s="11"/>
      <c r="AN82" s="11"/>
      <c r="AO82" s="11"/>
      <c r="AP82" s="11"/>
      <c r="AQ82" s="11"/>
      <c r="AR82" s="11"/>
      <c r="AS82" s="21"/>
    </row>
    <row r="83" spans="1:45" ht="18" customHeight="1">
      <c r="A83" s="38"/>
      <c r="D83" s="58" t="s">
        <v>176</v>
      </c>
      <c r="E83" s="59" t="s">
        <v>320</v>
      </c>
      <c r="F83" s="172">
        <f>G80/F80</f>
        <v>2.548630594522378</v>
      </c>
      <c r="G83" s="64" t="s">
        <v>3</v>
      </c>
      <c r="AL83" s="11"/>
      <c r="AM83" s="11"/>
      <c r="AN83" s="11"/>
      <c r="AO83" s="11"/>
      <c r="AP83" s="11"/>
      <c r="AQ83" s="11"/>
      <c r="AR83" s="11"/>
      <c r="AS83" s="21"/>
    </row>
    <row r="84" spans="1:45" ht="18" customHeight="1">
      <c r="A84" s="38"/>
      <c r="D84" s="125"/>
      <c r="E84" s="59" t="s">
        <v>321</v>
      </c>
      <c r="F84" s="172">
        <f>H80/F80</f>
        <v>4.159652638610555</v>
      </c>
      <c r="G84" s="64" t="s">
        <v>3</v>
      </c>
      <c r="AL84" s="11"/>
      <c r="AM84" s="11"/>
      <c r="AN84" s="11"/>
      <c r="AO84" s="11"/>
      <c r="AP84" s="11"/>
      <c r="AQ84" s="11"/>
      <c r="AR84" s="11"/>
      <c r="AS84" s="21"/>
    </row>
    <row r="85" spans="1:45" ht="18" customHeight="1">
      <c r="A85" s="38"/>
      <c r="D85" s="62" t="s">
        <v>177</v>
      </c>
      <c r="E85" s="59" t="s">
        <v>178</v>
      </c>
      <c r="F85" s="172">
        <f>D74</f>
        <v>4.8</v>
      </c>
      <c r="G85" s="64" t="s">
        <v>3</v>
      </c>
      <c r="AL85" s="11"/>
      <c r="AM85" s="11"/>
      <c r="AN85" s="11"/>
      <c r="AO85" s="11"/>
      <c r="AP85" s="11"/>
      <c r="AQ85" s="11"/>
      <c r="AR85" s="11"/>
      <c r="AS85" s="21"/>
    </row>
    <row r="86" spans="1:45" ht="18" customHeight="1">
      <c r="A86" s="38" t="s">
        <v>447</v>
      </c>
      <c r="D86" s="125"/>
      <c r="E86" s="60"/>
      <c r="F86" s="64"/>
      <c r="AL86" s="11"/>
      <c r="AM86" s="11"/>
      <c r="AN86" s="11"/>
      <c r="AO86" s="11"/>
      <c r="AP86" s="11"/>
      <c r="AQ86" s="11"/>
      <c r="AR86" s="11"/>
      <c r="AS86" s="21"/>
    </row>
    <row r="87" spans="1:45" ht="18" customHeight="1">
      <c r="A87" s="38"/>
      <c r="B87" s="32" t="s">
        <v>179</v>
      </c>
      <c r="D87" s="125"/>
      <c r="E87" s="60"/>
      <c r="F87" s="64"/>
      <c r="AL87" s="11"/>
      <c r="AM87" s="11"/>
      <c r="AN87" s="11"/>
      <c r="AO87" s="11"/>
      <c r="AP87" s="11"/>
      <c r="AQ87" s="11"/>
      <c r="AR87" s="11"/>
      <c r="AS87" s="21"/>
    </row>
    <row r="88" spans="1:45" ht="18" customHeight="1">
      <c r="A88" s="38"/>
      <c r="C88" s="32" t="s">
        <v>322</v>
      </c>
      <c r="D88" s="125"/>
      <c r="E88" s="60"/>
      <c r="F88" s="64"/>
      <c r="AL88" s="11"/>
      <c r="AM88" s="11"/>
      <c r="AN88" s="11"/>
      <c r="AO88" s="11"/>
      <c r="AP88" s="11"/>
      <c r="AQ88" s="11"/>
      <c r="AR88" s="11"/>
      <c r="AS88" s="21"/>
    </row>
    <row r="89" spans="1:45" ht="18" customHeight="1">
      <c r="A89" s="38"/>
      <c r="D89" s="125"/>
      <c r="E89" s="60"/>
      <c r="F89" s="64"/>
      <c r="AL89" s="11"/>
      <c r="AM89" s="11"/>
      <c r="AN89" s="11"/>
      <c r="AO89" s="11"/>
      <c r="AP89" s="11"/>
      <c r="AQ89" s="11"/>
      <c r="AR89" s="11"/>
      <c r="AS89" s="21"/>
    </row>
    <row r="90" spans="1:45" ht="18" customHeight="1">
      <c r="A90" s="38"/>
      <c r="D90" s="125"/>
      <c r="E90" s="60"/>
      <c r="F90" s="64"/>
      <c r="AL90" s="11"/>
      <c r="AM90" s="11"/>
      <c r="AN90" s="11"/>
      <c r="AO90" s="11"/>
      <c r="AP90" s="11"/>
      <c r="AQ90" s="11"/>
      <c r="AR90" s="11"/>
      <c r="AS90" s="21"/>
    </row>
    <row r="91" spans="1:45" ht="18" customHeight="1">
      <c r="A91" s="38"/>
      <c r="D91" s="125"/>
      <c r="E91" s="60"/>
      <c r="F91" s="64"/>
      <c r="AL91" s="11"/>
      <c r="AM91" s="11"/>
      <c r="AN91" s="11"/>
      <c r="AO91" s="11"/>
      <c r="AP91" s="11"/>
      <c r="AQ91" s="11"/>
      <c r="AR91" s="11"/>
      <c r="AS91" s="21"/>
    </row>
    <row r="92" spans="1:45" ht="18" customHeight="1">
      <c r="A92" s="38"/>
      <c r="D92" s="125"/>
      <c r="E92" s="60"/>
      <c r="F92" s="64"/>
      <c r="AL92" s="11"/>
      <c r="AM92" s="11"/>
      <c r="AN92" s="11"/>
      <c r="AO92" s="11"/>
      <c r="AP92" s="11"/>
      <c r="AQ92" s="11"/>
      <c r="AR92" s="11"/>
      <c r="AS92" s="21"/>
    </row>
    <row r="93" spans="1:45" ht="18" customHeight="1">
      <c r="A93" s="38"/>
      <c r="D93" s="125"/>
      <c r="E93" s="60"/>
      <c r="F93" s="64"/>
      <c r="AL93" s="11"/>
      <c r="AM93" s="11"/>
      <c r="AN93" s="11"/>
      <c r="AO93" s="11"/>
      <c r="AP93" s="11"/>
      <c r="AQ93" s="11"/>
      <c r="AR93" s="11"/>
      <c r="AS93" s="21"/>
    </row>
    <row r="94" spans="1:45" ht="18" customHeight="1">
      <c r="A94" s="38"/>
      <c r="D94" s="125"/>
      <c r="E94" s="60"/>
      <c r="F94" s="64"/>
      <c r="AL94" s="11"/>
      <c r="AM94" s="11"/>
      <c r="AN94" s="11"/>
      <c r="AO94" s="11"/>
      <c r="AP94" s="11"/>
      <c r="AQ94" s="11"/>
      <c r="AR94" s="11"/>
      <c r="AS94" s="21"/>
    </row>
    <row r="95" spans="1:45" ht="18" customHeight="1">
      <c r="A95" s="38"/>
      <c r="D95" s="125"/>
      <c r="E95" s="60"/>
      <c r="F95" s="64"/>
      <c r="AL95" s="11"/>
      <c r="AM95" s="11"/>
      <c r="AN95" s="11"/>
      <c r="AO95" s="11"/>
      <c r="AP95" s="11"/>
      <c r="AQ95" s="11"/>
      <c r="AR95" s="11"/>
      <c r="AS95" s="21"/>
    </row>
    <row r="96" spans="1:45" ht="18" customHeight="1">
      <c r="A96" s="38"/>
      <c r="D96" s="125"/>
      <c r="E96" s="60"/>
      <c r="F96" s="64"/>
      <c r="AL96" s="11"/>
      <c r="AM96" s="11"/>
      <c r="AN96" s="11"/>
      <c r="AO96" s="11"/>
      <c r="AP96" s="11"/>
      <c r="AQ96" s="11"/>
      <c r="AR96" s="11"/>
      <c r="AS96" s="21"/>
    </row>
    <row r="97" spans="1:45" ht="18" customHeight="1">
      <c r="A97" s="38"/>
      <c r="D97" s="125"/>
      <c r="E97" s="60"/>
      <c r="F97" s="64"/>
      <c r="AL97" s="11"/>
      <c r="AM97" s="11"/>
      <c r="AN97" s="11"/>
      <c r="AO97" s="11"/>
      <c r="AP97" s="11"/>
      <c r="AQ97" s="11"/>
      <c r="AR97" s="11"/>
      <c r="AS97" s="21"/>
    </row>
    <row r="98" spans="1:45" ht="18" customHeight="1">
      <c r="A98" s="38"/>
      <c r="D98" s="125"/>
      <c r="E98" s="60"/>
      <c r="F98" s="64"/>
      <c r="AL98" s="11"/>
      <c r="AM98" s="11"/>
      <c r="AN98" s="11"/>
      <c r="AO98" s="11"/>
      <c r="AP98" s="11"/>
      <c r="AQ98" s="11"/>
      <c r="AR98" s="11"/>
      <c r="AS98" s="21"/>
    </row>
    <row r="99" spans="1:45" ht="18" customHeight="1">
      <c r="A99" s="38"/>
      <c r="D99" s="125"/>
      <c r="E99" s="60"/>
      <c r="F99" s="64"/>
      <c r="AL99" s="11"/>
      <c r="AM99" s="11"/>
      <c r="AN99" s="11"/>
      <c r="AO99" s="11"/>
      <c r="AP99" s="11"/>
      <c r="AQ99" s="11"/>
      <c r="AR99" s="11"/>
      <c r="AS99" s="21"/>
    </row>
    <row r="100" spans="1:45" ht="18" customHeight="1">
      <c r="A100" s="38"/>
      <c r="D100" s="125"/>
      <c r="E100" s="60"/>
      <c r="F100" s="64"/>
      <c r="AL100" s="11"/>
      <c r="AM100" s="11"/>
      <c r="AN100" s="11"/>
      <c r="AO100" s="11"/>
      <c r="AP100" s="11"/>
      <c r="AQ100" s="11"/>
      <c r="AR100" s="11"/>
      <c r="AS100" s="21"/>
    </row>
    <row r="101" spans="1:45" ht="18" customHeight="1">
      <c r="A101" s="38"/>
      <c r="D101" s="125"/>
      <c r="E101" s="60"/>
      <c r="F101" s="64"/>
      <c r="AL101" s="11"/>
      <c r="AM101" s="11"/>
      <c r="AN101" s="11"/>
      <c r="AO101" s="11"/>
      <c r="AP101" s="11"/>
      <c r="AQ101" s="11"/>
      <c r="AR101" s="11"/>
      <c r="AS101" s="21"/>
    </row>
    <row r="102" spans="1:45" ht="18" customHeight="1">
      <c r="A102" s="38"/>
      <c r="D102" s="125"/>
      <c r="E102" s="60"/>
      <c r="F102" s="64"/>
      <c r="AL102" s="11"/>
      <c r="AM102" s="11"/>
      <c r="AN102" s="11"/>
      <c r="AO102" s="11"/>
      <c r="AP102" s="11"/>
      <c r="AQ102" s="11"/>
      <c r="AR102" s="11"/>
      <c r="AS102" s="21"/>
    </row>
    <row r="103" spans="1:45" ht="18" customHeight="1">
      <c r="A103" s="38"/>
      <c r="D103" s="125"/>
      <c r="E103" s="60"/>
      <c r="F103" s="64"/>
      <c r="AL103" s="11"/>
      <c r="AM103" s="11"/>
      <c r="AN103" s="11"/>
      <c r="AO103" s="11"/>
      <c r="AP103" s="11"/>
      <c r="AQ103" s="11"/>
      <c r="AR103" s="11"/>
      <c r="AS103" s="21"/>
    </row>
    <row r="104" spans="1:45" ht="18" customHeight="1">
      <c r="A104" s="38"/>
      <c r="D104" s="125"/>
      <c r="E104" s="60"/>
      <c r="F104" s="64"/>
      <c r="AL104" s="11"/>
      <c r="AM104" s="11"/>
      <c r="AN104" s="11"/>
      <c r="AO104" s="11"/>
      <c r="AP104" s="11"/>
      <c r="AQ104" s="11"/>
      <c r="AR104" s="11"/>
      <c r="AS104" s="21"/>
    </row>
    <row r="105" spans="1:45" ht="18" customHeight="1">
      <c r="A105" s="38"/>
      <c r="D105" s="125"/>
      <c r="E105" s="60"/>
      <c r="F105" s="64"/>
      <c r="AL105" s="11"/>
      <c r="AM105" s="11"/>
      <c r="AN105" s="11"/>
      <c r="AO105" s="11"/>
      <c r="AP105" s="11"/>
      <c r="AQ105" s="11"/>
      <c r="AR105" s="11"/>
      <c r="AS105" s="21"/>
    </row>
    <row r="106" spans="1:45" ht="18" customHeight="1">
      <c r="A106" s="38"/>
      <c r="D106" s="125"/>
      <c r="F106" s="64"/>
      <c r="AL106" s="11"/>
      <c r="AM106" s="11"/>
      <c r="AN106" s="11"/>
      <c r="AO106" s="11"/>
      <c r="AP106" s="11"/>
      <c r="AQ106" s="11"/>
      <c r="AR106" s="11"/>
      <c r="AS106" s="21"/>
    </row>
    <row r="107" spans="1:45" ht="18" customHeight="1">
      <c r="A107" s="38"/>
      <c r="D107" s="125"/>
      <c r="E107" s="60"/>
      <c r="F107" s="64"/>
      <c r="AL107" s="11"/>
      <c r="AM107" s="11"/>
      <c r="AN107" s="11"/>
      <c r="AO107" s="11"/>
      <c r="AP107" s="11"/>
      <c r="AQ107" s="11"/>
      <c r="AR107" s="11"/>
      <c r="AS107" s="21"/>
    </row>
    <row r="108" spans="1:45" ht="18" customHeight="1">
      <c r="A108" s="38"/>
      <c r="D108" s="125"/>
      <c r="E108" s="121"/>
      <c r="F108" s="64"/>
      <c r="AL108" s="11"/>
      <c r="AM108" s="11"/>
      <c r="AN108" s="11"/>
      <c r="AO108" s="11"/>
      <c r="AP108" s="11"/>
      <c r="AQ108" s="11"/>
      <c r="AR108" s="11"/>
      <c r="AS108" s="21"/>
    </row>
    <row r="109" spans="1:45" ht="18" customHeight="1">
      <c r="A109" s="38"/>
      <c r="D109" s="125"/>
      <c r="E109" s="60"/>
      <c r="F109" s="64"/>
      <c r="AL109" s="11"/>
      <c r="AM109" s="11"/>
      <c r="AN109" s="11"/>
      <c r="AO109" s="11"/>
      <c r="AP109" s="11"/>
      <c r="AQ109" s="11"/>
      <c r="AR109" s="11"/>
      <c r="AS109" s="21"/>
    </row>
    <row r="110" spans="1:45" ht="18" customHeight="1">
      <c r="A110" s="38"/>
      <c r="D110" s="125"/>
      <c r="E110" s="60"/>
      <c r="F110" s="64"/>
      <c r="AL110" s="11"/>
      <c r="AM110" s="11"/>
      <c r="AN110" s="11"/>
      <c r="AO110" s="11"/>
      <c r="AP110" s="11"/>
      <c r="AQ110" s="11"/>
      <c r="AR110" s="11"/>
      <c r="AS110" s="21"/>
    </row>
    <row r="111" spans="1:45" ht="18" customHeight="1">
      <c r="A111" s="38"/>
      <c r="D111" s="125"/>
      <c r="E111" s="60"/>
      <c r="F111" s="64"/>
      <c r="AL111" s="11"/>
      <c r="AM111" s="11"/>
      <c r="AN111" s="11"/>
      <c r="AO111" s="11"/>
      <c r="AP111" s="11"/>
      <c r="AQ111" s="11"/>
      <c r="AR111" s="11"/>
      <c r="AS111" s="21"/>
    </row>
    <row r="112" spans="1:45" ht="18" customHeight="1">
      <c r="A112" s="38"/>
      <c r="D112" s="125"/>
      <c r="E112" s="60"/>
      <c r="F112" s="64"/>
      <c r="AL112" s="11"/>
      <c r="AM112" s="11"/>
      <c r="AN112" s="11"/>
      <c r="AO112" s="11"/>
      <c r="AP112" s="11"/>
      <c r="AQ112" s="11"/>
      <c r="AR112" s="11"/>
      <c r="AS112" s="21"/>
    </row>
    <row r="113" spans="1:45" ht="18" customHeight="1">
      <c r="A113" s="38"/>
      <c r="D113" s="125"/>
      <c r="E113" s="60"/>
      <c r="F113" s="64"/>
      <c r="AL113" s="11"/>
      <c r="AM113" s="11"/>
      <c r="AN113" s="11"/>
      <c r="AO113" s="11"/>
      <c r="AP113" s="11"/>
      <c r="AQ113" s="11"/>
      <c r="AR113" s="11"/>
      <c r="AS113" s="21"/>
    </row>
    <row r="114" spans="1:45" ht="18" customHeight="1">
      <c r="A114" s="38"/>
      <c r="D114" s="125"/>
      <c r="E114" s="60"/>
      <c r="F114" s="64"/>
      <c r="AL114" s="11"/>
      <c r="AM114" s="11"/>
      <c r="AN114" s="11"/>
      <c r="AO114" s="11"/>
      <c r="AP114" s="11"/>
      <c r="AQ114" s="11"/>
      <c r="AR114" s="11"/>
      <c r="AS114" s="21"/>
    </row>
    <row r="115" spans="1:45" ht="18" customHeight="1">
      <c r="A115" s="38"/>
      <c r="D115" s="125"/>
      <c r="E115" s="60"/>
      <c r="F115" s="64"/>
      <c r="AL115" s="11"/>
      <c r="AM115" s="11"/>
      <c r="AN115" s="11"/>
      <c r="AO115" s="11"/>
      <c r="AP115" s="11"/>
      <c r="AQ115" s="11"/>
      <c r="AR115" s="11"/>
      <c r="AS115" s="21"/>
    </row>
    <row r="116" spans="1:45" ht="18" customHeight="1">
      <c r="A116" s="38"/>
      <c r="D116" s="125"/>
      <c r="E116" s="60"/>
      <c r="F116" s="64"/>
      <c r="AL116" s="11"/>
      <c r="AM116" s="11"/>
      <c r="AN116" s="11"/>
      <c r="AO116" s="11"/>
      <c r="AP116" s="11"/>
      <c r="AQ116" s="11"/>
      <c r="AR116" s="11"/>
      <c r="AS116" s="21"/>
    </row>
    <row r="117" spans="1:45" ht="18" customHeight="1">
      <c r="A117" s="38"/>
      <c r="D117" s="125"/>
      <c r="E117" s="60"/>
      <c r="F117" s="64"/>
      <c r="AJ117" s="22" t="s">
        <v>423</v>
      </c>
      <c r="AK117" s="22">
        <f>H</f>
        <v>10</v>
      </c>
      <c r="AL117" s="11" t="s">
        <v>424</v>
      </c>
      <c r="AM117" s="64" t="s">
        <v>427</v>
      </c>
      <c r="AO117" s="11"/>
      <c r="AQ117" s="64">
        <f>(HA+Ho-zc)/(m*Ho-HA*TAN(α))</f>
        <v>8.505902790133538</v>
      </c>
      <c r="AR117" s="11"/>
      <c r="AS117" s="21"/>
    </row>
    <row r="118" spans="1:45" ht="18" customHeight="1">
      <c r="A118" s="38"/>
      <c r="D118" s="125"/>
      <c r="E118" s="60"/>
      <c r="F118" s="64"/>
      <c r="AJ118" s="22" t="s">
        <v>425</v>
      </c>
      <c r="AK118" s="22">
        <f>HA</f>
        <v>7</v>
      </c>
      <c r="AL118" s="22" t="s">
        <v>424</v>
      </c>
      <c r="AM118" s="11"/>
      <c r="AN118" s="11"/>
      <c r="AO118" s="11"/>
      <c r="AP118" s="11"/>
      <c r="AQ118" s="11"/>
      <c r="AR118" s="11"/>
      <c r="AS118" s="21"/>
    </row>
    <row r="119" spans="1:45" ht="18" customHeight="1">
      <c r="A119" s="38"/>
      <c r="D119" s="125"/>
      <c r="E119" s="60"/>
      <c r="F119" s="64"/>
      <c r="AJ119" s="22" t="s">
        <v>426</v>
      </c>
      <c r="AK119" s="22">
        <f>Ho</f>
        <v>2</v>
      </c>
      <c r="AL119" s="22" t="s">
        <v>424</v>
      </c>
      <c r="AM119" s="11"/>
      <c r="AN119" s="11"/>
      <c r="AO119" s="11"/>
      <c r="AP119" s="11"/>
      <c r="AQ119" s="11"/>
      <c r="AR119" s="11"/>
      <c r="AS119" s="21"/>
    </row>
    <row r="120" spans="1:45" ht="18" customHeight="1">
      <c r="A120" s="38"/>
      <c r="D120" s="125"/>
      <c r="E120" s="60"/>
      <c r="F120" s="64"/>
      <c r="AE120" s="64"/>
      <c r="AF120" s="64"/>
      <c r="AG120" s="64"/>
      <c r="AH120" s="64"/>
      <c r="AI120" s="64"/>
      <c r="AJ120" s="64" t="s">
        <v>180</v>
      </c>
      <c r="AK120" s="64">
        <f>HA+Ho</f>
        <v>9</v>
      </c>
      <c r="AL120" s="64" t="s">
        <v>181</v>
      </c>
      <c r="AM120" s="64"/>
      <c r="AN120" s="64"/>
      <c r="AO120" s="11"/>
      <c r="AP120" s="11"/>
      <c r="AQ120" s="11"/>
      <c r="AR120" s="11"/>
      <c r="AS120" s="21"/>
    </row>
    <row r="121" spans="1:45" ht="18" customHeight="1">
      <c r="A121" s="38"/>
      <c r="D121" s="125"/>
      <c r="E121" s="60"/>
      <c r="F121" s="64"/>
      <c r="AE121" s="64"/>
      <c r="AF121" s="64"/>
      <c r="AG121" s="64"/>
      <c r="AH121" s="64"/>
      <c r="AI121" s="64"/>
      <c r="AJ121" s="65" t="s">
        <v>323</v>
      </c>
      <c r="AK121" s="64">
        <f>IF(m=0,PI()/2,IF(AQ117&lt;=0,PI()/2,ATAN((HA+Ho-zc)/(m*Ho-HA*TAN(α)))))</f>
        <v>1.4537681112339202</v>
      </c>
      <c r="AL121" s="64" t="s">
        <v>182</v>
      </c>
      <c r="AM121" s="64">
        <f>AK121*180/PI()</f>
        <v>83.29477716440883</v>
      </c>
      <c r="AN121" s="64" t="s">
        <v>183</v>
      </c>
      <c r="AO121" s="11"/>
      <c r="AP121" s="11"/>
      <c r="AQ121" s="11"/>
      <c r="AR121" s="11"/>
      <c r="AS121" s="21"/>
    </row>
    <row r="122" spans="1:45" ht="18" customHeight="1">
      <c r="A122" s="38"/>
      <c r="C122" s="25" t="s">
        <v>184</v>
      </c>
      <c r="D122" s="27"/>
      <c r="E122" s="26"/>
      <c r="G122" s="27"/>
      <c r="H122" s="28"/>
      <c r="AE122" s="66" t="s">
        <v>324</v>
      </c>
      <c r="AF122" s="65" t="s">
        <v>325</v>
      </c>
      <c r="AG122" s="65" t="s">
        <v>326</v>
      </c>
      <c r="AH122" s="66" t="s">
        <v>327</v>
      </c>
      <c r="AI122" s="66" t="s">
        <v>328</v>
      </c>
      <c r="AJ122" s="66" t="s">
        <v>329</v>
      </c>
      <c r="AK122" s="66" t="s">
        <v>324</v>
      </c>
      <c r="AL122" s="64"/>
      <c r="AM122" s="64"/>
      <c r="AN122" s="64"/>
      <c r="AO122" s="11"/>
      <c r="AP122" s="11"/>
      <c r="AQ122" s="11"/>
      <c r="AR122" s="11"/>
      <c r="AS122" s="21"/>
    </row>
    <row r="123" spans="1:45" ht="18" customHeight="1">
      <c r="A123" s="38"/>
      <c r="C123" s="27"/>
      <c r="D123" s="23" t="s">
        <v>51</v>
      </c>
      <c r="E123" s="122" t="s">
        <v>330</v>
      </c>
      <c r="F123" s="175">
        <f>φd</f>
        <v>35</v>
      </c>
      <c r="G123" s="133" t="s">
        <v>418</v>
      </c>
      <c r="H123" s="27">
        <f>F123*PI()/180</f>
        <v>0.6108652381980153</v>
      </c>
      <c r="I123" s="82" t="s">
        <v>185</v>
      </c>
      <c r="J123" s="82"/>
      <c r="K123" s="82"/>
      <c r="L123" s="82"/>
      <c r="M123" s="82"/>
      <c r="N123" s="82"/>
      <c r="O123" s="82"/>
      <c r="P123" s="82"/>
      <c r="Q123" s="82"/>
      <c r="AE123" s="64">
        <f>(AJ123/COS(θ)*SIN(AG123-φ+θ)-cu*AI123*COS(φ))/COS(AG123-φ-α-δ)</f>
        <v>-88.47639677409826</v>
      </c>
      <c r="AF123" s="64">
        <f>MIN(89,ROUNDUP((φ-θ)*180/PI(),0))</f>
        <v>30</v>
      </c>
      <c r="AG123" s="64">
        <f>AF123*PI()/180</f>
        <v>0.5235987755982988</v>
      </c>
      <c r="AH123" s="64">
        <f>IF(AG123&gt;=ωo,0,(TH-zc)/TAN(AG123)+HA*TAN(α)-Ho*m)</f>
        <v>12.359390217077845</v>
      </c>
      <c r="AI123" s="64">
        <f>IF(AG123&gt;=ωo,1/SIN(AG123-β)*(COS(α-β)*HA/COS(α)-COS(β)*zc),(TH-zc)/SIN(AG123))</f>
        <v>15.31062502224037</v>
      </c>
      <c r="AJ123" s="64">
        <f>IF(Ho=0,γ/2/SIN(AG123)*(HA^2*COS(AG123-α)/COS(α)-zc^2*COS(AG123))+q*AH123,IF(AG123&gt;=ωo,γ/(2*SIN(AG123-β))*(COS(AG123-α)*COS(α-β)/(COS(α))^2*HA^2-COS(AG123)*COS(β)*zc^2),γ/2/COS(α)*(COS(AG123-α)/SIN(AG123)*TH^2-COS(α-β)/SIN(β)*Ho^2-COS(α)/TAN(AG123)*zc^2)+AH123*q))</f>
        <v>1542.642480887806</v>
      </c>
      <c r="AK123" s="64">
        <f>AE123</f>
        <v>-88.47639677409826</v>
      </c>
      <c r="AL123" s="64"/>
      <c r="AM123" s="64"/>
      <c r="AN123" s="64"/>
      <c r="AO123" s="11"/>
      <c r="AP123" s="11"/>
      <c r="AQ123" s="11"/>
      <c r="AR123" s="11"/>
      <c r="AS123" s="21"/>
    </row>
    <row r="124" spans="1:45" ht="18" customHeight="1">
      <c r="A124" s="38"/>
      <c r="C124" s="27"/>
      <c r="D124" s="23" t="s">
        <v>331</v>
      </c>
      <c r="E124" s="122" t="s">
        <v>332</v>
      </c>
      <c r="F124" s="81">
        <f>IF(kH=0,F123*2/3,F123/2)</f>
        <v>17.5</v>
      </c>
      <c r="G124" s="133" t="s">
        <v>418</v>
      </c>
      <c r="H124" s="27">
        <f>F124/180*PI()</f>
        <v>0.30543261909900765</v>
      </c>
      <c r="I124" s="82" t="s">
        <v>186</v>
      </c>
      <c r="J124" s="82"/>
      <c r="K124" s="82"/>
      <c r="L124" s="82"/>
      <c r="M124" s="82"/>
      <c r="N124" s="82"/>
      <c r="O124" s="82"/>
      <c r="P124" s="82"/>
      <c r="Q124" s="82"/>
      <c r="AE124" s="64">
        <f aca="true" t="shared" si="6" ref="AE124:AE129">(AJ124/COS(θ)*SIN(AG124-φ+θ)-cu*AI124*COS(φ))/COS(AG124-φ-α-δ)</f>
        <v>-51.61148704014324</v>
      </c>
      <c r="AF124" s="64">
        <f>MIN(89,AF123+1)</f>
        <v>31</v>
      </c>
      <c r="AG124" s="64">
        <f aca="true" t="shared" si="7" ref="AG124:AG175">AF124*PI()/180</f>
        <v>0.5410520681182421</v>
      </c>
      <c r="AH124" s="64">
        <f>IF(AG124&gt;=ωo,0,(TH-zc)/TAN(AG124)+HA*TAN(α)-Ho*m)</f>
        <v>11.840579543238544</v>
      </c>
      <c r="AI124" s="64">
        <f aca="true" t="shared" si="8" ref="AI124:AI175">IF(AG124&gt;=ωo,1/SIN(AG124-β)*(COS(α-β)*HA/COS(α)-COS(β)*zc),(TH-zc)/SIN(AG124))</f>
        <v>14.863585595020526</v>
      </c>
      <c r="AJ124" s="64">
        <f aca="true" t="shared" si="9" ref="AJ124:AJ175">IF(Ho=0,γ/2/SIN(AG124)*(HA^2*COS(AG124-α)/COS(α)-zc^2*COS(AG124))+q*AH124,IF(AG124&gt;=ωo,γ/(2*SIN(AG124-β))*(COS(AG124-α)*COS(α-β)/(COS(α))^2*HA^2-COS(AG124)*COS(β)*zc^2),γ/2/COS(α)*(COS(AG124-α)/SIN(AG124)*TH^2-COS(α-β)/SIN(β)*Ho^2-COS(α)/TAN(AG124)*zc^2)+AH124*q))</f>
        <v>1488.9731380201786</v>
      </c>
      <c r="AK124" s="64">
        <f aca="true" t="shared" si="10" ref="AK124:AK174">AE124</f>
        <v>-51.61148704014324</v>
      </c>
      <c r="AL124" s="64"/>
      <c r="AM124" s="64"/>
      <c r="AN124" s="64"/>
      <c r="AO124" s="11"/>
      <c r="AP124" s="11"/>
      <c r="AQ124" s="11"/>
      <c r="AR124" s="11"/>
      <c r="AS124" s="21"/>
    </row>
    <row r="125" spans="1:45" ht="18" customHeight="1">
      <c r="A125" s="38"/>
      <c r="C125" s="27"/>
      <c r="D125" s="23" t="s">
        <v>333</v>
      </c>
      <c r="E125" s="122" t="s">
        <v>334</v>
      </c>
      <c r="F125" s="171">
        <f>θ*180/PI()</f>
        <v>5.710593137499643</v>
      </c>
      <c r="G125" s="133" t="s">
        <v>418</v>
      </c>
      <c r="H125" s="22">
        <f>ATAN(kH)</f>
        <v>0.09966865249116204</v>
      </c>
      <c r="I125" s="82" t="s">
        <v>187</v>
      </c>
      <c r="J125" s="82"/>
      <c r="K125" s="82"/>
      <c r="L125" s="82"/>
      <c r="M125" s="82"/>
      <c r="N125" s="82"/>
      <c r="O125" s="82"/>
      <c r="P125" s="82"/>
      <c r="Q125" s="82"/>
      <c r="AE125" s="64">
        <f t="shared" si="6"/>
        <v>-18.173231811693842</v>
      </c>
      <c r="AF125" s="64">
        <f aca="true" t="shared" si="11" ref="AF125:AF175">MIN(89,AF124+1)</f>
        <v>32</v>
      </c>
      <c r="AG125" s="64">
        <f t="shared" si="7"/>
        <v>0.5585053606381855</v>
      </c>
      <c r="AH125" s="64">
        <f aca="true" t="shared" si="12" ref="AH125:AH165">IF(AG125&gt;=ωo,0,(TH-zc)/TAN(AG125)+HA*TAN(α)-Ho*m)</f>
        <v>11.35106094214558</v>
      </c>
      <c r="AI125" s="64">
        <f t="shared" si="8"/>
        <v>14.446186481250967</v>
      </c>
      <c r="AJ125" s="64">
        <f t="shared" si="9"/>
        <v>1438.3339685371757</v>
      </c>
      <c r="AK125" s="64">
        <f t="shared" si="10"/>
        <v>-18.173231811693842</v>
      </c>
      <c r="AL125" s="64"/>
      <c r="AM125" s="64"/>
      <c r="AN125" s="64"/>
      <c r="AO125" s="11"/>
      <c r="AP125" s="11"/>
      <c r="AQ125" s="11"/>
      <c r="AR125" s="11"/>
      <c r="AS125" s="21"/>
    </row>
    <row r="126" spans="1:45" ht="18" customHeight="1">
      <c r="A126" s="38"/>
      <c r="C126" s="27"/>
      <c r="D126" s="23" t="s">
        <v>52</v>
      </c>
      <c r="E126" s="122" t="s">
        <v>335</v>
      </c>
      <c r="F126" s="171">
        <f>α*180/PI()</f>
        <v>16.69924423399362</v>
      </c>
      <c r="G126" s="133" t="s">
        <v>418</v>
      </c>
      <c r="H126" s="22">
        <f>ATAN(nr)</f>
        <v>0.2914567944778671</v>
      </c>
      <c r="I126" s="82" t="s">
        <v>186</v>
      </c>
      <c r="J126" s="82"/>
      <c r="K126" s="82"/>
      <c r="L126" s="82"/>
      <c r="M126" s="82"/>
      <c r="N126" s="82"/>
      <c r="O126" s="82"/>
      <c r="P126" s="82"/>
      <c r="Q126" s="82"/>
      <c r="AE126" s="64">
        <f t="shared" si="6"/>
        <v>12.190691298805612</v>
      </c>
      <c r="AF126" s="64">
        <f t="shared" si="11"/>
        <v>33</v>
      </c>
      <c r="AG126" s="64">
        <f t="shared" si="7"/>
        <v>0.5759586531581288</v>
      </c>
      <c r="AH126" s="64">
        <f t="shared" si="12"/>
        <v>10.888147522925404</v>
      </c>
      <c r="AI126" s="64">
        <f t="shared" si="8"/>
        <v>14.055754396871254</v>
      </c>
      <c r="AJ126" s="64">
        <f t="shared" si="9"/>
        <v>1390.4470219747602</v>
      </c>
      <c r="AK126" s="64">
        <f t="shared" si="10"/>
        <v>12.190691298805612</v>
      </c>
      <c r="AL126" s="64"/>
      <c r="AM126" s="64"/>
      <c r="AN126" s="64"/>
      <c r="AO126" s="11"/>
      <c r="AP126" s="11"/>
      <c r="AQ126" s="11"/>
      <c r="AR126" s="11"/>
      <c r="AS126" s="21"/>
    </row>
    <row r="127" spans="1:45" ht="18" customHeight="1">
      <c r="A127" s="38"/>
      <c r="C127" s="27"/>
      <c r="D127" s="23" t="s">
        <v>188</v>
      </c>
      <c r="E127" s="122" t="s">
        <v>336</v>
      </c>
      <c r="F127" s="171">
        <f>β*180/PI()</f>
        <v>33.690067525979785</v>
      </c>
      <c r="G127" s="133" t="s">
        <v>418</v>
      </c>
      <c r="H127" s="27">
        <f>IF(m=0,0,IF(Ho=0,0,ATAN(1/m)))</f>
        <v>0.5880026035475675</v>
      </c>
      <c r="I127" s="82" t="s">
        <v>189</v>
      </c>
      <c r="J127" s="82"/>
      <c r="K127" s="82"/>
      <c r="L127" s="82"/>
      <c r="M127" s="82"/>
      <c r="N127" s="82"/>
      <c r="O127" s="82"/>
      <c r="P127" s="82"/>
      <c r="Q127" s="82"/>
      <c r="AE127" s="64">
        <f t="shared" si="6"/>
        <v>39.78768508624031</v>
      </c>
      <c r="AF127" s="64">
        <f t="shared" si="11"/>
        <v>34</v>
      </c>
      <c r="AG127" s="64">
        <f t="shared" si="7"/>
        <v>0.5934119456780721</v>
      </c>
      <c r="AH127" s="64">
        <f t="shared" si="12"/>
        <v>10.449467530754035</v>
      </c>
      <c r="AI127" s="64">
        <f t="shared" si="8"/>
        <v>13.689931441557817</v>
      </c>
      <c r="AJ127" s="64">
        <f t="shared" si="9"/>
        <v>1345.0669477083898</v>
      </c>
      <c r="AK127" s="64">
        <f t="shared" si="10"/>
        <v>39.78768508624031</v>
      </c>
      <c r="AL127" s="64"/>
      <c r="AM127" s="64"/>
      <c r="AN127" s="64"/>
      <c r="AO127" s="11"/>
      <c r="AP127" s="11"/>
      <c r="AQ127" s="11"/>
      <c r="AR127" s="11"/>
      <c r="AS127" s="21"/>
    </row>
    <row r="128" spans="1:45" ht="18" customHeight="1">
      <c r="A128" s="38"/>
      <c r="C128" s="27"/>
      <c r="D128" s="23" t="s">
        <v>190</v>
      </c>
      <c r="E128" s="26"/>
      <c r="G128" s="27"/>
      <c r="H128" s="28"/>
      <c r="AE128" s="64">
        <f t="shared" si="6"/>
        <v>64.88692758617302</v>
      </c>
      <c r="AF128" s="64">
        <f t="shared" si="11"/>
        <v>35</v>
      </c>
      <c r="AG128" s="64">
        <f t="shared" si="7"/>
        <v>0.6108652381980153</v>
      </c>
      <c r="AH128" s="64">
        <f t="shared" si="12"/>
        <v>10.032919303744263</v>
      </c>
      <c r="AI128" s="64">
        <f t="shared" si="8"/>
        <v>13.346630066990587</v>
      </c>
      <c r="AJ128" s="64">
        <f t="shared" si="9"/>
        <v>1301.9763353837589</v>
      </c>
      <c r="AK128" s="64">
        <f t="shared" si="10"/>
        <v>64.88692758617302</v>
      </c>
      <c r="AL128" s="64"/>
      <c r="AM128" s="64"/>
      <c r="AN128" s="64"/>
      <c r="AO128" s="11"/>
      <c r="AP128" s="11"/>
      <c r="AQ128" s="11"/>
      <c r="AR128" s="11"/>
      <c r="AS128" s="21"/>
    </row>
    <row r="129" spans="1:45" ht="18" customHeight="1">
      <c r="A129" s="38"/>
      <c r="C129" s="27"/>
      <c r="D129" s="27"/>
      <c r="E129" s="26"/>
      <c r="G129" s="68">
        <f>2*cu/γ*TAN(PI()/4+φ/2)</f>
        <v>1.3446874888798164</v>
      </c>
      <c r="H129" s="28" t="s">
        <v>191</v>
      </c>
      <c r="AE129" s="64">
        <f t="shared" si="6"/>
        <v>87.72492135118328</v>
      </c>
      <c r="AF129" s="64">
        <f t="shared" si="11"/>
        <v>36</v>
      </c>
      <c r="AG129" s="64">
        <f t="shared" si="7"/>
        <v>0.6283185307179586</v>
      </c>
      <c r="AH129" s="64">
        <f t="shared" si="12"/>
        <v>9.6366337358626</v>
      </c>
      <c r="AI129" s="64">
        <f t="shared" si="8"/>
        <v>13.023995551543738</v>
      </c>
      <c r="AJ129" s="64">
        <f t="shared" si="9"/>
        <v>1260.9818318228686</v>
      </c>
      <c r="AK129" s="64">
        <f t="shared" si="10"/>
        <v>87.72492135118328</v>
      </c>
      <c r="AL129" s="64"/>
      <c r="AM129" s="64"/>
      <c r="AN129" s="64"/>
      <c r="AO129" s="11"/>
      <c r="AP129" s="11"/>
      <c r="AQ129" s="11"/>
      <c r="AR129" s="11"/>
      <c r="AS129" s="21"/>
    </row>
    <row r="130" spans="1:45" ht="18" customHeight="1">
      <c r="A130" s="38"/>
      <c r="C130" s="27"/>
      <c r="D130" s="27"/>
      <c r="E130" s="26"/>
      <c r="G130" s="27"/>
      <c r="H130" s="28"/>
      <c r="AE130" s="64">
        <f>(AJ130/COS(θ)*SIN(AG130-φ+θ)-cu*AI130*COS(φ))/COS(AG130-φ-α-δ)</f>
        <v>108.51011733163938</v>
      </c>
      <c r="AF130" s="64">
        <f t="shared" si="11"/>
        <v>37</v>
      </c>
      <c r="AG130" s="64">
        <f t="shared" si="7"/>
        <v>0.6457718232379019</v>
      </c>
      <c r="AH130" s="64">
        <f t="shared" si="12"/>
        <v>9.258942825767976</v>
      </c>
      <c r="AI130" s="64">
        <f t="shared" si="8"/>
        <v>12.720374561314454</v>
      </c>
      <c r="AJ130" s="64">
        <f t="shared" si="9"/>
        <v>1221.9108874996734</v>
      </c>
      <c r="AK130" s="64">
        <f t="shared" si="10"/>
        <v>108.51011733163938</v>
      </c>
      <c r="AL130" s="64"/>
      <c r="AM130" s="64"/>
      <c r="AN130" s="64"/>
      <c r="AO130" s="11"/>
      <c r="AP130" s="11"/>
      <c r="AQ130" s="11"/>
      <c r="AR130" s="11"/>
      <c r="AS130" s="21"/>
    </row>
    <row r="131" spans="1:45" ht="18" customHeight="1">
      <c r="A131" s="38"/>
      <c r="C131" s="25" t="s">
        <v>337</v>
      </c>
      <c r="D131" s="27"/>
      <c r="E131" s="26"/>
      <c r="G131" s="27"/>
      <c r="H131" s="28"/>
      <c r="AE131" s="64">
        <f>(AJ131/COS(θ)*SIN(AG131-φ+θ)-cu*AI131*COS(φ))/COS(AG131-φ-α-δ)</f>
        <v>127.42678671282664</v>
      </c>
      <c r="AF131" s="64">
        <f t="shared" si="11"/>
        <v>38</v>
      </c>
      <c r="AG131" s="64">
        <f t="shared" si="7"/>
        <v>0.6632251157578452</v>
      </c>
      <c r="AH131" s="64">
        <f t="shared" si="12"/>
        <v>8.898353190431266</v>
      </c>
      <c r="AI131" s="64">
        <f t="shared" si="8"/>
        <v>12.434288676371793</v>
      </c>
      <c r="AJ131" s="64">
        <f t="shared" si="9"/>
        <v>1184.6090166067993</v>
      </c>
      <c r="AK131" s="64">
        <f t="shared" si="10"/>
        <v>127.42678671282664</v>
      </c>
      <c r="AL131" s="64"/>
      <c r="AM131" s="64"/>
      <c r="AN131" s="64"/>
      <c r="AO131" s="11"/>
      <c r="AP131" s="11"/>
      <c r="AQ131" s="11"/>
      <c r="AR131" s="11"/>
      <c r="AS131" s="21"/>
    </row>
    <row r="132" spans="1:45" ht="18" customHeight="1">
      <c r="A132" s="38"/>
      <c r="C132" s="29" t="s">
        <v>338</v>
      </c>
      <c r="D132" s="50" t="s">
        <v>339</v>
      </c>
      <c r="E132" s="50" t="s">
        <v>340</v>
      </c>
      <c r="F132" s="50" t="s">
        <v>341</v>
      </c>
      <c r="G132" s="51" t="s">
        <v>342</v>
      </c>
      <c r="H132" s="28"/>
      <c r="AE132" s="64">
        <f>(AJ132/COS(θ)*SIN(AG132-φ+θ)-cu*AI132*COS(φ))/COS(AG132-φ-α-δ)</f>
        <v>144.63827812007926</v>
      </c>
      <c r="AF132" s="64">
        <f t="shared" si="11"/>
        <v>39</v>
      </c>
      <c r="AG132" s="64">
        <f t="shared" si="7"/>
        <v>0.6806784082777885</v>
      </c>
      <c r="AH132" s="64">
        <f t="shared" si="12"/>
        <v>8.55352365236952</v>
      </c>
      <c r="AI132" s="64">
        <f t="shared" si="8"/>
        <v>12.164411991083794</v>
      </c>
      <c r="AJ132" s="64">
        <f t="shared" si="9"/>
        <v>1148.9374785249638</v>
      </c>
      <c r="AK132" s="64">
        <f t="shared" si="10"/>
        <v>144.63827812007926</v>
      </c>
      <c r="AL132" s="64"/>
      <c r="AM132" s="64"/>
      <c r="AN132" s="64"/>
      <c r="AO132" s="11"/>
      <c r="AP132" s="11"/>
      <c r="AQ132" s="11"/>
      <c r="AR132" s="11"/>
      <c r="AS132" s="21"/>
    </row>
    <row r="133" spans="1:45" ht="18" customHeight="1">
      <c r="A133" s="38"/>
      <c r="C133" s="52">
        <f>ωad-5</f>
        <v>54</v>
      </c>
      <c r="D133" s="70">
        <f>VLOOKUP($C133,$AF$123:$AK$175,3,FALSE)</f>
        <v>4.661910104500327</v>
      </c>
      <c r="E133" s="70">
        <f>VLOOKUP($C133,$AF$123:$AK$175,4,FALSE)</f>
        <v>9.462486652749162</v>
      </c>
      <c r="F133" s="70">
        <f>VLOOKUP($C133,$AF$123:$AK$175,5,FALSE)</f>
        <v>746.3622187229874</v>
      </c>
      <c r="G133" s="71">
        <f>VLOOKUP($C133,$AF$123:$AK$175,6,FALSE)</f>
        <v>268.7024206505227</v>
      </c>
      <c r="H133" s="28"/>
      <c r="AE133" s="64">
        <f>(AJ133/COS(θ)*SIN(AG133-φ+θ)-cu*AI133*COS(φ))/COS(AG133-φ-α-δ)</f>
        <v>160.28976980445938</v>
      </c>
      <c r="AF133" s="64">
        <f t="shared" si="11"/>
        <v>40</v>
      </c>
      <c r="AG133" s="64">
        <f t="shared" si="7"/>
        <v>0.6981317007977318</v>
      </c>
      <c r="AH133" s="64">
        <f t="shared" si="12"/>
        <v>8.223246187558882</v>
      </c>
      <c r="AI133" s="64">
        <f t="shared" si="8"/>
        <v>11.909552075612286</v>
      </c>
      <c r="AJ133" s="64">
        <f t="shared" si="9"/>
        <v>1114.7713069441083</v>
      </c>
      <c r="AK133" s="64">
        <f t="shared" si="10"/>
        <v>160.28976980445938</v>
      </c>
      <c r="AL133" s="64"/>
      <c r="AM133" s="64"/>
      <c r="AN133" s="64"/>
      <c r="AO133" s="11"/>
      <c r="AP133" s="11"/>
      <c r="AQ133" s="11"/>
      <c r="AR133" s="11"/>
      <c r="AS133" s="21"/>
    </row>
    <row r="134" spans="1:45" ht="18" customHeight="1">
      <c r="A134" s="38"/>
      <c r="C134" s="52">
        <f>C133+1</f>
        <v>55</v>
      </c>
      <c r="D134" s="70">
        <f aca="true" t="shared" si="13" ref="D134:D143">VLOOKUP($C134,$AF$123:$AK$175,3,FALSE)</f>
        <v>4.460307527637456</v>
      </c>
      <c r="E134" s="70">
        <f aca="true" t="shared" si="14" ref="E134:E143">VLOOKUP($C134,$AF$123:$AK$175,4,FALSE)</f>
        <v>9.345410982603171</v>
      </c>
      <c r="F134" s="70">
        <f aca="true" t="shared" si="15" ref="F134:F143">VLOOKUP($C134,$AF$123:$AK$175,5,FALSE)</f>
        <v>725.5070621769949</v>
      </c>
      <c r="G134" s="71">
        <f aca="true" t="shared" si="16" ref="G134:G143">VLOOKUP($C134,$AF$123:$AK$175,6,FALSE)</f>
        <v>271.00581607898073</v>
      </c>
      <c r="H134" s="28"/>
      <c r="AE134" s="64">
        <f>(AJ134/COS(θ)*SIN(AG134-φ+θ)-cu*AI134*COS(φ))/COS(AG134-φ-α-δ)</f>
        <v>174.51060476928166</v>
      </c>
      <c r="AF134" s="64">
        <f t="shared" si="11"/>
        <v>41</v>
      </c>
      <c r="AG134" s="64">
        <f t="shared" si="7"/>
        <v>0.715584993317675</v>
      </c>
      <c r="AH134" s="64">
        <f t="shared" si="12"/>
        <v>7.906429660196395</v>
      </c>
      <c r="AI134" s="64">
        <f t="shared" si="8"/>
        <v>11.66863372477258</v>
      </c>
      <c r="AJ134" s="64">
        <f t="shared" si="9"/>
        <v>1081.9976272753377</v>
      </c>
      <c r="AK134" s="64">
        <f t="shared" si="10"/>
        <v>174.51060476928166</v>
      </c>
      <c r="AL134" s="64"/>
      <c r="AM134" s="64"/>
      <c r="AN134" s="64"/>
      <c r="AO134" s="11"/>
      <c r="AP134" s="11"/>
      <c r="AQ134" s="11"/>
      <c r="AR134" s="11"/>
      <c r="AS134" s="21"/>
    </row>
    <row r="135" spans="1:45" ht="18" customHeight="1">
      <c r="A135" s="38"/>
      <c r="C135" s="52">
        <f aca="true" t="shared" si="17" ref="C135:C143">C134+1</f>
        <v>56</v>
      </c>
      <c r="D135" s="70">
        <f t="shared" si="13"/>
        <v>4.263573487840947</v>
      </c>
      <c r="E135" s="70">
        <f t="shared" si="14"/>
        <v>9.233975352319668</v>
      </c>
      <c r="F135" s="70">
        <f t="shared" si="15"/>
        <v>705.1555405757974</v>
      </c>
      <c r="G135" s="71">
        <f t="shared" si="16"/>
        <v>272.79561550324155</v>
      </c>
      <c r="H135" s="28"/>
      <c r="AE135" s="64">
        <f aca="true" t="shared" si="18" ref="AE135:AE144">(AJ135/COS(θ)*SIN(AG135-φ+θ)-cu*AI135*COS(φ))/COS(AG135-φ-α-δ)</f>
        <v>187.41627982188587</v>
      </c>
      <c r="AF135" s="64">
        <f t="shared" si="11"/>
        <v>42</v>
      </c>
      <c r="AG135" s="64">
        <f t="shared" si="7"/>
        <v>0.7330382858376184</v>
      </c>
      <c r="AH135" s="64">
        <f t="shared" si="12"/>
        <v>7.602085879778571</v>
      </c>
      <c r="AI135" s="64">
        <f t="shared" si="8"/>
        <v>11.440685029754265</v>
      </c>
      <c r="AJ135" s="64">
        <f t="shared" si="9"/>
        <v>1050.514214299271</v>
      </c>
      <c r="AK135" s="64">
        <f t="shared" si="10"/>
        <v>187.41627982188587</v>
      </c>
      <c r="AL135" s="64"/>
      <c r="AM135" s="64"/>
      <c r="AN135" s="64"/>
      <c r="AO135" s="11"/>
      <c r="AP135" s="11"/>
      <c r="AQ135" s="11"/>
      <c r="AR135" s="11"/>
      <c r="AS135" s="21"/>
    </row>
    <row r="136" spans="1:45" ht="18" customHeight="1">
      <c r="A136" s="38"/>
      <c r="C136" s="52">
        <f t="shared" si="17"/>
        <v>57</v>
      </c>
      <c r="D136" s="70">
        <f t="shared" si="13"/>
        <v>4.07141807302135</v>
      </c>
      <c r="E136" s="70">
        <f t="shared" si="14"/>
        <v>9.12791363344749</v>
      </c>
      <c r="F136" s="70">
        <f t="shared" si="15"/>
        <v>685.2776634197497</v>
      </c>
      <c r="G136" s="71">
        <f t="shared" si="16"/>
        <v>274.09679270932014</v>
      </c>
      <c r="H136" s="28"/>
      <c r="AE136" s="64">
        <f t="shared" si="18"/>
        <v>199.11014614236137</v>
      </c>
      <c r="AF136" s="64">
        <f t="shared" si="11"/>
        <v>43</v>
      </c>
      <c r="AG136" s="64">
        <f t="shared" si="7"/>
        <v>0.7504915783575616</v>
      </c>
      <c r="AH136" s="64">
        <f t="shared" si="12"/>
        <v>7.309317602385766</v>
      </c>
      <c r="AI136" s="64">
        <f t="shared" si="8"/>
        <v>11.224825394622135</v>
      </c>
      <c r="AJ136" s="64">
        <f t="shared" si="9"/>
        <v>1020.2282509364086</v>
      </c>
      <c r="AK136" s="64">
        <f t="shared" si="10"/>
        <v>199.11014614236137</v>
      </c>
      <c r="AL136" s="64"/>
      <c r="AM136" s="64"/>
      <c r="AN136" s="64"/>
      <c r="AO136" s="11"/>
      <c r="AP136" s="11"/>
      <c r="AQ136" s="11"/>
      <c r="AR136" s="11"/>
      <c r="AS136" s="21"/>
    </row>
    <row r="137" spans="1:45" ht="18" customHeight="1">
      <c r="A137" s="38"/>
      <c r="C137" s="52">
        <f t="shared" si="17"/>
        <v>58</v>
      </c>
      <c r="D137" s="70">
        <f t="shared" si="13"/>
        <v>3.8835701674870347</v>
      </c>
      <c r="E137" s="70">
        <f t="shared" si="14"/>
        <v>9.026979184100579</v>
      </c>
      <c r="F137" s="70">
        <f t="shared" si="15"/>
        <v>665.8453846378185</v>
      </c>
      <c r="G137" s="71">
        <f t="shared" si="16"/>
        <v>274.9319623339354</v>
      </c>
      <c r="H137" s="28"/>
      <c r="AE137" s="64">
        <f t="shared" si="18"/>
        <v>209.6848683324867</v>
      </c>
      <c r="AF137" s="64">
        <f t="shared" si="11"/>
        <v>44</v>
      </c>
      <c r="AG137" s="64">
        <f t="shared" si="7"/>
        <v>0.767944870877505</v>
      </c>
      <c r="AH137" s="64">
        <f t="shared" si="12"/>
        <v>7.027308166805158</v>
      </c>
      <c r="AI137" s="64">
        <f t="shared" si="8"/>
        <v>11.020255188261702</v>
      </c>
      <c r="AJ137" s="64">
        <f t="shared" si="9"/>
        <v>991.0552561364408</v>
      </c>
      <c r="AK137" s="64">
        <f t="shared" si="10"/>
        <v>209.6848683324867</v>
      </c>
      <c r="AL137" s="64"/>
      <c r="AM137" s="64"/>
      <c r="AN137" s="64"/>
      <c r="AO137" s="11"/>
      <c r="AP137" s="11"/>
      <c r="AQ137" s="11"/>
      <c r="AR137" s="11"/>
      <c r="AS137" s="21"/>
    </row>
    <row r="138" spans="1:45" ht="18" customHeight="1">
      <c r="A138" s="38"/>
      <c r="C138" s="164">
        <f t="shared" si="17"/>
        <v>59</v>
      </c>
      <c r="D138" s="165">
        <f t="shared" si="13"/>
        <v>3.6997758142811037</v>
      </c>
      <c r="E138" s="165">
        <f t="shared" si="14"/>
        <v>8.930943241593162</v>
      </c>
      <c r="F138" s="165">
        <f t="shared" si="15"/>
        <v>646.8324331764569</v>
      </c>
      <c r="G138" s="166">
        <f t="shared" si="16"/>
        <v>275.32157981901133</v>
      </c>
      <c r="H138" s="28"/>
      <c r="AE138" s="64">
        <f t="shared" si="18"/>
        <v>219.22368042594252</v>
      </c>
      <c r="AF138" s="64">
        <f t="shared" si="11"/>
        <v>45</v>
      </c>
      <c r="AG138" s="64">
        <f t="shared" si="7"/>
        <v>0.7853981633974483</v>
      </c>
      <c r="AH138" s="64">
        <f t="shared" si="12"/>
        <v>6.755312511120184</v>
      </c>
      <c r="AI138" s="64">
        <f t="shared" si="8"/>
        <v>10.8262467774306</v>
      </c>
      <c r="AJ138" s="64">
        <f t="shared" si="9"/>
        <v>962.9181555725011</v>
      </c>
      <c r="AK138" s="64">
        <f t="shared" si="10"/>
        <v>219.22368042594252</v>
      </c>
      <c r="AL138" s="64"/>
      <c r="AM138" s="64"/>
      <c r="AN138" s="64"/>
      <c r="AO138" s="11"/>
      <c r="AP138" s="11"/>
      <c r="AQ138" s="11"/>
      <c r="AR138" s="11"/>
      <c r="AS138" s="21"/>
    </row>
    <row r="139" spans="1:45" ht="18" customHeight="1">
      <c r="A139" s="38"/>
      <c r="C139" s="52">
        <f t="shared" si="17"/>
        <v>60</v>
      </c>
      <c r="D139" s="70">
        <f t="shared" si="13"/>
        <v>3.5197967390259493</v>
      </c>
      <c r="E139" s="70">
        <f t="shared" si="14"/>
        <v>8.839593478051897</v>
      </c>
      <c r="F139" s="70">
        <f t="shared" si="15"/>
        <v>628.2141602959355</v>
      </c>
      <c r="G139" s="71">
        <f t="shared" si="16"/>
        <v>275.2841188916882</v>
      </c>
      <c r="H139" s="28"/>
      <c r="AE139" s="64">
        <f t="shared" si="18"/>
        <v>227.80147053528276</v>
      </c>
      <c r="AF139" s="64">
        <f t="shared" si="11"/>
        <v>46</v>
      </c>
      <c r="AG139" s="64">
        <f t="shared" si="7"/>
        <v>0.8028514559173915</v>
      </c>
      <c r="AH139" s="64">
        <f t="shared" si="12"/>
        <v>6.492649359628917</v>
      </c>
      <c r="AI139" s="64">
        <f t="shared" si="8"/>
        <v>10.642136730813744</v>
      </c>
      <c r="AJ139" s="64">
        <f t="shared" si="9"/>
        <v>935.7464734022863</v>
      </c>
      <c r="AK139" s="64">
        <f t="shared" si="10"/>
        <v>227.80147053528276</v>
      </c>
      <c r="AL139" s="64"/>
      <c r="AM139" s="64"/>
      <c r="AN139" s="64"/>
      <c r="AO139" s="11"/>
      <c r="AP139" s="11"/>
      <c r="AQ139" s="11"/>
      <c r="AR139" s="11"/>
      <c r="AS139" s="21"/>
    </row>
    <row r="140" spans="1:45" ht="18" customHeight="1">
      <c r="A140" s="38"/>
      <c r="C140" s="52">
        <f t="shared" si="17"/>
        <v>61</v>
      </c>
      <c r="D140" s="70">
        <f t="shared" si="13"/>
        <v>3.3434090166135437</v>
      </c>
      <c r="E140" s="70">
        <f t="shared" si="14"/>
        <v>8.752732700430784</v>
      </c>
      <c r="F140" s="70">
        <f t="shared" si="15"/>
        <v>609.9674016436192</v>
      </c>
      <c r="G140" s="71">
        <f t="shared" si="16"/>
        <v>274.8362291756483</v>
      </c>
      <c r="H140" s="28"/>
      <c r="AE140" s="64">
        <f t="shared" si="18"/>
        <v>235.48572032295297</v>
      </c>
      <c r="AF140" s="64">
        <f t="shared" si="11"/>
        <v>47</v>
      </c>
      <c r="AG140" s="64">
        <f t="shared" si="7"/>
        <v>0.8203047484373349</v>
      </c>
      <c r="AH140" s="64">
        <f t="shared" si="12"/>
        <v>6.238694405717958</v>
      </c>
      <c r="AI140" s="64">
        <f t="shared" si="8"/>
        <v>10.467319019746274</v>
      </c>
      <c r="AJ140" s="64">
        <f t="shared" si="9"/>
        <v>909.4756270576688</v>
      </c>
      <c r="AK140" s="64">
        <f t="shared" si="10"/>
        <v>235.48572032295297</v>
      </c>
      <c r="AL140" s="64"/>
      <c r="AM140" s="64"/>
      <c r="AN140" s="64"/>
      <c r="AO140" s="11"/>
      <c r="AP140" s="11"/>
      <c r="AQ140" s="11"/>
      <c r="AR140" s="11"/>
      <c r="AS140" s="21"/>
    </row>
    <row r="141" spans="1:45" ht="18" customHeight="1">
      <c r="A141" s="38"/>
      <c r="C141" s="52">
        <f t="shared" si="17"/>
        <v>62</v>
      </c>
      <c r="D141" s="70">
        <f t="shared" si="13"/>
        <v>3.1704018644787215</v>
      </c>
      <c r="E141" s="70">
        <f t="shared" si="14"/>
        <v>8.670177678759822</v>
      </c>
      <c r="F141" s="70">
        <f t="shared" si="15"/>
        <v>592.070352421861</v>
      </c>
      <c r="G141" s="71">
        <f t="shared" si="16"/>
        <v>273.99287618551915</v>
      </c>
      <c r="H141" s="28"/>
      <c r="AE141" s="64">
        <f t="shared" si="18"/>
        <v>242.33732103630814</v>
      </c>
      <c r="AF141" s="64">
        <f t="shared" si="11"/>
        <v>48</v>
      </c>
      <c r="AG141" s="64">
        <f t="shared" si="7"/>
        <v>0.8377580409572781</v>
      </c>
      <c r="AH141" s="64">
        <f t="shared" si="12"/>
        <v>5.9928743453764675</v>
      </c>
      <c r="AI141" s="64">
        <f t="shared" si="8"/>
        <v>10.301239070328496</v>
      </c>
      <c r="AJ141" s="64">
        <f t="shared" si="9"/>
        <v>884.0463100303659</v>
      </c>
      <c r="AK141" s="64">
        <f t="shared" si="10"/>
        <v>242.33732103630814</v>
      </c>
      <c r="AL141" s="64"/>
      <c r="AM141" s="64"/>
      <c r="AN141" s="64"/>
      <c r="AO141" s="11"/>
      <c r="AP141" s="11"/>
      <c r="AQ141" s="11"/>
      <c r="AR141" s="11"/>
      <c r="AS141" s="21"/>
    </row>
    <row r="142" spans="1:45" ht="18" customHeight="1">
      <c r="A142" s="38"/>
      <c r="C142" s="52">
        <f t="shared" si="17"/>
        <v>63</v>
      </c>
      <c r="D142" s="70">
        <f t="shared" si="13"/>
        <v>3.000576548248837</v>
      </c>
      <c r="E142" s="70">
        <f t="shared" si="14"/>
        <v>8.591758088520768</v>
      </c>
      <c r="F142" s="70">
        <f t="shared" si="15"/>
        <v>574.5024541808775</v>
      </c>
      <c r="G142" s="71">
        <f t="shared" si="16"/>
        <v>272.7674656530995</v>
      </c>
      <c r="H142" s="28"/>
      <c r="AE142" s="64">
        <f t="shared" si="18"/>
        <v>248.4112842259939</v>
      </c>
      <c r="AF142" s="64">
        <f t="shared" si="11"/>
        <v>49</v>
      </c>
      <c r="AG142" s="64">
        <f t="shared" si="7"/>
        <v>0.8552113334772214</v>
      </c>
      <c r="AH142" s="64">
        <f t="shared" si="12"/>
        <v>5.754661639755412</v>
      </c>
      <c r="AI142" s="64">
        <f t="shared" si="8"/>
        <v>10.14338854537996</v>
      </c>
      <c r="AJ142" s="64">
        <f t="shared" si="9"/>
        <v>859.4039500750623</v>
      </c>
      <c r="AK142" s="64">
        <f t="shared" si="10"/>
        <v>248.4112842259939</v>
      </c>
      <c r="AL142" s="64"/>
      <c r="AM142" s="64"/>
      <c r="AN142" s="64"/>
      <c r="AO142" s="11"/>
      <c r="AP142" s="11"/>
      <c r="AQ142" s="11"/>
      <c r="AR142" s="11"/>
      <c r="AS142" s="21"/>
    </row>
    <row r="143" spans="1:45" ht="18" customHeight="1">
      <c r="A143" s="38"/>
      <c r="C143" s="126">
        <f t="shared" si="17"/>
        <v>64</v>
      </c>
      <c r="D143" s="72">
        <f t="shared" si="13"/>
        <v>2.833745387329273</v>
      </c>
      <c r="E143" s="72">
        <f t="shared" si="14"/>
        <v>8.517315554816307</v>
      </c>
      <c r="F143" s="72">
        <f t="shared" si="15"/>
        <v>557.2442919496783</v>
      </c>
      <c r="G143" s="73">
        <f t="shared" si="16"/>
        <v>271.171953873981</v>
      </c>
      <c r="H143" s="28"/>
      <c r="AE143" s="64">
        <f t="shared" si="18"/>
        <v>253.7573623064133</v>
      </c>
      <c r="AF143" s="64">
        <f t="shared" si="11"/>
        <v>50</v>
      </c>
      <c r="AG143" s="64">
        <f t="shared" si="7"/>
        <v>0.8726646259971648</v>
      </c>
      <c r="AH143" s="64">
        <f t="shared" si="12"/>
        <v>5.523569904627763</v>
      </c>
      <c r="AI143" s="64">
        <f t="shared" si="8"/>
        <v>9.993300754132878</v>
      </c>
      <c r="AJ143" s="64">
        <f t="shared" si="9"/>
        <v>835.4982322634773</v>
      </c>
      <c r="AK143" s="64">
        <f t="shared" si="10"/>
        <v>253.7573623064133</v>
      </c>
      <c r="AL143" s="64"/>
      <c r="AM143" s="64"/>
      <c r="AN143" s="64"/>
      <c r="AO143" s="11"/>
      <c r="AP143" s="11"/>
      <c r="AQ143" s="11"/>
      <c r="AR143" s="11"/>
      <c r="AS143" s="21"/>
    </row>
    <row r="144" spans="1:45" ht="18" customHeight="1">
      <c r="A144" s="38"/>
      <c r="C144" s="27"/>
      <c r="D144" s="27"/>
      <c r="E144" s="24"/>
      <c r="G144" s="27"/>
      <c r="H144" s="28"/>
      <c r="AE144" s="64">
        <f t="shared" si="18"/>
        <v>258.4205916857513</v>
      </c>
      <c r="AF144" s="64">
        <f t="shared" si="11"/>
        <v>51</v>
      </c>
      <c r="AG144" s="64">
        <f t="shared" si="7"/>
        <v>0.890117918517108</v>
      </c>
      <c r="AH144" s="64">
        <f t="shared" si="12"/>
        <v>5.299149840623102</v>
      </c>
      <c r="AI144" s="64">
        <f t="shared" si="8"/>
        <v>9.850546603585542</v>
      </c>
      <c r="AJ144" s="64">
        <f t="shared" si="9"/>
        <v>812.282677979851</v>
      </c>
      <c r="AK144" s="64">
        <f t="shared" si="10"/>
        <v>258.4205916857513</v>
      </c>
      <c r="AL144" s="64"/>
      <c r="AM144" s="64"/>
      <c r="AN144" s="64"/>
      <c r="AO144" s="11"/>
      <c r="AP144" s="11"/>
      <c r="AQ144" s="11"/>
      <c r="AR144" s="11"/>
      <c r="AS144" s="21"/>
    </row>
    <row r="145" spans="1:45" ht="18" customHeight="1">
      <c r="A145" s="38"/>
      <c r="D145" s="125"/>
      <c r="E145" s="60"/>
      <c r="F145" s="64"/>
      <c r="AE145" s="64">
        <f aca="true" t="shared" si="19" ref="AE145:AE175">(AJ145/COS(θ)*SIN(AG145-φ+θ)-cu*AI145*COS(φ))/COS(AG145-φ-α-δ)</f>
        <v>262.44176918835296</v>
      </c>
      <c r="AF145" s="64">
        <f t="shared" si="11"/>
        <v>52</v>
      </c>
      <c r="AG145" s="64">
        <f t="shared" si="7"/>
        <v>0.9075712110370514</v>
      </c>
      <c r="AH145" s="64">
        <f t="shared" si="12"/>
        <v>5.0809856313552455</v>
      </c>
      <c r="AI145" s="64">
        <f t="shared" si="8"/>
        <v>9.714731018684516</v>
      </c>
      <c r="AJ145" s="64">
        <f t="shared" si="9"/>
        <v>789.7142723185053</v>
      </c>
      <c r="AK145" s="64">
        <f t="shared" si="10"/>
        <v>262.44176918835296</v>
      </c>
      <c r="AL145" s="64"/>
      <c r="AM145" s="64"/>
      <c r="AN145" s="64"/>
      <c r="AO145" s="11"/>
      <c r="AP145" s="11"/>
      <c r="AQ145" s="11"/>
      <c r="AR145" s="11"/>
      <c r="AS145" s="21"/>
    </row>
    <row r="146" spans="1:45" ht="18" customHeight="1">
      <c r="A146" s="38"/>
      <c r="D146" s="125"/>
      <c r="E146" s="60"/>
      <c r="F146" s="64"/>
      <c r="AE146" s="64">
        <f t="shared" si="19"/>
        <v>265.8578708328358</v>
      </c>
      <c r="AF146" s="64">
        <f t="shared" si="11"/>
        <v>53</v>
      </c>
      <c r="AG146" s="64">
        <f t="shared" si="7"/>
        <v>0.9250245035569946</v>
      </c>
      <c r="AH146" s="64">
        <f t="shared" si="12"/>
        <v>4.868691747557207</v>
      </c>
      <c r="AI146" s="64">
        <f t="shared" si="8"/>
        <v>9.58548976950306</v>
      </c>
      <c r="AJ146" s="64">
        <f>IF(Ho=0,γ/2/SIN(AG146)*(HA^2*COS(AG146-α)/COS(α)-zc^2*COS(AG146))+q*AH146,IF(AG146&gt;=ωo,γ/(2*SIN(AG146-β))*(COS(AG146-α)*COS(α-β)/(COS(α))^2*HA^2-COS(AG146)*COS(β)*zc^2),γ/2/COS(α)*(COS(AG146-α)/SIN(AG146)*TH^2-COS(α-β)/SIN(β)*Ho^2-COS(α)/TAN(AG146)*zc^2)+AH146*q))</f>
        <v>767.7531334815926</v>
      </c>
      <c r="AK146" s="64">
        <f t="shared" si="10"/>
        <v>265.8578708328358</v>
      </c>
      <c r="AL146" s="64"/>
      <c r="AM146" s="64"/>
      <c r="AN146" s="64"/>
      <c r="AO146" s="11"/>
      <c r="AP146" s="11"/>
      <c r="AQ146" s="11"/>
      <c r="AR146" s="11"/>
      <c r="AS146" s="21"/>
    </row>
    <row r="147" spans="1:45" ht="18" customHeight="1">
      <c r="A147" s="38"/>
      <c r="D147" s="125"/>
      <c r="E147" s="60"/>
      <c r="F147" s="64"/>
      <c r="AE147" s="64">
        <f t="shared" si="19"/>
        <v>268.7024206505227</v>
      </c>
      <c r="AF147" s="64">
        <f t="shared" si="11"/>
        <v>54</v>
      </c>
      <c r="AG147" s="64">
        <f t="shared" si="7"/>
        <v>0.9424777960769379</v>
      </c>
      <c r="AH147" s="64">
        <f t="shared" si="12"/>
        <v>4.661910104500327</v>
      </c>
      <c r="AI147" s="64">
        <f t="shared" si="8"/>
        <v>9.462486652749162</v>
      </c>
      <c r="AJ147" s="64">
        <f t="shared" si="9"/>
        <v>746.3622187229874</v>
      </c>
      <c r="AK147" s="64">
        <f t="shared" si="10"/>
        <v>268.7024206505227</v>
      </c>
      <c r="AL147" s="64"/>
      <c r="AM147" s="64"/>
      <c r="AN147" s="64"/>
      <c r="AO147" s="11"/>
      <c r="AP147" s="11"/>
      <c r="AQ147" s="11"/>
      <c r="AR147" s="11"/>
      <c r="AS147" s="21"/>
    </row>
    <row r="148" spans="1:45" ht="18" customHeight="1">
      <c r="A148" s="38"/>
      <c r="D148" s="125"/>
      <c r="E148" s="60"/>
      <c r="F148" s="64"/>
      <c r="AE148" s="64">
        <f t="shared" si="19"/>
        <v>271.00581607898073</v>
      </c>
      <c r="AF148" s="64">
        <f t="shared" si="11"/>
        <v>55</v>
      </c>
      <c r="AG148" s="64">
        <f t="shared" si="7"/>
        <v>0.9599310885968813</v>
      </c>
      <c r="AH148" s="64">
        <f t="shared" si="12"/>
        <v>4.460307527637456</v>
      </c>
      <c r="AI148" s="64">
        <f t="shared" si="8"/>
        <v>9.345410982603171</v>
      </c>
      <c r="AJ148" s="64">
        <f t="shared" si="9"/>
        <v>725.5070621769949</v>
      </c>
      <c r="AK148" s="64">
        <f t="shared" si="10"/>
        <v>271.00581607898073</v>
      </c>
      <c r="AL148" s="64"/>
      <c r="AM148" s="64"/>
      <c r="AN148" s="64"/>
      <c r="AO148" s="11"/>
      <c r="AP148" s="11"/>
      <c r="AQ148" s="11"/>
      <c r="AR148" s="11"/>
      <c r="AS148" s="21"/>
    </row>
    <row r="149" spans="1:45" ht="18" customHeight="1">
      <c r="A149" s="38"/>
      <c r="D149" s="125"/>
      <c r="E149" s="60"/>
      <c r="F149" s="64"/>
      <c r="AE149" s="64">
        <f t="shared" si="19"/>
        <v>272.79561550324155</v>
      </c>
      <c r="AF149" s="64">
        <f t="shared" si="11"/>
        <v>56</v>
      </c>
      <c r="AG149" s="64">
        <f t="shared" si="7"/>
        <v>0.9773843811168246</v>
      </c>
      <c r="AH149" s="64">
        <f t="shared" si="12"/>
        <v>4.263573487840947</v>
      </c>
      <c r="AI149" s="64">
        <f t="shared" si="8"/>
        <v>9.233975352319668</v>
      </c>
      <c r="AJ149" s="64">
        <f t="shared" si="9"/>
        <v>705.1555405757974</v>
      </c>
      <c r="AK149" s="64">
        <f t="shared" si="10"/>
        <v>272.79561550324155</v>
      </c>
      <c r="AL149" s="64"/>
      <c r="AM149" s="64"/>
      <c r="AN149" s="64"/>
      <c r="AO149" s="11"/>
      <c r="AP149" s="11"/>
      <c r="AQ149" s="11"/>
      <c r="AR149" s="11"/>
      <c r="AS149" s="21"/>
    </row>
    <row r="150" spans="1:45" ht="18" customHeight="1">
      <c r="A150" s="38"/>
      <c r="D150" s="125"/>
      <c r="E150" s="60"/>
      <c r="F150" s="64"/>
      <c r="AE150" s="64">
        <f t="shared" si="19"/>
        <v>274.09679270932014</v>
      </c>
      <c r="AF150" s="64">
        <f t="shared" si="11"/>
        <v>57</v>
      </c>
      <c r="AG150" s="64">
        <f t="shared" si="7"/>
        <v>0.9948376736367678</v>
      </c>
      <c r="AH150" s="64">
        <f t="shared" si="12"/>
        <v>4.07141807302135</v>
      </c>
      <c r="AI150" s="64">
        <f>IF(AG150&gt;=ωo,1/SIN(AG150-β)*(COS(α-β)*HA/COS(α)-COS(β)*zc),(TH-zc)/SIN(AG150))</f>
        <v>9.12791363344749</v>
      </c>
      <c r="AJ150" s="64">
        <f t="shared" si="9"/>
        <v>685.2776634197497</v>
      </c>
      <c r="AK150" s="64">
        <f t="shared" si="10"/>
        <v>274.09679270932014</v>
      </c>
      <c r="AL150" s="64"/>
      <c r="AM150" s="64"/>
      <c r="AN150" s="64"/>
      <c r="AO150" s="11"/>
      <c r="AP150" s="11"/>
      <c r="AQ150" s="11"/>
      <c r="AR150" s="11"/>
      <c r="AS150" s="21"/>
    </row>
    <row r="151" spans="1:45" ht="18" customHeight="1">
      <c r="A151" s="38"/>
      <c r="D151" s="125"/>
      <c r="E151" s="60"/>
      <c r="F151" s="64"/>
      <c r="AE151" s="64">
        <f t="shared" si="19"/>
        <v>274.9319623339354</v>
      </c>
      <c r="AF151" s="64">
        <f t="shared" si="11"/>
        <v>58</v>
      </c>
      <c r="AG151" s="64">
        <f t="shared" si="7"/>
        <v>1.0122909661567112</v>
      </c>
      <c r="AH151" s="64">
        <f t="shared" si="12"/>
        <v>3.8835701674870347</v>
      </c>
      <c r="AI151" s="64">
        <f t="shared" si="8"/>
        <v>9.026979184100579</v>
      </c>
      <c r="AJ151" s="64">
        <f t="shared" si="9"/>
        <v>665.8453846378185</v>
      </c>
      <c r="AK151" s="64">
        <f t="shared" si="10"/>
        <v>274.9319623339354</v>
      </c>
      <c r="AL151" s="64"/>
      <c r="AM151" s="64"/>
      <c r="AN151" s="64"/>
      <c r="AO151" s="11"/>
      <c r="AP151" s="11"/>
      <c r="AQ151" s="11"/>
      <c r="AR151" s="11"/>
      <c r="AS151" s="21"/>
    </row>
    <row r="152" spans="1:45" ht="18" customHeight="1">
      <c r="A152" s="38"/>
      <c r="D152" s="125"/>
      <c r="E152" s="60"/>
      <c r="F152" s="64"/>
      <c r="AE152" s="64">
        <f t="shared" si="19"/>
        <v>275.32157981901133</v>
      </c>
      <c r="AF152" s="64">
        <f t="shared" si="11"/>
        <v>59</v>
      </c>
      <c r="AG152" s="64">
        <f t="shared" si="7"/>
        <v>1.0297442586766543</v>
      </c>
      <c r="AH152" s="64">
        <f t="shared" si="12"/>
        <v>3.6997758142811037</v>
      </c>
      <c r="AI152" s="64">
        <f t="shared" si="8"/>
        <v>8.930943241593162</v>
      </c>
      <c r="AJ152" s="64">
        <f t="shared" si="9"/>
        <v>646.8324331764569</v>
      </c>
      <c r="AK152" s="64">
        <f t="shared" si="10"/>
        <v>275.32157981901133</v>
      </c>
      <c r="AL152" s="64"/>
      <c r="AM152" s="64"/>
      <c r="AN152" s="64"/>
      <c r="AO152" s="11"/>
      <c r="AP152" s="11"/>
      <c r="AQ152" s="11"/>
      <c r="AR152" s="11"/>
      <c r="AS152" s="21"/>
    </row>
    <row r="153" spans="1:45" ht="18" customHeight="1">
      <c r="A153" s="38"/>
      <c r="D153" s="125"/>
      <c r="E153" s="60"/>
      <c r="F153" s="64"/>
      <c r="AE153" s="64">
        <f t="shared" si="19"/>
        <v>275.2841188916882</v>
      </c>
      <c r="AF153" s="64">
        <f t="shared" si="11"/>
        <v>60</v>
      </c>
      <c r="AG153" s="64">
        <f t="shared" si="7"/>
        <v>1.0471975511965976</v>
      </c>
      <c r="AH153" s="64">
        <f t="shared" si="12"/>
        <v>3.5197967390259493</v>
      </c>
      <c r="AI153" s="64">
        <f t="shared" si="8"/>
        <v>8.839593478051897</v>
      </c>
      <c r="AJ153" s="64">
        <f t="shared" si="9"/>
        <v>628.2141602959355</v>
      </c>
      <c r="AK153" s="64">
        <f t="shared" si="10"/>
        <v>275.2841188916882</v>
      </c>
      <c r="AL153" s="64"/>
      <c r="AM153" s="64"/>
      <c r="AN153" s="64"/>
      <c r="AO153" s="11"/>
      <c r="AP153" s="11"/>
      <c r="AQ153" s="11"/>
      <c r="AR153" s="11"/>
      <c r="AS153" s="21"/>
    </row>
    <row r="154" spans="1:45" ht="18" customHeight="1">
      <c r="A154" s="38"/>
      <c r="C154" s="65" t="s">
        <v>192</v>
      </c>
      <c r="D154" s="64"/>
      <c r="E154" s="74" t="s">
        <v>344</v>
      </c>
      <c r="F154" s="81">
        <f>ωad</f>
        <v>59</v>
      </c>
      <c r="G154" s="134" t="s">
        <v>419</v>
      </c>
      <c r="AE154" s="64">
        <f t="shared" si="19"/>
        <v>274.8362291756483</v>
      </c>
      <c r="AF154" s="64">
        <f t="shared" si="11"/>
        <v>61</v>
      </c>
      <c r="AG154" s="64">
        <f t="shared" si="7"/>
        <v>1.064650843716541</v>
      </c>
      <c r="AH154" s="64">
        <f t="shared" si="12"/>
        <v>3.3434090166135437</v>
      </c>
      <c r="AI154" s="64">
        <f t="shared" si="8"/>
        <v>8.752732700430784</v>
      </c>
      <c r="AJ154" s="64">
        <f t="shared" si="9"/>
        <v>609.9674016436192</v>
      </c>
      <c r="AK154" s="64">
        <f t="shared" si="10"/>
        <v>274.8362291756483</v>
      </c>
      <c r="AL154" s="64"/>
      <c r="AM154" s="64"/>
      <c r="AN154" s="64"/>
      <c r="AO154" s="11"/>
      <c r="AP154" s="11"/>
      <c r="AQ154" s="11"/>
      <c r="AR154" s="11"/>
      <c r="AS154" s="21"/>
    </row>
    <row r="155" spans="3:45" ht="18" customHeight="1">
      <c r="C155" s="32" t="s">
        <v>193</v>
      </c>
      <c r="E155" s="31" t="s">
        <v>345</v>
      </c>
      <c r="F155" s="116">
        <f>PA</f>
        <v>275.32157981901133</v>
      </c>
      <c r="G155" s="22" t="s">
        <v>194</v>
      </c>
      <c r="AE155" s="64">
        <f t="shared" si="19"/>
        <v>273.99287618551915</v>
      </c>
      <c r="AF155" s="64">
        <f t="shared" si="11"/>
        <v>62</v>
      </c>
      <c r="AG155" s="64">
        <f t="shared" si="7"/>
        <v>1.0821041362364843</v>
      </c>
      <c r="AH155" s="64">
        <f t="shared" si="12"/>
        <v>3.1704018644787215</v>
      </c>
      <c r="AI155" s="64">
        <f t="shared" si="8"/>
        <v>8.670177678759822</v>
      </c>
      <c r="AJ155" s="64">
        <f t="shared" si="9"/>
        <v>592.070352421861</v>
      </c>
      <c r="AK155" s="64">
        <f t="shared" si="10"/>
        <v>273.99287618551915</v>
      </c>
      <c r="AL155" s="64"/>
      <c r="AM155" s="64"/>
      <c r="AN155" s="64"/>
      <c r="AO155" s="11"/>
      <c r="AP155" s="11"/>
      <c r="AQ155" s="11"/>
      <c r="AR155" s="11"/>
      <c r="AS155" s="21"/>
    </row>
    <row r="156" spans="1:45" ht="18" customHeight="1">
      <c r="A156" s="38"/>
      <c r="C156" s="32" t="s">
        <v>420</v>
      </c>
      <c r="E156" s="31" t="s">
        <v>421</v>
      </c>
      <c r="F156" s="171">
        <f>2*F155/γ/HA^2</f>
        <v>0.5618807751408395</v>
      </c>
      <c r="G156" s="22" t="s">
        <v>422</v>
      </c>
      <c r="AE156" s="64">
        <f t="shared" si="19"/>
        <v>272.7674656530995</v>
      </c>
      <c r="AF156" s="64">
        <f t="shared" si="11"/>
        <v>63</v>
      </c>
      <c r="AG156" s="64">
        <f t="shared" si="7"/>
        <v>1.0995574287564276</v>
      </c>
      <c r="AH156" s="64">
        <f t="shared" si="12"/>
        <v>3.000576548248837</v>
      </c>
      <c r="AI156" s="64">
        <f t="shared" si="8"/>
        <v>8.591758088520768</v>
      </c>
      <c r="AJ156" s="64">
        <f t="shared" si="9"/>
        <v>574.5024541808775</v>
      </c>
      <c r="AK156" s="64">
        <f t="shared" si="10"/>
        <v>272.7674656530995</v>
      </c>
      <c r="AL156" s="64"/>
      <c r="AM156" s="64"/>
      <c r="AN156" s="64"/>
      <c r="AO156" s="11"/>
      <c r="AP156" s="11"/>
      <c r="AQ156" s="11"/>
      <c r="AR156" s="11"/>
      <c r="AS156" s="21"/>
    </row>
    <row r="157" spans="1:45" ht="18" customHeight="1">
      <c r="A157" s="38"/>
      <c r="C157" s="32" t="s">
        <v>195</v>
      </c>
      <c r="E157" s="27"/>
      <c r="F157" s="81"/>
      <c r="G157" s="171">
        <f>F155*SIN(α+δ)</f>
        <v>154.75067989279393</v>
      </c>
      <c r="H157" s="22" t="s">
        <v>194</v>
      </c>
      <c r="AE157" s="64">
        <f t="shared" si="19"/>
        <v>271.171953873981</v>
      </c>
      <c r="AF157" s="64">
        <f t="shared" si="11"/>
        <v>64</v>
      </c>
      <c r="AG157" s="64">
        <f t="shared" si="7"/>
        <v>1.117010721276371</v>
      </c>
      <c r="AH157" s="64">
        <f t="shared" si="12"/>
        <v>2.833745387329273</v>
      </c>
      <c r="AI157" s="64">
        <f t="shared" si="8"/>
        <v>8.517315554816307</v>
      </c>
      <c r="AJ157" s="64">
        <f t="shared" si="9"/>
        <v>557.2442919496783</v>
      </c>
      <c r="AK157" s="64">
        <f t="shared" si="10"/>
        <v>271.171953873981</v>
      </c>
      <c r="AL157" s="64"/>
      <c r="AM157" s="64"/>
      <c r="AN157" s="64"/>
      <c r="AO157" s="11"/>
      <c r="AP157" s="11"/>
      <c r="AQ157" s="11"/>
      <c r="AR157" s="11"/>
      <c r="AS157" s="21"/>
    </row>
    <row r="158" spans="1:45" ht="18" customHeight="1">
      <c r="A158" s="38"/>
      <c r="C158" s="32" t="s">
        <v>53</v>
      </c>
      <c r="E158" s="27"/>
      <c r="F158" s="81"/>
      <c r="G158" s="171">
        <f>F155*COS(α+δ)</f>
        <v>227.71517162181848</v>
      </c>
      <c r="H158" s="22" t="s">
        <v>194</v>
      </c>
      <c r="AE158" s="64">
        <f t="shared" si="19"/>
        <v>269.21694553901773</v>
      </c>
      <c r="AF158" s="64">
        <f t="shared" si="11"/>
        <v>65</v>
      </c>
      <c r="AG158" s="64">
        <f t="shared" si="7"/>
        <v>1.1344640137963142</v>
      </c>
      <c r="AH158" s="64">
        <f t="shared" si="12"/>
        <v>2.6697308495051146</v>
      </c>
      <c r="AI158" s="64">
        <f t="shared" si="8"/>
        <v>8.446702787527316</v>
      </c>
      <c r="AJ158" s="64">
        <f t="shared" si="9"/>
        <v>540.2775005754387</v>
      </c>
      <c r="AK158" s="64">
        <f t="shared" si="10"/>
        <v>269.21694553901773</v>
      </c>
      <c r="AL158" s="64"/>
      <c r="AM158" s="64"/>
      <c r="AN158" s="64"/>
      <c r="AO158" s="11"/>
      <c r="AP158" s="11"/>
      <c r="AQ158" s="11"/>
      <c r="AR158" s="11"/>
      <c r="AS158" s="21"/>
    </row>
    <row r="159" spans="1:45" ht="18" customHeight="1">
      <c r="A159" s="38"/>
      <c r="C159" s="32" t="s">
        <v>54</v>
      </c>
      <c r="E159" s="59" t="s">
        <v>346</v>
      </c>
      <c r="F159" s="116">
        <f>D73-HA/3*nr</f>
        <v>4.3</v>
      </c>
      <c r="G159" s="22" t="s">
        <v>196</v>
      </c>
      <c r="AE159" s="64">
        <f t="shared" si="19"/>
        <v>266.91178032139095</v>
      </c>
      <c r="AF159" s="64">
        <f t="shared" si="11"/>
        <v>66</v>
      </c>
      <c r="AG159" s="64">
        <f t="shared" si="7"/>
        <v>1.1519173063162575</v>
      </c>
      <c r="AH159" s="64">
        <f t="shared" si="12"/>
        <v>2.5083647249520276</v>
      </c>
      <c r="AI159" s="64">
        <f t="shared" si="8"/>
        <v>8.379782797973379</v>
      </c>
      <c r="AJ159" s="64">
        <f t="shared" si="9"/>
        <v>523.5846792775054</v>
      </c>
      <c r="AK159" s="64">
        <f t="shared" si="10"/>
        <v>266.91178032139095</v>
      </c>
      <c r="AL159" s="64"/>
      <c r="AM159" s="64"/>
      <c r="AN159" s="64"/>
      <c r="AO159" s="11"/>
      <c r="AP159" s="11"/>
      <c r="AQ159" s="11"/>
      <c r="AR159" s="11"/>
      <c r="AS159" s="21"/>
    </row>
    <row r="160" spans="1:45" ht="18" customHeight="1">
      <c r="A160" s="38"/>
      <c r="C160" s="64"/>
      <c r="D160" s="64"/>
      <c r="E160" s="59" t="s">
        <v>347</v>
      </c>
      <c r="F160" s="173">
        <f>HA/3+E73</f>
        <v>5.333333333333334</v>
      </c>
      <c r="G160" s="64" t="s">
        <v>196</v>
      </c>
      <c r="AE160" s="64">
        <f t="shared" si="19"/>
        <v>264.2646093220069</v>
      </c>
      <c r="AF160" s="64">
        <f t="shared" si="11"/>
        <v>67</v>
      </c>
      <c r="AG160" s="64">
        <f t="shared" si="7"/>
        <v>1.1693705988362006</v>
      </c>
      <c r="AH160" s="64">
        <f t="shared" si="12"/>
        <v>2.3494873711848294</v>
      </c>
      <c r="AI160" s="64">
        <f t="shared" si="8"/>
        <v>8.31642818873601</v>
      </c>
      <c r="AJ160" s="64">
        <f>IF(Ho=0,γ/2/SIN(AG160)*(HA^2*COS(AG160-α)/COS(α)-zc^2*COS(AG160))+q*AH160,IF(AG160&gt;=ωo,γ/(2*SIN(AG160-β))*(COS(AG160-α)*COS(α-β)/(COS(α))^2*HA^2-COS(AG160)*COS(β)*zc^2),γ/2/COS(α)*(COS(AG160-α)/SIN(AG160)*TH^2-COS(α-β)/SIN(β)*Ho^2-COS(α)/TAN(AG160)*zc^2)+AH160*q))</f>
        <v>507.14931353968655</v>
      </c>
      <c r="AK160" s="64">
        <f t="shared" si="10"/>
        <v>264.2646093220069</v>
      </c>
      <c r="AL160" s="64"/>
      <c r="AM160" s="64"/>
      <c r="AN160" s="64"/>
      <c r="AO160" s="11"/>
      <c r="AP160" s="11"/>
      <c r="AQ160" s="11"/>
      <c r="AR160" s="11"/>
      <c r="AS160" s="21"/>
    </row>
    <row r="161" spans="1:45" ht="18" customHeight="1">
      <c r="A161" s="128" t="s">
        <v>449</v>
      </c>
      <c r="B161" s="64"/>
      <c r="C161" s="64"/>
      <c r="D161" s="64"/>
      <c r="E161" s="64"/>
      <c r="F161" s="64"/>
      <c r="G161" s="64"/>
      <c r="H161" s="64"/>
      <c r="AE161" s="64">
        <f t="shared" si="19"/>
        <v>261.28246232968104</v>
      </c>
      <c r="AF161" s="64">
        <f>MIN(89,AF160+1)</f>
        <v>68</v>
      </c>
      <c r="AG161" s="64">
        <f t="shared" si="7"/>
        <v>1.1868238913561442</v>
      </c>
      <c r="AH161" s="64">
        <f t="shared" si="12"/>
        <v>2.1929470214565443</v>
      </c>
      <c r="AI161" s="64">
        <f t="shared" si="8"/>
        <v>8.256520509297493</v>
      </c>
      <c r="AJ161" s="64">
        <f t="shared" si="9"/>
        <v>490.95570356629594</v>
      </c>
      <c r="AK161" s="64">
        <f t="shared" si="10"/>
        <v>261.28246232968104</v>
      </c>
      <c r="AL161" s="64"/>
      <c r="AM161" s="64"/>
      <c r="AN161" s="64"/>
      <c r="AO161" s="11"/>
      <c r="AP161" s="11"/>
      <c r="AQ161" s="11"/>
      <c r="AR161" s="11"/>
      <c r="AS161" s="21"/>
    </row>
    <row r="162" spans="1:45" ht="18" customHeight="1">
      <c r="A162" s="118"/>
      <c r="B162" s="221" t="s">
        <v>0</v>
      </c>
      <c r="C162" s="75" t="s">
        <v>55</v>
      </c>
      <c r="D162" s="75" t="s">
        <v>56</v>
      </c>
      <c r="E162" s="223" t="s">
        <v>348</v>
      </c>
      <c r="F162" s="224"/>
      <c r="G162" s="219" t="s">
        <v>349</v>
      </c>
      <c r="H162" s="220"/>
      <c r="AE162" s="64">
        <f t="shared" si="19"/>
        <v>257.9713067246872</v>
      </c>
      <c r="AF162" s="64">
        <f t="shared" si="11"/>
        <v>69</v>
      </c>
      <c r="AG162" s="64">
        <f t="shared" si="7"/>
        <v>1.2042771838760873</v>
      </c>
      <c r="AH162" s="64">
        <f t="shared" si="12"/>
        <v>2.0385991499756964</v>
      </c>
      <c r="AI162" s="64">
        <f t="shared" si="8"/>
        <v>8.199949671013298</v>
      </c>
      <c r="AJ162" s="64">
        <f t="shared" si="9"/>
        <v>474.98889861586434</v>
      </c>
      <c r="AK162" s="64">
        <f t="shared" si="10"/>
        <v>257.9713067246872</v>
      </c>
      <c r="AL162" s="64"/>
      <c r="AM162" s="64"/>
      <c r="AN162" s="64"/>
      <c r="AO162" s="11"/>
      <c r="AP162" s="11"/>
      <c r="AQ162" s="11"/>
      <c r="AR162" s="11"/>
      <c r="AS162" s="21"/>
    </row>
    <row r="163" spans="1:45" ht="18" customHeight="1">
      <c r="A163" s="118"/>
      <c r="B163" s="222"/>
      <c r="C163" s="76" t="s">
        <v>350</v>
      </c>
      <c r="D163" s="76" t="s">
        <v>351</v>
      </c>
      <c r="E163" s="76" t="s">
        <v>197</v>
      </c>
      <c r="F163" s="76" t="s">
        <v>198</v>
      </c>
      <c r="G163" s="76" t="s">
        <v>199</v>
      </c>
      <c r="H163" s="77" t="s">
        <v>200</v>
      </c>
      <c r="AE163" s="64">
        <f t="shared" si="19"/>
        <v>254.33609874196412</v>
      </c>
      <c r="AF163" s="64">
        <f t="shared" si="11"/>
        <v>70</v>
      </c>
      <c r="AG163" s="64">
        <f t="shared" si="7"/>
        <v>1.2217304763960306</v>
      </c>
      <c r="AH163" s="64">
        <f t="shared" si="12"/>
        <v>1.8863058880534034</v>
      </c>
      <c r="AI163" s="64">
        <f t="shared" si="8"/>
        <v>8.14661341569086</v>
      </c>
      <c r="AJ163" s="64">
        <f t="shared" si="9"/>
        <v>459.23463660338206</v>
      </c>
      <c r="AK163" s="64">
        <f t="shared" si="10"/>
        <v>254.33609874196412</v>
      </c>
      <c r="AL163" s="64"/>
      <c r="AM163" s="64"/>
      <c r="AN163" s="64"/>
      <c r="AO163" s="11"/>
      <c r="AP163" s="11"/>
      <c r="AQ163" s="11"/>
      <c r="AR163" s="11"/>
      <c r="AS163" s="21"/>
    </row>
    <row r="164" spans="1:45" ht="18" customHeight="1">
      <c r="A164" s="118"/>
      <c r="B164" s="30" t="s">
        <v>57</v>
      </c>
      <c r="C164" s="70">
        <f>G81</f>
        <v>573.85</v>
      </c>
      <c r="D164" s="70">
        <f>G82</f>
        <v>57.385000000000005</v>
      </c>
      <c r="E164" s="70">
        <f>F83</f>
        <v>2.548630594522378</v>
      </c>
      <c r="F164" s="70">
        <f>F84</f>
        <v>4.159652638610555</v>
      </c>
      <c r="G164" s="70">
        <f>C164*E164</f>
        <v>1462.5316666666668</v>
      </c>
      <c r="H164" s="71">
        <f>D164*F164</f>
        <v>238.7016666666667</v>
      </c>
      <c r="AE164" s="64">
        <f t="shared" si="19"/>
        <v>250.3808277111753</v>
      </c>
      <c r="AF164" s="64">
        <f t="shared" si="11"/>
        <v>71</v>
      </c>
      <c r="AG164" s="64">
        <f t="shared" si="7"/>
        <v>1.239183768915974</v>
      </c>
      <c r="AH164" s="64">
        <f t="shared" si="12"/>
        <v>1.7359354859405274</v>
      </c>
      <c r="AI164" s="64">
        <f t="shared" si="8"/>
        <v>8.096416832707773</v>
      </c>
      <c r="AJ164" s="64">
        <f t="shared" si="9"/>
        <v>443.6792884290331</v>
      </c>
      <c r="AK164" s="64">
        <f t="shared" si="10"/>
        <v>250.3808277111753</v>
      </c>
      <c r="AL164" s="64"/>
      <c r="AM164" s="64"/>
      <c r="AN164" s="64"/>
      <c r="AO164" s="11"/>
      <c r="AP164" s="11"/>
      <c r="AQ164" s="11"/>
      <c r="AR164" s="11"/>
      <c r="AS164" s="21"/>
    </row>
    <row r="165" spans="1:45" ht="18" customHeight="1">
      <c r="A165" s="118"/>
      <c r="B165" s="30" t="s">
        <v>58</v>
      </c>
      <c r="C165" s="70">
        <f>G157</f>
        <v>154.75067989279393</v>
      </c>
      <c r="D165" s="70">
        <f>G158</f>
        <v>227.71517162181848</v>
      </c>
      <c r="E165" s="70">
        <f>F159</f>
        <v>4.3</v>
      </c>
      <c r="F165" s="70">
        <f>F160</f>
        <v>5.333333333333334</v>
      </c>
      <c r="G165" s="70">
        <f>C165*E165</f>
        <v>665.4279235390138</v>
      </c>
      <c r="H165" s="71">
        <f>D165*F165</f>
        <v>1214.4809153163653</v>
      </c>
      <c r="AE165" s="64">
        <f t="shared" si="19"/>
        <v>246.1085538028922</v>
      </c>
      <c r="AF165" s="64">
        <f t="shared" si="11"/>
        <v>72</v>
      </c>
      <c r="AG165" s="64">
        <f t="shared" si="7"/>
        <v>1.2566370614359172</v>
      </c>
      <c r="AH165" s="64">
        <f t="shared" si="12"/>
        <v>1.5873618156811382</v>
      </c>
      <c r="AI165" s="64">
        <f>IF(AG165&gt;=ωo,1/SIN(AG165-β)*(COS(α-β)*HA/COS(α)-COS(β)*zc),(TH-zc)/SIN(AG165))</f>
        <v>8.049271920181464</v>
      </c>
      <c r="AJ165" s="64">
        <f t="shared" si="9"/>
        <v>428.30980654994045</v>
      </c>
      <c r="AK165" s="64">
        <f t="shared" si="10"/>
        <v>246.1085538028922</v>
      </c>
      <c r="AL165" s="64"/>
      <c r="AM165" s="64"/>
      <c r="AN165" s="64"/>
      <c r="AO165" s="11"/>
      <c r="AP165" s="11"/>
      <c r="AQ165" s="11"/>
      <c r="AR165" s="11"/>
      <c r="AS165" s="21"/>
    </row>
    <row r="166" spans="1:45" ht="18" customHeight="1">
      <c r="A166" s="118"/>
      <c r="B166" s="29" t="s">
        <v>59</v>
      </c>
      <c r="C166" s="39">
        <f>SUM(C164:C165)</f>
        <v>728.600679892794</v>
      </c>
      <c r="D166" s="39">
        <f>SUM(D164:D165)</f>
        <v>285.1001716218185</v>
      </c>
      <c r="E166" s="167" t="s">
        <v>434</v>
      </c>
      <c r="F166" s="167" t="s">
        <v>434</v>
      </c>
      <c r="G166" s="39">
        <f>SUM(G164:G165)</f>
        <v>2127.959590205681</v>
      </c>
      <c r="H166" s="79">
        <f>SUM(H164:H165)</f>
        <v>1453.182581983032</v>
      </c>
      <c r="AE166" s="64">
        <f t="shared" si="19"/>
        <v>241.52143973164922</v>
      </c>
      <c r="AF166" s="64">
        <f t="shared" si="11"/>
        <v>73</v>
      </c>
      <c r="AG166" s="64">
        <f t="shared" si="7"/>
        <v>1.2740903539558606</v>
      </c>
      <c r="AH166" s="64">
        <f>IF(AG166&gt;=ωo,0,(TH-zc)/TAN(AG166)+HA*TAN(α)-Ho*m)</f>
        <v>1.440463910803782</v>
      </c>
      <c r="AI166" s="64">
        <f t="shared" si="8"/>
        <v>8.005097186211305</v>
      </c>
      <c r="AJ166" s="64">
        <f t="shared" si="9"/>
        <v>413.113677362666</v>
      </c>
      <c r="AK166" s="64">
        <f t="shared" si="10"/>
        <v>241.52143973164922</v>
      </c>
      <c r="AL166" s="64"/>
      <c r="AM166" s="64"/>
      <c r="AN166" s="64"/>
      <c r="AO166" s="11"/>
      <c r="AP166" s="11"/>
      <c r="AQ166" s="11"/>
      <c r="AR166" s="11"/>
      <c r="AS166" s="21"/>
    </row>
    <row r="167" spans="1:45" ht="18" customHeight="1">
      <c r="A167" s="118"/>
      <c r="B167" s="23" t="s">
        <v>2</v>
      </c>
      <c r="C167" s="119" t="s">
        <v>352</v>
      </c>
      <c r="D167" s="116">
        <f>C166</f>
        <v>728.600679892794</v>
      </c>
      <c r="E167" s="22" t="s">
        <v>201</v>
      </c>
      <c r="AE167" s="64">
        <f t="shared" si="19"/>
        <v>236.6207767960106</v>
      </c>
      <c r="AF167" s="64">
        <f t="shared" si="11"/>
        <v>74</v>
      </c>
      <c r="AG167" s="64">
        <f t="shared" si="7"/>
        <v>1.2915436464758039</v>
      </c>
      <c r="AH167" s="64">
        <f>IF(AG167&gt;=ωo,0,(TH-zc)/TAN(AG167)+HA*TAN(α)-Ho*m)</f>
        <v>1.2951255391053857</v>
      </c>
      <c r="AI167" s="64">
        <f t="shared" si="8"/>
        <v>7.963817286662591</v>
      </c>
      <c r="AJ167" s="64">
        <f t="shared" si="9"/>
        <v>398.07887700904047</v>
      </c>
      <c r="AK167" s="64">
        <f t="shared" si="10"/>
        <v>236.6207767960106</v>
      </c>
      <c r="AL167" s="64"/>
      <c r="AM167" s="64"/>
      <c r="AN167" s="64"/>
      <c r="AO167" s="11"/>
      <c r="AP167" s="11"/>
      <c r="AQ167" s="11"/>
      <c r="AR167" s="11"/>
      <c r="AS167" s="21"/>
    </row>
    <row r="168" spans="1:45" ht="18" customHeight="1">
      <c r="A168" s="118"/>
      <c r="B168" s="23" t="s">
        <v>1</v>
      </c>
      <c r="C168" s="119" t="s">
        <v>353</v>
      </c>
      <c r="D168" s="116">
        <f>D166</f>
        <v>285.1001716218185</v>
      </c>
      <c r="E168" s="22" t="s">
        <v>201</v>
      </c>
      <c r="AD168" s="64"/>
      <c r="AE168" s="64">
        <f t="shared" si="19"/>
        <v>231.40700557177192</v>
      </c>
      <c r="AF168" s="64">
        <f t="shared" si="11"/>
        <v>75</v>
      </c>
      <c r="AG168" s="64">
        <f t="shared" si="7"/>
        <v>1.3089969389957472</v>
      </c>
      <c r="AH168" s="64">
        <f aca="true" t="shared" si="20" ref="AH168:AH175">IF(AG168&gt;=ωo,0,(TH-zc)/TAN(AG168)+HA*TAN(α)-Ho*m)</f>
        <v>1.1512348051625239</v>
      </c>
      <c r="AI168" s="64">
        <f t="shared" si="8"/>
        <v>7.925362696358025</v>
      </c>
      <c r="AJ168" s="64">
        <f t="shared" si="9"/>
        <v>383.1938302571956</v>
      </c>
      <c r="AK168" s="64">
        <f t="shared" si="10"/>
        <v>231.40700557177192</v>
      </c>
      <c r="AL168" s="64"/>
      <c r="AM168" s="64"/>
      <c r="AN168" s="64"/>
      <c r="AO168" s="11"/>
      <c r="AP168" s="11"/>
      <c r="AQ168" s="11"/>
      <c r="AR168" s="11"/>
      <c r="AS168" s="21"/>
    </row>
    <row r="169" spans="2:45" ht="18" customHeight="1">
      <c r="B169" s="23" t="s">
        <v>60</v>
      </c>
      <c r="C169" s="119" t="s">
        <v>354</v>
      </c>
      <c r="D169" s="116">
        <f>G166-H166</f>
        <v>674.7770082226489</v>
      </c>
      <c r="E169" s="22" t="s">
        <v>202</v>
      </c>
      <c r="AD169" s="64"/>
      <c r="AE169" s="64">
        <f t="shared" si="19"/>
        <v>225.87973151585976</v>
      </c>
      <c r="AF169" s="64">
        <f t="shared" si="11"/>
        <v>76</v>
      </c>
      <c r="AG169" s="64">
        <f t="shared" si="7"/>
        <v>1.3264502315156903</v>
      </c>
      <c r="AH169" s="64">
        <f t="shared" si="20"/>
        <v>1.0086837795380115</v>
      </c>
      <c r="AI169" s="64">
        <f t="shared" si="8"/>
        <v>7.889669410893255</v>
      </c>
      <c r="AJ169" s="64">
        <f t="shared" si="9"/>
        <v>368.44737214414687</v>
      </c>
      <c r="AK169" s="64">
        <f t="shared" si="10"/>
        <v>225.87973151585976</v>
      </c>
      <c r="AL169" s="64"/>
      <c r="AM169" s="64"/>
      <c r="AN169" s="64"/>
      <c r="AO169" s="11"/>
      <c r="AP169" s="11"/>
      <c r="AQ169" s="11"/>
      <c r="AR169" s="11"/>
      <c r="AS169" s="21"/>
    </row>
    <row r="170" spans="18:45" ht="18" customHeight="1">
      <c r="R170" s="82"/>
      <c r="AD170" s="127"/>
      <c r="AE170" s="64">
        <f t="shared" si="19"/>
        <v>220.037735684353</v>
      </c>
      <c r="AF170" s="64">
        <f t="shared" si="11"/>
        <v>77</v>
      </c>
      <c r="AG170" s="64">
        <f t="shared" si="7"/>
        <v>1.3439035240356338</v>
      </c>
      <c r="AH170" s="64">
        <f t="shared" si="20"/>
        <v>0.8673681519432082</v>
      </c>
      <c r="AI170" s="64">
        <f t="shared" si="8"/>
        <v>7.856678676604789</v>
      </c>
      <c r="AJ170" s="64">
        <f t="shared" si="9"/>
        <v>353.8287120965154</v>
      </c>
      <c r="AK170" s="64">
        <f t="shared" si="10"/>
        <v>220.037735684353</v>
      </c>
      <c r="AL170" s="64"/>
      <c r="AM170" s="64"/>
      <c r="AN170" s="64"/>
      <c r="AO170" s="11"/>
      <c r="AP170" s="11"/>
      <c r="AQ170" s="11"/>
      <c r="AR170" s="11"/>
      <c r="AS170" s="21"/>
    </row>
    <row r="171" spans="2:45" ht="18" customHeight="1">
      <c r="B171" s="23" t="s">
        <v>203</v>
      </c>
      <c r="C171" s="31"/>
      <c r="D171" s="26"/>
      <c r="E171" s="171">
        <f>(G166-H166)/C166</f>
        <v>0.926127338121528</v>
      </c>
      <c r="F171" s="22" t="s">
        <v>204</v>
      </c>
      <c r="R171" s="82"/>
      <c r="S171" s="82"/>
      <c r="T171" s="82"/>
      <c r="U171" s="82"/>
      <c r="V171" s="82"/>
      <c r="W171" s="82"/>
      <c r="X171" s="82"/>
      <c r="Y171" s="82"/>
      <c r="AD171" s="67"/>
      <c r="AE171" s="64">
        <f t="shared" si="19"/>
        <v>213.8789807174567</v>
      </c>
      <c r="AF171" s="64">
        <f t="shared" si="11"/>
        <v>78</v>
      </c>
      <c r="AG171" s="64">
        <f t="shared" si="7"/>
        <v>1.361356816555577</v>
      </c>
      <c r="AH171" s="64">
        <f t="shared" si="20"/>
        <v>0.7271869058732108</v>
      </c>
      <c r="AI171" s="64">
        <f t="shared" si="8"/>
        <v>7.8263367464963105</v>
      </c>
      <c r="AJ171" s="64">
        <f t="shared" si="9"/>
        <v>339.3274002725564</v>
      </c>
      <c r="AK171" s="64">
        <f t="shared" si="10"/>
        <v>213.8789807174567</v>
      </c>
      <c r="AL171" s="64"/>
      <c r="AM171" s="64"/>
      <c r="AN171" s="64"/>
      <c r="AO171" s="11"/>
      <c r="AP171" s="11"/>
      <c r="AQ171" s="11"/>
      <c r="AR171" s="11"/>
      <c r="AS171" s="21"/>
    </row>
    <row r="172" spans="1:45" ht="18" customHeight="1">
      <c r="A172" s="131"/>
      <c r="D172" s="28"/>
      <c r="E172" s="81"/>
      <c r="F172" s="81"/>
      <c r="G172" s="27"/>
      <c r="R172" s="82"/>
      <c r="S172" s="82"/>
      <c r="T172" s="82"/>
      <c r="U172" s="82"/>
      <c r="V172" s="82"/>
      <c r="W172" s="82"/>
      <c r="X172" s="82"/>
      <c r="Y172" s="82"/>
      <c r="Z172" s="82"/>
      <c r="AD172" s="40"/>
      <c r="AE172" s="64">
        <f t="shared" si="19"/>
        <v>207.40061219634677</v>
      </c>
      <c r="AF172" s="64">
        <f t="shared" si="11"/>
        <v>79</v>
      </c>
      <c r="AG172" s="64">
        <f t="shared" si="7"/>
        <v>1.3788101090755203</v>
      </c>
      <c r="AH172" s="64">
        <f t="shared" si="20"/>
        <v>0.588042012457386</v>
      </c>
      <c r="AI172" s="64">
        <f t="shared" si="8"/>
        <v>7.798594660177655</v>
      </c>
      <c r="AJ172" s="64">
        <f t="shared" si="9"/>
        <v>324.93329589195463</v>
      </c>
      <c r="AK172" s="64">
        <f t="shared" si="10"/>
        <v>207.40061219634677</v>
      </c>
      <c r="AL172" s="64"/>
      <c r="AM172" s="64"/>
      <c r="AN172" s="64"/>
      <c r="AO172" s="11"/>
      <c r="AP172" s="11"/>
      <c r="AQ172" s="11"/>
      <c r="AR172" s="11"/>
      <c r="AS172" s="21"/>
    </row>
    <row r="173" spans="1:45" ht="18" customHeight="1">
      <c r="A173" s="131"/>
      <c r="B173" s="23" t="s">
        <v>205</v>
      </c>
      <c r="C173" s="31"/>
      <c r="D173" s="28"/>
      <c r="E173" s="171">
        <f>B/2-d</f>
        <v>1.4738726618784719</v>
      </c>
      <c r="F173" s="82" t="s">
        <v>206</v>
      </c>
      <c r="G173" s="31"/>
      <c r="H173" s="28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D173" s="40"/>
      <c r="AE173" s="64">
        <f t="shared" si="19"/>
        <v>200.59895543084647</v>
      </c>
      <c r="AF173" s="64">
        <f t="shared" si="11"/>
        <v>80</v>
      </c>
      <c r="AG173" s="64">
        <f t="shared" si="7"/>
        <v>1.3962634015954636</v>
      </c>
      <c r="AH173" s="64">
        <f t="shared" si="20"/>
        <v>0.4498381414655599</v>
      </c>
      <c r="AI173" s="64">
        <f t="shared" si="8"/>
        <v>7.773408046093323</v>
      </c>
      <c r="AJ173" s="64">
        <f>IF(Ho=0,γ/2/SIN(AG173)*(HA^2*COS(AG173-α)/COS(α)-zc^2*COS(AG173))+q*AH173,IF(AG173&gt;=ωo,γ/(2*SIN(AG173-β))*(COS(AG173-α)*COS(α-β)/(COS(α))^2*HA^2-COS(AG173)*COS(β)*zc^2),γ/2/COS(α)*(COS(AG173-α)/SIN(AG173)*TH^2-COS(α-β)/SIN(β)*Ho^2-COS(α)/TAN(AG173)*zc^2)+AH173*q))</f>
        <v>310.63653734031544</v>
      </c>
      <c r="AK173" s="64">
        <f t="shared" si="10"/>
        <v>200.59895543084647</v>
      </c>
      <c r="AL173" s="64"/>
      <c r="AM173" s="64"/>
      <c r="AN173" s="64"/>
      <c r="AO173" s="11"/>
      <c r="AP173" s="11"/>
      <c r="AQ173" s="11"/>
      <c r="AR173" s="11"/>
      <c r="AS173" s="21"/>
    </row>
    <row r="174" spans="1:45" ht="18" customHeight="1">
      <c r="A174" s="131"/>
      <c r="C174" s="31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C174" s="64"/>
      <c r="AD174" s="40"/>
      <c r="AE174" s="64">
        <f t="shared" si="19"/>
        <v>193.46950769216167</v>
      </c>
      <c r="AF174" s="64">
        <f t="shared" si="11"/>
        <v>81</v>
      </c>
      <c r="AG174" s="64">
        <f t="shared" si="7"/>
        <v>1.413716694115407</v>
      </c>
      <c r="AH174" s="64">
        <f t="shared" si="20"/>
        <v>0.31248238758319147</v>
      </c>
      <c r="AI174" s="64">
        <f t="shared" si="8"/>
        <v>7.75073694451777</v>
      </c>
      <c r="AJ174" s="64">
        <f t="shared" si="9"/>
        <v>296.4275138531897</v>
      </c>
      <c r="AK174" s="64">
        <f t="shared" si="10"/>
        <v>193.46950769216167</v>
      </c>
      <c r="AL174" s="64"/>
      <c r="AM174" s="64"/>
      <c r="AN174" s="64"/>
      <c r="AO174" s="11"/>
      <c r="AP174" s="11"/>
      <c r="AQ174" s="11"/>
      <c r="AR174" s="11"/>
      <c r="AS174" s="21"/>
    </row>
    <row r="175" spans="1:45" ht="18" customHeight="1">
      <c r="A175" s="38"/>
      <c r="D175" s="125"/>
      <c r="E175" s="60"/>
      <c r="F175" s="64"/>
      <c r="S175" s="82"/>
      <c r="T175" s="82"/>
      <c r="U175" s="82"/>
      <c r="V175" s="82"/>
      <c r="W175" s="82"/>
      <c r="X175" s="82"/>
      <c r="Y175" s="82"/>
      <c r="Z175" s="82"/>
      <c r="AA175" s="82"/>
      <c r="AC175" s="64"/>
      <c r="AE175" s="64">
        <f t="shared" si="19"/>
        <v>186.00692586070753</v>
      </c>
      <c r="AF175" s="64">
        <f t="shared" si="11"/>
        <v>82</v>
      </c>
      <c r="AG175" s="64">
        <f t="shared" si="7"/>
        <v>1.43116998663535</v>
      </c>
      <c r="AH175" s="64">
        <f t="shared" si="20"/>
        <v>0.17588401022049283</v>
      </c>
      <c r="AI175" s="64">
        <f t="shared" si="8"/>
        <v>7.730545649975903</v>
      </c>
      <c r="AJ175" s="64">
        <f t="shared" si="9"/>
        <v>282.2968386001378</v>
      </c>
      <c r="AK175" s="64">
        <f>AE175</f>
        <v>186.00692586070753</v>
      </c>
      <c r="AL175" s="64"/>
      <c r="AM175" s="64"/>
      <c r="AN175" s="64"/>
      <c r="AO175" s="11"/>
      <c r="AP175" s="11"/>
      <c r="AQ175" s="11"/>
      <c r="AR175" s="11"/>
      <c r="AS175" s="21"/>
    </row>
    <row r="176" spans="1:45" ht="18" customHeight="1">
      <c r="A176" s="38"/>
      <c r="D176" s="125"/>
      <c r="E176" s="60"/>
      <c r="F176" s="64"/>
      <c r="Z176" s="82"/>
      <c r="AA176" s="82"/>
      <c r="AB176" s="64"/>
      <c r="AC176" s="64"/>
      <c r="AE176" s="66" t="s">
        <v>342</v>
      </c>
      <c r="AF176" s="65" t="s">
        <v>338</v>
      </c>
      <c r="AG176" s="65" t="s">
        <v>343</v>
      </c>
      <c r="AH176" s="66" t="s">
        <v>339</v>
      </c>
      <c r="AI176" s="66" t="s">
        <v>340</v>
      </c>
      <c r="AJ176" s="66" t="s">
        <v>341</v>
      </c>
      <c r="AK176" s="64"/>
      <c r="AL176" s="64"/>
      <c r="AM176" s="64"/>
      <c r="AN176" s="64"/>
      <c r="AO176" s="11"/>
      <c r="AP176" s="11"/>
      <c r="AQ176" s="11"/>
      <c r="AR176" s="11"/>
      <c r="AS176" s="21"/>
    </row>
    <row r="177" spans="1:45" ht="18" customHeight="1">
      <c r="A177" s="38"/>
      <c r="D177" s="125"/>
      <c r="E177" s="60"/>
      <c r="F177" s="64"/>
      <c r="AA177" s="82"/>
      <c r="AB177" s="64"/>
      <c r="AC177" s="64"/>
      <c r="AE177" s="64">
        <f>MAX(AE123:AE175)</f>
        <v>275.32157981901133</v>
      </c>
      <c r="AF177" s="69">
        <f>VLOOKUP($AE$177,$AE$123:$AK$175,2,FALSE)</f>
        <v>59</v>
      </c>
      <c r="AG177" s="69">
        <f>VLOOKUP($AE$177,$AE$123:$AK$175,3,FALSE)</f>
        <v>1.0297442586766543</v>
      </c>
      <c r="AH177" s="69">
        <f>VLOOKUP($AE$177,$AE$123:$AK$175,4,FALSE)</f>
        <v>3.6997758142811037</v>
      </c>
      <c r="AI177" s="69">
        <f>VLOOKUP($AE$177,$AE$123:$AK$175,5,FALSE)</f>
        <v>8.930943241593162</v>
      </c>
      <c r="AJ177" s="69">
        <f>VLOOKUP($AE$177,$AE$123:$AK$175,6,FALSE)</f>
        <v>646.8324331764569</v>
      </c>
      <c r="AK177" s="64"/>
      <c r="AL177" s="64"/>
      <c r="AM177" s="64"/>
      <c r="AN177" s="64"/>
      <c r="AO177" s="11"/>
      <c r="AP177" s="11"/>
      <c r="AQ177" s="11"/>
      <c r="AR177" s="11"/>
      <c r="AS177" s="21"/>
    </row>
    <row r="178" spans="1:45" ht="18" customHeight="1">
      <c r="A178" s="38"/>
      <c r="D178" s="125"/>
      <c r="E178" s="60"/>
      <c r="F178" s="64"/>
      <c r="AC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11"/>
      <c r="AP178" s="11"/>
      <c r="AQ178" s="11"/>
      <c r="AR178" s="11"/>
      <c r="AS178" s="21"/>
    </row>
    <row r="179" spans="1:45" ht="18" customHeight="1">
      <c r="A179" s="38"/>
      <c r="D179" s="125"/>
      <c r="E179" s="60"/>
      <c r="F179" s="64"/>
      <c r="AC179" s="64"/>
      <c r="AL179" s="11"/>
      <c r="AM179" s="11"/>
      <c r="AN179" s="11"/>
      <c r="AO179" s="11"/>
      <c r="AP179" s="11"/>
      <c r="AQ179" s="11"/>
      <c r="AR179" s="11"/>
      <c r="AS179" s="21"/>
    </row>
    <row r="180" spans="1:45" ht="18" customHeight="1">
      <c r="A180" s="38"/>
      <c r="D180" s="125"/>
      <c r="E180" s="60"/>
      <c r="F180" s="64"/>
      <c r="AC180" s="127"/>
      <c r="AL180" s="11"/>
      <c r="AM180" s="11"/>
      <c r="AN180" s="11"/>
      <c r="AO180" s="11"/>
      <c r="AP180" s="11"/>
      <c r="AQ180" s="11"/>
      <c r="AR180" s="11"/>
      <c r="AS180" s="21"/>
    </row>
    <row r="181" spans="1:45" ht="18" customHeight="1">
      <c r="A181" s="38"/>
      <c r="D181" s="125"/>
      <c r="E181" s="60"/>
      <c r="F181" s="64"/>
      <c r="AC181" s="67"/>
      <c r="AL181" s="11"/>
      <c r="AM181" s="11"/>
      <c r="AN181" s="11"/>
      <c r="AO181" s="11"/>
      <c r="AP181" s="11"/>
      <c r="AQ181" s="11"/>
      <c r="AR181" s="11"/>
      <c r="AS181" s="21"/>
    </row>
    <row r="182" spans="1:45" ht="18" customHeight="1">
      <c r="A182" s="38"/>
      <c r="D182" s="125"/>
      <c r="E182" s="60"/>
      <c r="F182" s="64"/>
      <c r="AC182" s="40"/>
      <c r="AD182" s="28"/>
      <c r="AL182" s="11"/>
      <c r="AM182" s="11"/>
      <c r="AN182" s="11"/>
      <c r="AO182" s="11"/>
      <c r="AP182" s="11"/>
      <c r="AQ182" s="11"/>
      <c r="AR182" s="11"/>
      <c r="AS182" s="21"/>
    </row>
    <row r="183" spans="1:45" ht="18" customHeight="1">
      <c r="A183" s="38"/>
      <c r="D183" s="125"/>
      <c r="E183" s="60"/>
      <c r="F183" s="64"/>
      <c r="AC183" s="40"/>
      <c r="AL183" s="11"/>
      <c r="AM183" s="11"/>
      <c r="AN183" s="11"/>
      <c r="AO183" s="11"/>
      <c r="AP183" s="11"/>
      <c r="AQ183" s="11"/>
      <c r="AR183" s="11"/>
      <c r="AS183" s="21"/>
    </row>
    <row r="184" spans="1:45" ht="18" customHeight="1">
      <c r="A184" s="38"/>
      <c r="D184" s="125"/>
      <c r="E184" s="60"/>
      <c r="F184" s="64"/>
      <c r="AC184" s="40"/>
      <c r="AD184" s="64"/>
      <c r="AL184" s="11"/>
      <c r="AM184" s="11"/>
      <c r="AN184" s="11"/>
      <c r="AO184" s="11"/>
      <c r="AP184" s="11"/>
      <c r="AQ184" s="11"/>
      <c r="AR184" s="11"/>
      <c r="AS184" s="21"/>
    </row>
    <row r="185" spans="1:45" ht="18" customHeight="1">
      <c r="A185" s="38"/>
      <c r="D185" s="125"/>
      <c r="E185" s="60"/>
      <c r="F185" s="64"/>
      <c r="AD185" s="33"/>
      <c r="AL185" s="11"/>
      <c r="AM185" s="11"/>
      <c r="AN185" s="11"/>
      <c r="AO185" s="11"/>
      <c r="AP185" s="11"/>
      <c r="AQ185" s="11"/>
      <c r="AR185" s="11"/>
      <c r="AS185" s="21"/>
    </row>
    <row r="186" spans="1:45" ht="18" customHeight="1">
      <c r="A186" s="38"/>
      <c r="D186" s="125"/>
      <c r="E186" s="60"/>
      <c r="F186" s="64"/>
      <c r="AD186" s="21"/>
      <c r="AL186" s="11"/>
      <c r="AM186" s="11"/>
      <c r="AN186" s="11"/>
      <c r="AO186" s="11"/>
      <c r="AP186" s="11"/>
      <c r="AQ186" s="11"/>
      <c r="AR186" s="11"/>
      <c r="AS186" s="21"/>
    </row>
    <row r="187" spans="1:45" ht="18" customHeight="1">
      <c r="A187" s="38"/>
      <c r="D187" s="125"/>
      <c r="E187" s="60"/>
      <c r="F187" s="64"/>
      <c r="AD187" s="21"/>
      <c r="AL187" s="11"/>
      <c r="AM187" s="11"/>
      <c r="AN187" s="11"/>
      <c r="AO187" s="11"/>
      <c r="AP187" s="11"/>
      <c r="AQ187" s="11"/>
      <c r="AR187" s="11"/>
      <c r="AS187" s="21"/>
    </row>
    <row r="188" spans="1:45" ht="18" customHeight="1">
      <c r="A188" s="38"/>
      <c r="D188" s="125"/>
      <c r="E188" s="60"/>
      <c r="F188" s="64"/>
      <c r="AD188" s="21"/>
      <c r="AL188" s="11"/>
      <c r="AM188" s="11"/>
      <c r="AN188" s="11"/>
      <c r="AO188" s="11"/>
      <c r="AP188" s="11"/>
      <c r="AQ188" s="11"/>
      <c r="AR188" s="11"/>
      <c r="AS188" s="21"/>
    </row>
    <row r="189" spans="1:45" ht="18" customHeight="1">
      <c r="A189" s="38"/>
      <c r="D189" s="62" t="s">
        <v>207</v>
      </c>
      <c r="E189" s="60"/>
      <c r="F189" s="64"/>
      <c r="AD189" s="21"/>
      <c r="AL189" s="11"/>
      <c r="AM189" s="11"/>
      <c r="AN189" s="11"/>
      <c r="AO189" s="11"/>
      <c r="AP189" s="11"/>
      <c r="AQ189" s="11"/>
      <c r="AR189" s="11"/>
      <c r="AS189" s="21"/>
    </row>
    <row r="190" spans="1:45" ht="18" customHeight="1">
      <c r="A190" s="38"/>
      <c r="D190" s="125"/>
      <c r="E190" s="60"/>
      <c r="F190" s="64"/>
      <c r="AL190" s="11"/>
      <c r="AM190" s="11"/>
      <c r="AN190" s="11"/>
      <c r="AO190" s="11"/>
      <c r="AP190" s="11"/>
      <c r="AQ190" s="11"/>
      <c r="AR190" s="11"/>
      <c r="AS190" s="21"/>
    </row>
    <row r="191" spans="1:45" ht="18" customHeight="1">
      <c r="A191" s="128" t="s">
        <v>450</v>
      </c>
      <c r="B191" s="11"/>
      <c r="C191" s="12"/>
      <c r="D191" s="13"/>
      <c r="E191" s="14"/>
      <c r="F191" s="15"/>
      <c r="AL191" s="11"/>
      <c r="AM191" s="11"/>
      <c r="AN191" s="11"/>
      <c r="AO191" s="11"/>
      <c r="AP191" s="11"/>
      <c r="AQ191" s="11"/>
      <c r="AR191" s="11"/>
      <c r="AS191" s="21"/>
    </row>
    <row r="192" spans="1:45" ht="18" customHeight="1">
      <c r="A192" s="128" t="s">
        <v>451</v>
      </c>
      <c r="B192" s="11"/>
      <c r="C192" s="12"/>
      <c r="D192" s="13"/>
      <c r="E192" s="27"/>
      <c r="I192" s="27"/>
      <c r="J192" s="27"/>
      <c r="K192" s="27"/>
      <c r="L192" s="27"/>
      <c r="M192" s="27"/>
      <c r="N192" s="27"/>
      <c r="O192" s="27"/>
      <c r="P192" s="27"/>
      <c r="Q192" s="27"/>
      <c r="AC192" s="28"/>
      <c r="AL192" s="11"/>
      <c r="AM192" s="11"/>
      <c r="AN192" s="11"/>
      <c r="AO192" s="11"/>
      <c r="AP192" s="11"/>
      <c r="AQ192" s="11"/>
      <c r="AR192" s="11"/>
      <c r="AS192" s="21"/>
    </row>
    <row r="193" spans="2:45" ht="18" customHeight="1">
      <c r="B193" s="2" t="s">
        <v>355</v>
      </c>
      <c r="C193" s="12"/>
      <c r="D193" s="13"/>
      <c r="E193" s="27"/>
      <c r="I193" s="27"/>
      <c r="J193" s="27"/>
      <c r="K193" s="27"/>
      <c r="L193" s="27"/>
      <c r="M193" s="27"/>
      <c r="N193" s="27"/>
      <c r="O193" s="27"/>
      <c r="P193" s="27"/>
      <c r="Q193" s="27"/>
      <c r="AD193" s="64"/>
      <c r="AL193" s="11"/>
      <c r="AM193" s="11"/>
      <c r="AN193" s="11"/>
      <c r="AO193" s="11"/>
      <c r="AP193" s="11"/>
      <c r="AQ193" s="11"/>
      <c r="AR193" s="11"/>
      <c r="AS193" s="21"/>
    </row>
    <row r="194" spans="2:45" ht="18" customHeight="1">
      <c r="B194" s="11"/>
      <c r="C194" s="12"/>
      <c r="D194" s="13"/>
      <c r="E194" s="27"/>
      <c r="I194" s="27"/>
      <c r="J194" s="27"/>
      <c r="K194" s="27"/>
      <c r="L194" s="27"/>
      <c r="M194" s="27"/>
      <c r="N194" s="27"/>
      <c r="O194" s="27"/>
      <c r="P194" s="27"/>
      <c r="Q194" s="27"/>
      <c r="AL194" s="11"/>
      <c r="AM194" s="11"/>
      <c r="AN194" s="11"/>
      <c r="AO194" s="11"/>
      <c r="AP194" s="11"/>
      <c r="AQ194" s="11"/>
      <c r="AR194" s="11"/>
      <c r="AS194" s="21"/>
    </row>
    <row r="195" spans="2:45" ht="18" customHeight="1">
      <c r="B195" s="11"/>
      <c r="C195" s="12"/>
      <c r="D195" s="13"/>
      <c r="E195" s="27"/>
      <c r="I195" s="27"/>
      <c r="J195" s="27"/>
      <c r="K195" s="27"/>
      <c r="L195" s="27"/>
      <c r="M195" s="27"/>
      <c r="N195" s="27"/>
      <c r="O195" s="27"/>
      <c r="P195" s="27"/>
      <c r="Q195" s="27"/>
      <c r="AL195" s="11"/>
      <c r="AM195" s="11"/>
      <c r="AN195" s="11"/>
      <c r="AO195" s="11"/>
      <c r="AP195" s="11"/>
      <c r="AQ195" s="11"/>
      <c r="AR195" s="11"/>
      <c r="AS195" s="21"/>
    </row>
    <row r="196" spans="2:45" ht="18" customHeight="1">
      <c r="B196" s="11"/>
      <c r="C196" s="12"/>
      <c r="D196" s="13"/>
      <c r="E196" s="27"/>
      <c r="I196" s="27"/>
      <c r="J196" s="27"/>
      <c r="K196" s="27"/>
      <c r="L196" s="27"/>
      <c r="M196" s="27"/>
      <c r="N196" s="27"/>
      <c r="O196" s="27"/>
      <c r="P196" s="27"/>
      <c r="Q196" s="27"/>
      <c r="AL196" s="11"/>
      <c r="AM196" s="11"/>
      <c r="AN196" s="11"/>
      <c r="AO196" s="11"/>
      <c r="AP196" s="11"/>
      <c r="AQ196" s="11"/>
      <c r="AR196" s="11"/>
      <c r="AS196" s="21"/>
    </row>
    <row r="197" spans="2:45" ht="18" customHeight="1">
      <c r="B197" s="11"/>
      <c r="C197" s="12"/>
      <c r="D197" s="13"/>
      <c r="E197" s="27"/>
      <c r="I197" s="27"/>
      <c r="J197" s="27"/>
      <c r="K197" s="27"/>
      <c r="L197" s="27"/>
      <c r="M197" s="27"/>
      <c r="N197" s="27"/>
      <c r="O197" s="27"/>
      <c r="P197" s="27"/>
      <c r="Q197" s="27"/>
      <c r="AL197" s="11"/>
      <c r="AM197" s="11"/>
      <c r="AN197" s="11"/>
      <c r="AO197" s="11"/>
      <c r="AP197" s="11"/>
      <c r="AQ197" s="11"/>
      <c r="AR197" s="11"/>
      <c r="AS197" s="21"/>
    </row>
    <row r="198" spans="2:45" ht="18" customHeight="1">
      <c r="B198" s="11"/>
      <c r="C198" s="12"/>
      <c r="D198" s="13"/>
      <c r="E198" s="27"/>
      <c r="I198" s="27"/>
      <c r="J198" s="27"/>
      <c r="K198" s="27"/>
      <c r="L198" s="27"/>
      <c r="M198" s="27"/>
      <c r="N198" s="27"/>
      <c r="O198" s="27"/>
      <c r="P198" s="27"/>
      <c r="Q198" s="27"/>
      <c r="AL198" s="11"/>
      <c r="AM198" s="11"/>
      <c r="AN198" s="11"/>
      <c r="AO198" s="11"/>
      <c r="AP198" s="11"/>
      <c r="AQ198" s="11"/>
      <c r="AR198" s="11"/>
      <c r="AS198" s="21"/>
    </row>
    <row r="199" spans="2:45" ht="18" customHeight="1">
      <c r="B199" s="11"/>
      <c r="C199" s="12"/>
      <c r="D199" s="13"/>
      <c r="E199" s="27"/>
      <c r="I199" s="27"/>
      <c r="J199" s="27"/>
      <c r="K199" s="27"/>
      <c r="L199" s="27"/>
      <c r="M199" s="27"/>
      <c r="N199" s="27"/>
      <c r="O199" s="27"/>
      <c r="P199" s="27"/>
      <c r="Q199" s="27"/>
      <c r="AL199" s="11"/>
      <c r="AM199" s="11"/>
      <c r="AN199" s="11"/>
      <c r="AO199" s="11"/>
      <c r="AP199" s="11"/>
      <c r="AQ199" s="11"/>
      <c r="AR199" s="11"/>
      <c r="AS199" s="21"/>
    </row>
    <row r="200" spans="2:45" ht="18" customHeight="1">
      <c r="B200" s="11"/>
      <c r="C200" s="12"/>
      <c r="D200" s="13"/>
      <c r="E200" s="27"/>
      <c r="I200" s="27"/>
      <c r="J200" s="27"/>
      <c r="K200" s="27"/>
      <c r="L200" s="27"/>
      <c r="M200" s="27"/>
      <c r="N200" s="27"/>
      <c r="O200" s="27"/>
      <c r="P200" s="27"/>
      <c r="Q200" s="27"/>
      <c r="AL200" s="11"/>
      <c r="AM200" s="11"/>
      <c r="AN200" s="11"/>
      <c r="AO200" s="11"/>
      <c r="AP200" s="11"/>
      <c r="AQ200" s="11"/>
      <c r="AR200" s="11"/>
      <c r="AS200" s="21"/>
    </row>
    <row r="201" spans="2:45" ht="18" customHeight="1">
      <c r="B201" s="11"/>
      <c r="C201" s="12"/>
      <c r="D201" s="13"/>
      <c r="E201" s="27"/>
      <c r="I201" s="27"/>
      <c r="J201" s="27"/>
      <c r="K201" s="27"/>
      <c r="L201" s="27"/>
      <c r="M201" s="27"/>
      <c r="N201" s="27"/>
      <c r="O201" s="27"/>
      <c r="P201" s="27"/>
      <c r="Q201" s="27"/>
      <c r="AL201" s="11"/>
      <c r="AM201" s="11"/>
      <c r="AN201" s="11"/>
      <c r="AO201" s="11"/>
      <c r="AP201" s="11"/>
      <c r="AQ201" s="11"/>
      <c r="AR201" s="11"/>
      <c r="AS201" s="21"/>
    </row>
    <row r="202" spans="2:45" ht="18" customHeight="1">
      <c r="B202" s="11"/>
      <c r="C202" s="12"/>
      <c r="D202" s="13"/>
      <c r="E202" s="27"/>
      <c r="I202" s="27"/>
      <c r="J202" s="27"/>
      <c r="K202" s="27"/>
      <c r="L202" s="27"/>
      <c r="M202" s="27"/>
      <c r="N202" s="27"/>
      <c r="O202" s="27"/>
      <c r="P202" s="27"/>
      <c r="Q202" s="27"/>
      <c r="AL202" s="11"/>
      <c r="AM202" s="11"/>
      <c r="AN202" s="11"/>
      <c r="AO202" s="11"/>
      <c r="AP202" s="11"/>
      <c r="AQ202" s="11"/>
      <c r="AR202" s="11"/>
      <c r="AS202" s="21"/>
    </row>
    <row r="203" spans="2:45" ht="18" customHeight="1">
      <c r="B203" s="11"/>
      <c r="C203" s="12"/>
      <c r="D203" s="13"/>
      <c r="E203" s="27"/>
      <c r="I203" s="27"/>
      <c r="J203" s="27"/>
      <c r="K203" s="27"/>
      <c r="L203" s="27"/>
      <c r="M203" s="27"/>
      <c r="N203" s="27"/>
      <c r="O203" s="27"/>
      <c r="P203" s="27"/>
      <c r="Q203" s="27"/>
      <c r="AL203" s="11"/>
      <c r="AM203" s="11"/>
      <c r="AN203" s="11"/>
      <c r="AO203" s="11"/>
      <c r="AP203" s="11"/>
      <c r="AQ203" s="11"/>
      <c r="AR203" s="11"/>
      <c r="AS203" s="21"/>
    </row>
    <row r="204" spans="2:45" ht="18" customHeight="1">
      <c r="B204" s="11"/>
      <c r="C204" s="12"/>
      <c r="D204" s="13"/>
      <c r="E204" s="27"/>
      <c r="I204" s="27"/>
      <c r="J204" s="27"/>
      <c r="K204" s="27"/>
      <c r="L204" s="27"/>
      <c r="M204" s="27"/>
      <c r="N204" s="27"/>
      <c r="O204" s="27"/>
      <c r="P204" s="27"/>
      <c r="Q204" s="27"/>
      <c r="AL204" s="11"/>
      <c r="AM204" s="11"/>
      <c r="AN204" s="11"/>
      <c r="AO204" s="11"/>
      <c r="AP204" s="11"/>
      <c r="AQ204" s="11"/>
      <c r="AR204" s="11"/>
      <c r="AS204" s="21"/>
    </row>
    <row r="205" spans="2:45" ht="18" customHeight="1">
      <c r="B205" s="11"/>
      <c r="C205" s="12"/>
      <c r="D205" s="13"/>
      <c r="E205" s="27"/>
      <c r="I205" s="27"/>
      <c r="J205" s="27"/>
      <c r="K205" s="27"/>
      <c r="L205" s="27"/>
      <c r="M205" s="27"/>
      <c r="N205" s="27"/>
      <c r="O205" s="27"/>
      <c r="P205" s="27"/>
      <c r="Q205" s="27"/>
      <c r="AL205" s="11"/>
      <c r="AM205" s="11"/>
      <c r="AN205" s="11"/>
      <c r="AO205" s="11"/>
      <c r="AP205" s="11"/>
      <c r="AQ205" s="11"/>
      <c r="AR205" s="11"/>
      <c r="AS205" s="21"/>
    </row>
    <row r="206" spans="2:45" ht="18" customHeight="1">
      <c r="B206" s="11"/>
      <c r="C206" s="12"/>
      <c r="D206" s="13"/>
      <c r="E206" s="27"/>
      <c r="I206" s="27"/>
      <c r="J206" s="27"/>
      <c r="K206" s="27"/>
      <c r="L206" s="27"/>
      <c r="M206" s="27"/>
      <c r="N206" s="27"/>
      <c r="O206" s="27"/>
      <c r="P206" s="27"/>
      <c r="Q206" s="27"/>
      <c r="AL206" s="11"/>
      <c r="AM206" s="11"/>
      <c r="AN206" s="11"/>
      <c r="AO206" s="11"/>
      <c r="AP206" s="11"/>
      <c r="AQ206" s="11"/>
      <c r="AR206" s="11"/>
      <c r="AS206" s="21"/>
    </row>
    <row r="207" spans="2:45" ht="18" customHeight="1">
      <c r="B207" s="11"/>
      <c r="C207" s="12"/>
      <c r="D207" s="13"/>
      <c r="E207" s="27"/>
      <c r="I207" s="27"/>
      <c r="J207" s="27"/>
      <c r="K207" s="27"/>
      <c r="L207" s="27"/>
      <c r="M207" s="27"/>
      <c r="N207" s="27"/>
      <c r="O207" s="27"/>
      <c r="P207" s="27"/>
      <c r="Q207" s="27"/>
      <c r="AL207" s="11"/>
      <c r="AM207" s="11"/>
      <c r="AN207" s="11"/>
      <c r="AO207" s="11"/>
      <c r="AP207" s="11"/>
      <c r="AQ207" s="11"/>
      <c r="AR207" s="11"/>
      <c r="AS207" s="21"/>
    </row>
    <row r="208" spans="2:45" ht="18" customHeight="1">
      <c r="B208" s="11"/>
      <c r="C208" s="12"/>
      <c r="D208" s="13"/>
      <c r="E208" s="27"/>
      <c r="I208" s="27"/>
      <c r="J208" s="27"/>
      <c r="K208" s="27"/>
      <c r="L208" s="27"/>
      <c r="M208" s="27"/>
      <c r="N208" s="27"/>
      <c r="O208" s="27"/>
      <c r="P208" s="27"/>
      <c r="Q208" s="27"/>
      <c r="AL208" s="11"/>
      <c r="AM208" s="11"/>
      <c r="AN208" s="11"/>
      <c r="AO208" s="11"/>
      <c r="AP208" s="11"/>
      <c r="AQ208" s="11"/>
      <c r="AR208" s="11"/>
      <c r="AS208" s="21"/>
    </row>
    <row r="209" spans="2:45" ht="18" customHeight="1">
      <c r="B209" s="11"/>
      <c r="C209" s="12"/>
      <c r="D209" s="13"/>
      <c r="E209" s="27"/>
      <c r="I209" s="27"/>
      <c r="J209" s="27"/>
      <c r="K209" s="27"/>
      <c r="L209" s="27"/>
      <c r="M209" s="27"/>
      <c r="N209" s="27"/>
      <c r="O209" s="27"/>
      <c r="P209" s="27"/>
      <c r="Q209" s="27"/>
      <c r="AL209" s="11"/>
      <c r="AM209" s="11"/>
      <c r="AN209" s="11"/>
      <c r="AO209" s="11"/>
      <c r="AP209" s="11"/>
      <c r="AQ209" s="11"/>
      <c r="AR209" s="11"/>
      <c r="AS209" s="21"/>
    </row>
    <row r="210" spans="2:45" ht="18" customHeight="1">
      <c r="B210" s="11"/>
      <c r="C210" s="12"/>
      <c r="D210" s="13"/>
      <c r="E210" s="27"/>
      <c r="I210" s="27"/>
      <c r="J210" s="27"/>
      <c r="K210" s="27"/>
      <c r="L210" s="27"/>
      <c r="M210" s="27"/>
      <c r="N210" s="27"/>
      <c r="O210" s="27"/>
      <c r="P210" s="27"/>
      <c r="Q210" s="27"/>
      <c r="R210" s="64"/>
      <c r="AL210" s="11"/>
      <c r="AM210" s="11"/>
      <c r="AN210" s="11"/>
      <c r="AO210" s="11"/>
      <c r="AP210" s="11"/>
      <c r="AQ210" s="11"/>
      <c r="AR210" s="11"/>
      <c r="AS210" s="21"/>
    </row>
    <row r="211" spans="2:45" ht="18" customHeight="1">
      <c r="B211" s="11"/>
      <c r="C211" s="12"/>
      <c r="D211" s="13"/>
      <c r="E211" s="27"/>
      <c r="I211" s="27"/>
      <c r="J211" s="27"/>
      <c r="K211" s="27"/>
      <c r="L211" s="27"/>
      <c r="M211" s="27"/>
      <c r="N211" s="27"/>
      <c r="O211" s="27"/>
      <c r="P211" s="27"/>
      <c r="Q211" s="27"/>
      <c r="S211" s="64"/>
      <c r="T211" s="64"/>
      <c r="U211" s="64"/>
      <c r="V211" s="64"/>
      <c r="W211" s="64"/>
      <c r="X211" s="64"/>
      <c r="Y211" s="64"/>
      <c r="AL211" s="11"/>
      <c r="AM211" s="11"/>
      <c r="AN211" s="11"/>
      <c r="AO211" s="11"/>
      <c r="AP211" s="11"/>
      <c r="AQ211" s="11"/>
      <c r="AR211" s="11"/>
      <c r="AS211" s="21"/>
    </row>
    <row r="212" spans="2:45" ht="18" customHeight="1">
      <c r="B212" s="11"/>
      <c r="C212" s="12"/>
      <c r="D212" s="13"/>
      <c r="E212" s="27"/>
      <c r="I212" s="27"/>
      <c r="J212" s="27"/>
      <c r="K212" s="27"/>
      <c r="L212" s="27"/>
      <c r="M212" s="27"/>
      <c r="N212" s="27"/>
      <c r="O212" s="27"/>
      <c r="P212" s="27"/>
      <c r="Q212" s="27"/>
      <c r="Z212" s="64"/>
      <c r="AL212" s="11"/>
      <c r="AM212" s="11"/>
      <c r="AN212" s="11"/>
      <c r="AO212" s="11"/>
      <c r="AP212" s="11"/>
      <c r="AQ212" s="11"/>
      <c r="AR212" s="11"/>
      <c r="AS212" s="21"/>
    </row>
    <row r="213" spans="2:45" ht="18" customHeight="1">
      <c r="B213" s="11"/>
      <c r="C213" s="12"/>
      <c r="D213" s="13"/>
      <c r="E213" s="27"/>
      <c r="I213" s="27"/>
      <c r="J213" s="27"/>
      <c r="K213" s="27"/>
      <c r="L213" s="27"/>
      <c r="M213" s="27"/>
      <c r="N213" s="27"/>
      <c r="O213" s="27"/>
      <c r="P213" s="27"/>
      <c r="Q213" s="27"/>
      <c r="AA213" s="64"/>
      <c r="AL213" s="11"/>
      <c r="AM213" s="11"/>
      <c r="AN213" s="11"/>
      <c r="AO213" s="11"/>
      <c r="AP213" s="11"/>
      <c r="AQ213" s="11"/>
      <c r="AR213" s="11"/>
      <c r="AS213" s="21"/>
    </row>
    <row r="214" spans="2:45" ht="18" customHeight="1">
      <c r="B214" s="11"/>
      <c r="C214" s="12"/>
      <c r="D214" s="13"/>
      <c r="E214" s="27"/>
      <c r="I214" s="27"/>
      <c r="J214" s="27"/>
      <c r="K214" s="27"/>
      <c r="L214" s="27"/>
      <c r="M214" s="27"/>
      <c r="N214" s="27"/>
      <c r="O214" s="27"/>
      <c r="P214" s="27"/>
      <c r="Q214" s="27"/>
      <c r="AL214" s="11"/>
      <c r="AM214" s="11"/>
      <c r="AN214" s="11"/>
      <c r="AO214" s="11"/>
      <c r="AP214" s="11"/>
      <c r="AQ214" s="11"/>
      <c r="AR214" s="11"/>
      <c r="AS214" s="21"/>
    </row>
    <row r="215" spans="2:45" ht="18" customHeight="1">
      <c r="B215" s="11"/>
      <c r="C215" s="12"/>
      <c r="D215" s="13"/>
      <c r="E215" s="27"/>
      <c r="I215" s="27"/>
      <c r="J215" s="27"/>
      <c r="K215" s="27"/>
      <c r="L215" s="27"/>
      <c r="M215" s="27"/>
      <c r="N215" s="27"/>
      <c r="O215" s="27"/>
      <c r="P215" s="27"/>
      <c r="Q215" s="27"/>
      <c r="AL215" s="11"/>
      <c r="AM215" s="11"/>
      <c r="AN215" s="11"/>
      <c r="AO215" s="11"/>
      <c r="AP215" s="11"/>
      <c r="AQ215" s="11"/>
      <c r="AR215" s="11"/>
      <c r="AS215" s="21"/>
    </row>
    <row r="216" spans="2:45" ht="18" customHeight="1">
      <c r="B216" s="11"/>
      <c r="C216" s="12"/>
      <c r="D216" s="13"/>
      <c r="E216" s="27"/>
      <c r="I216" s="27"/>
      <c r="J216" s="27"/>
      <c r="K216" s="27"/>
      <c r="L216" s="27"/>
      <c r="M216" s="27"/>
      <c r="N216" s="27"/>
      <c r="O216" s="27"/>
      <c r="P216" s="27"/>
      <c r="Q216" s="27"/>
      <c r="AL216" s="11"/>
      <c r="AM216" s="11"/>
      <c r="AN216" s="11"/>
      <c r="AO216" s="11"/>
      <c r="AP216" s="11"/>
      <c r="AQ216" s="11"/>
      <c r="AR216" s="11"/>
      <c r="AS216" s="21"/>
    </row>
    <row r="217" spans="2:45" ht="18" customHeight="1">
      <c r="B217" s="11"/>
      <c r="C217" s="12"/>
      <c r="D217" s="13"/>
      <c r="E217" s="27"/>
      <c r="I217" s="27"/>
      <c r="J217" s="27"/>
      <c r="K217" s="27"/>
      <c r="L217" s="27"/>
      <c r="M217" s="27"/>
      <c r="N217" s="27"/>
      <c r="O217" s="27"/>
      <c r="P217" s="27"/>
      <c r="Q217" s="27"/>
      <c r="AL217" s="11"/>
      <c r="AM217" s="11"/>
      <c r="AN217" s="11"/>
      <c r="AO217" s="11"/>
      <c r="AP217" s="11"/>
      <c r="AQ217" s="11"/>
      <c r="AR217" s="11"/>
      <c r="AS217" s="21"/>
    </row>
    <row r="218" spans="2:45" ht="18" customHeight="1">
      <c r="B218" s="11"/>
      <c r="C218" s="12"/>
      <c r="D218" s="13"/>
      <c r="E218" s="27"/>
      <c r="I218" s="27"/>
      <c r="J218" s="27"/>
      <c r="K218" s="27"/>
      <c r="L218" s="27"/>
      <c r="M218" s="27"/>
      <c r="N218" s="27"/>
      <c r="O218" s="27"/>
      <c r="P218" s="27"/>
      <c r="Q218" s="27"/>
      <c r="AL218" s="11"/>
      <c r="AM218" s="11"/>
      <c r="AN218" s="11"/>
      <c r="AO218" s="11"/>
      <c r="AP218" s="11"/>
      <c r="AQ218" s="11"/>
      <c r="AR218" s="11"/>
      <c r="AS218" s="21"/>
    </row>
    <row r="219" spans="2:45" ht="18" customHeight="1">
      <c r="B219" s="11"/>
      <c r="C219" s="12"/>
      <c r="D219" s="13"/>
      <c r="E219" s="27"/>
      <c r="I219" s="27"/>
      <c r="J219" s="27"/>
      <c r="K219" s="27"/>
      <c r="L219" s="27"/>
      <c r="M219" s="27"/>
      <c r="N219" s="27"/>
      <c r="O219" s="27"/>
      <c r="P219" s="27"/>
      <c r="Q219" s="27"/>
      <c r="AL219" s="11"/>
      <c r="AM219" s="11"/>
      <c r="AN219" s="11"/>
      <c r="AO219" s="11"/>
      <c r="AP219" s="11"/>
      <c r="AQ219" s="11"/>
      <c r="AR219" s="11"/>
      <c r="AS219" s="21"/>
    </row>
    <row r="220" spans="2:45" ht="18" customHeight="1">
      <c r="B220" s="11"/>
      <c r="C220" s="12"/>
      <c r="D220" s="13"/>
      <c r="E220" s="27"/>
      <c r="I220" s="27"/>
      <c r="J220" s="27"/>
      <c r="K220" s="27"/>
      <c r="L220" s="27"/>
      <c r="M220" s="27"/>
      <c r="N220" s="27"/>
      <c r="O220" s="27"/>
      <c r="P220" s="27"/>
      <c r="Q220" s="27"/>
      <c r="AL220" s="11"/>
      <c r="AM220" s="11"/>
      <c r="AN220" s="11"/>
      <c r="AO220" s="11"/>
      <c r="AP220" s="11"/>
      <c r="AQ220" s="11"/>
      <c r="AR220" s="11"/>
      <c r="AS220" s="21"/>
    </row>
    <row r="221" spans="2:45" ht="18" customHeight="1">
      <c r="B221" s="11"/>
      <c r="C221" s="12"/>
      <c r="D221" s="13"/>
      <c r="E221" s="27"/>
      <c r="I221" s="27"/>
      <c r="J221" s="27"/>
      <c r="K221" s="27"/>
      <c r="L221" s="27"/>
      <c r="M221" s="27"/>
      <c r="N221" s="27"/>
      <c r="O221" s="27"/>
      <c r="P221" s="27"/>
      <c r="Q221" s="27"/>
      <c r="AL221" s="11"/>
      <c r="AM221" s="11"/>
      <c r="AN221" s="11"/>
      <c r="AO221" s="11"/>
      <c r="AP221" s="11"/>
      <c r="AQ221" s="11"/>
      <c r="AR221" s="11"/>
      <c r="AS221" s="21"/>
    </row>
    <row r="222" spans="2:45" ht="18" customHeight="1">
      <c r="B222" s="11"/>
      <c r="C222" s="12"/>
      <c r="D222" s="123" t="s">
        <v>208</v>
      </c>
      <c r="E222" s="27"/>
      <c r="I222" s="27"/>
      <c r="J222" s="27"/>
      <c r="K222" s="27"/>
      <c r="L222" s="27"/>
      <c r="M222" s="27"/>
      <c r="N222" s="27"/>
      <c r="O222" s="27"/>
      <c r="P222" s="27"/>
      <c r="Q222" s="27"/>
      <c r="AL222" s="11"/>
      <c r="AM222" s="11"/>
      <c r="AN222" s="11"/>
      <c r="AO222" s="11"/>
      <c r="AP222" s="11"/>
      <c r="AQ222" s="11"/>
      <c r="AR222" s="11"/>
      <c r="AS222" s="21"/>
    </row>
    <row r="223" spans="2:45" ht="18" customHeight="1">
      <c r="B223" s="2" t="s">
        <v>209</v>
      </c>
      <c r="C223" s="12"/>
      <c r="D223" s="13"/>
      <c r="E223" s="27"/>
      <c r="I223" s="27"/>
      <c r="J223" s="27"/>
      <c r="K223" s="27"/>
      <c r="L223" s="27"/>
      <c r="M223" s="27"/>
      <c r="N223" s="27"/>
      <c r="O223" s="27"/>
      <c r="P223" s="27"/>
      <c r="Q223" s="27"/>
      <c r="AL223" s="11"/>
      <c r="AM223" s="11"/>
      <c r="AN223" s="11"/>
      <c r="AO223" s="11"/>
      <c r="AP223" s="11"/>
      <c r="AQ223" s="11"/>
      <c r="AR223" s="11"/>
      <c r="AS223" s="21"/>
    </row>
    <row r="224" spans="2:45" ht="18" customHeight="1">
      <c r="B224" s="11"/>
      <c r="C224" s="12"/>
      <c r="D224" s="13"/>
      <c r="E224" s="27"/>
      <c r="I224" s="27"/>
      <c r="J224" s="27"/>
      <c r="K224" s="27"/>
      <c r="L224" s="27"/>
      <c r="M224" s="27"/>
      <c r="N224" s="27"/>
      <c r="O224" s="27"/>
      <c r="P224" s="27"/>
      <c r="Q224" s="27"/>
      <c r="AL224" s="11"/>
      <c r="AM224" s="11"/>
      <c r="AN224" s="11"/>
      <c r="AO224" s="11"/>
      <c r="AP224" s="11"/>
      <c r="AQ224" s="11"/>
      <c r="AR224" s="11"/>
      <c r="AS224" s="21"/>
    </row>
    <row r="225" spans="2:45" ht="18" customHeight="1">
      <c r="B225" s="11"/>
      <c r="C225" s="12"/>
      <c r="D225" s="13"/>
      <c r="E225" s="27"/>
      <c r="I225" s="27"/>
      <c r="J225" s="27"/>
      <c r="K225" s="27"/>
      <c r="L225" s="27"/>
      <c r="M225" s="27"/>
      <c r="N225" s="27"/>
      <c r="O225" s="27"/>
      <c r="P225" s="27"/>
      <c r="Q225" s="27"/>
      <c r="AL225" s="11"/>
      <c r="AM225" s="11"/>
      <c r="AN225" s="11"/>
      <c r="AO225" s="11"/>
      <c r="AP225" s="11"/>
      <c r="AQ225" s="11"/>
      <c r="AR225" s="11"/>
      <c r="AS225" s="21"/>
    </row>
    <row r="226" spans="2:45" ht="18" customHeight="1">
      <c r="B226" s="2" t="s">
        <v>210</v>
      </c>
      <c r="C226" s="12"/>
      <c r="D226" s="13"/>
      <c r="E226" s="27"/>
      <c r="I226" s="27"/>
      <c r="J226" s="27"/>
      <c r="K226" s="27"/>
      <c r="L226" s="27"/>
      <c r="M226" s="27"/>
      <c r="N226" s="27"/>
      <c r="O226" s="27"/>
      <c r="P226" s="27"/>
      <c r="Q226" s="27"/>
      <c r="AL226" s="11"/>
      <c r="AM226" s="11"/>
      <c r="AN226" s="11"/>
      <c r="AO226" s="11"/>
      <c r="AP226" s="11"/>
      <c r="AQ226" s="11"/>
      <c r="AR226" s="11"/>
      <c r="AS226" s="21"/>
    </row>
    <row r="227" spans="2:46" ht="18" customHeight="1">
      <c r="B227" s="11"/>
      <c r="C227" s="12"/>
      <c r="D227" s="13"/>
      <c r="E227" s="27"/>
      <c r="I227" s="27"/>
      <c r="J227" s="27"/>
      <c r="K227" s="27"/>
      <c r="L227" s="27"/>
      <c r="M227" s="27"/>
      <c r="N227" s="27"/>
      <c r="O227" s="27"/>
      <c r="P227" s="27"/>
      <c r="Q227" s="27"/>
      <c r="AM227" s="11"/>
      <c r="AN227" s="11"/>
      <c r="AO227" s="11"/>
      <c r="AP227" s="11"/>
      <c r="AQ227" s="11"/>
      <c r="AR227" s="11"/>
      <c r="AS227" s="11"/>
      <c r="AT227" s="21"/>
    </row>
    <row r="228" spans="2:46" ht="18" customHeight="1">
      <c r="B228" s="11"/>
      <c r="C228" s="12"/>
      <c r="D228" s="13"/>
      <c r="E228" s="27"/>
      <c r="I228" s="27"/>
      <c r="J228" s="27"/>
      <c r="K228" s="27"/>
      <c r="L228" s="27"/>
      <c r="M228" s="27"/>
      <c r="N228" s="27"/>
      <c r="O228" s="27"/>
      <c r="P228" s="27"/>
      <c r="Q228" s="27"/>
      <c r="AM228" s="10"/>
      <c r="AN228" s="11"/>
      <c r="AO228" s="11"/>
      <c r="AP228" s="11"/>
      <c r="AQ228" s="11"/>
      <c r="AR228" s="11"/>
      <c r="AS228" s="11"/>
      <c r="AT228" s="21"/>
    </row>
    <row r="229" spans="2:46" ht="18" customHeight="1">
      <c r="B229" s="34" t="s">
        <v>211</v>
      </c>
      <c r="C229" s="12"/>
      <c r="D229" s="13"/>
      <c r="E229" s="27"/>
      <c r="I229" s="27"/>
      <c r="J229" s="27"/>
      <c r="K229" s="27"/>
      <c r="L229" s="27"/>
      <c r="M229" s="27"/>
      <c r="N229" s="27"/>
      <c r="O229" s="27"/>
      <c r="P229" s="27"/>
      <c r="Q229" s="27"/>
      <c r="AM229" s="10"/>
      <c r="AN229" s="11"/>
      <c r="AO229" s="11"/>
      <c r="AP229" s="11"/>
      <c r="AQ229" s="83"/>
      <c r="AR229" s="11"/>
      <c r="AS229" s="11"/>
      <c r="AT229" s="21"/>
    </row>
    <row r="230" spans="2:46" ht="18" customHeight="1">
      <c r="B230" s="11"/>
      <c r="C230" s="12"/>
      <c r="D230" s="13"/>
      <c r="E230" s="27"/>
      <c r="I230" s="27"/>
      <c r="J230" s="27"/>
      <c r="K230" s="27"/>
      <c r="L230" s="27"/>
      <c r="M230" s="27"/>
      <c r="N230" s="27"/>
      <c r="O230" s="27"/>
      <c r="P230" s="27"/>
      <c r="Q230" s="27"/>
      <c r="AM230" s="10"/>
      <c r="AN230" s="11"/>
      <c r="AO230" s="11"/>
      <c r="AP230" s="11"/>
      <c r="AQ230" s="11"/>
      <c r="AR230" s="11"/>
      <c r="AS230" s="11"/>
      <c r="AT230" s="21"/>
    </row>
    <row r="231" spans="2:46" ht="18" customHeight="1">
      <c r="B231" s="11"/>
      <c r="C231" s="12"/>
      <c r="D231" s="13"/>
      <c r="E231" s="27"/>
      <c r="I231" s="27"/>
      <c r="J231" s="27"/>
      <c r="K231" s="27"/>
      <c r="L231" s="27"/>
      <c r="M231" s="27"/>
      <c r="N231" s="27"/>
      <c r="O231" s="27"/>
      <c r="P231" s="27"/>
      <c r="Q231" s="27"/>
      <c r="AH231" s="28"/>
      <c r="AI231" s="84"/>
      <c r="AM231" s="21"/>
      <c r="AN231" s="21"/>
      <c r="AO231" s="21"/>
      <c r="AP231" s="21"/>
      <c r="AQ231" s="21"/>
      <c r="AR231" s="21"/>
      <c r="AS231" s="21"/>
      <c r="AT231" s="21"/>
    </row>
    <row r="232" spans="2:46" ht="18" customHeight="1">
      <c r="B232" s="11"/>
      <c r="C232" s="12"/>
      <c r="D232" s="13"/>
      <c r="E232" s="27"/>
      <c r="I232" s="27"/>
      <c r="J232" s="27"/>
      <c r="K232" s="27"/>
      <c r="L232" s="27"/>
      <c r="M232" s="27"/>
      <c r="N232" s="27"/>
      <c r="O232" s="27"/>
      <c r="P232" s="27"/>
      <c r="Q232" s="27"/>
      <c r="AF232" s="81"/>
      <c r="AG232" s="81"/>
      <c r="AH232" s="81"/>
      <c r="AI232" s="17"/>
      <c r="AM232" s="47"/>
      <c r="AN232" s="21"/>
      <c r="AO232" s="21"/>
      <c r="AP232" s="21"/>
      <c r="AQ232" s="21"/>
      <c r="AR232" s="21"/>
      <c r="AS232" s="21"/>
      <c r="AT232" s="21"/>
    </row>
    <row r="233" spans="2:46" ht="18" customHeight="1">
      <c r="B233" s="11"/>
      <c r="C233" s="12"/>
      <c r="D233" s="13"/>
      <c r="E233" s="27"/>
      <c r="I233" s="27"/>
      <c r="J233" s="27"/>
      <c r="K233" s="27"/>
      <c r="L233" s="27"/>
      <c r="M233" s="27"/>
      <c r="N233" s="27"/>
      <c r="O233" s="27"/>
      <c r="P233" s="27"/>
      <c r="Q233" s="27"/>
      <c r="AF233" s="81"/>
      <c r="AG233" s="81"/>
      <c r="AH233" s="81"/>
      <c r="AI233" s="17"/>
      <c r="AM233" s="47"/>
      <c r="AN233" s="21"/>
      <c r="AO233" s="21"/>
      <c r="AP233" s="21"/>
      <c r="AQ233" s="21"/>
      <c r="AR233" s="21"/>
      <c r="AS233" s="21"/>
      <c r="AT233" s="21"/>
    </row>
    <row r="234" spans="2:46" ht="18" customHeight="1">
      <c r="B234" s="11"/>
      <c r="C234" s="12"/>
      <c r="D234" s="13"/>
      <c r="E234" s="27"/>
      <c r="I234" s="27"/>
      <c r="J234" s="27"/>
      <c r="K234" s="27"/>
      <c r="L234" s="27"/>
      <c r="M234" s="27"/>
      <c r="N234" s="27"/>
      <c r="O234" s="27"/>
      <c r="P234" s="27"/>
      <c r="Q234" s="27"/>
      <c r="AF234" s="81"/>
      <c r="AG234" s="81"/>
      <c r="AH234" s="81"/>
      <c r="AI234" s="17"/>
      <c r="AM234" s="47"/>
      <c r="AN234" s="21"/>
      <c r="AO234" s="21"/>
      <c r="AP234" s="21"/>
      <c r="AQ234" s="21"/>
      <c r="AR234" s="21"/>
      <c r="AS234" s="21"/>
      <c r="AT234" s="21"/>
    </row>
    <row r="235" spans="2:46" ht="18" customHeight="1">
      <c r="B235" s="11"/>
      <c r="C235" s="12"/>
      <c r="D235" s="13"/>
      <c r="E235" s="27"/>
      <c r="I235" s="27"/>
      <c r="J235" s="27"/>
      <c r="K235" s="27"/>
      <c r="L235" s="27"/>
      <c r="M235" s="27"/>
      <c r="N235" s="27"/>
      <c r="O235" s="27"/>
      <c r="P235" s="27"/>
      <c r="Q235" s="27"/>
      <c r="AF235" s="81"/>
      <c r="AG235" s="81"/>
      <c r="AH235" s="81"/>
      <c r="AI235" s="17"/>
      <c r="AM235" s="47"/>
      <c r="AN235" s="21"/>
      <c r="AO235" s="21"/>
      <c r="AP235" s="21"/>
      <c r="AQ235" s="21"/>
      <c r="AR235" s="21"/>
      <c r="AS235" s="21"/>
      <c r="AT235" s="21"/>
    </row>
    <row r="236" spans="2:46" ht="18" customHeight="1">
      <c r="B236" s="11"/>
      <c r="C236" s="12"/>
      <c r="D236" s="13"/>
      <c r="E236" s="27"/>
      <c r="I236" s="27"/>
      <c r="J236" s="27"/>
      <c r="K236" s="27"/>
      <c r="L236" s="27"/>
      <c r="M236" s="27"/>
      <c r="N236" s="27"/>
      <c r="O236" s="27"/>
      <c r="P236" s="27"/>
      <c r="Q236" s="27"/>
      <c r="AF236" s="81"/>
      <c r="AG236" s="81"/>
      <c r="AH236" s="81"/>
      <c r="AI236" s="17"/>
      <c r="AM236" s="47"/>
      <c r="AN236" s="21"/>
      <c r="AO236" s="21"/>
      <c r="AP236" s="21"/>
      <c r="AQ236" s="21"/>
      <c r="AR236" s="21"/>
      <c r="AS236" s="21"/>
      <c r="AT236" s="21"/>
    </row>
    <row r="237" spans="2:46" ht="18" customHeight="1">
      <c r="B237" s="2" t="s">
        <v>212</v>
      </c>
      <c r="C237" s="12"/>
      <c r="D237" s="13"/>
      <c r="E237" s="27"/>
      <c r="I237" s="27"/>
      <c r="J237" s="27"/>
      <c r="K237" s="27"/>
      <c r="L237" s="27"/>
      <c r="M237" s="27"/>
      <c r="N237" s="27"/>
      <c r="O237" s="27"/>
      <c r="P237" s="27"/>
      <c r="Q237" s="27"/>
      <c r="AF237" s="81"/>
      <c r="AG237" s="81"/>
      <c r="AH237" s="81"/>
      <c r="AI237" s="17"/>
      <c r="AM237" s="47"/>
      <c r="AN237" s="21"/>
      <c r="AO237" s="21"/>
      <c r="AP237" s="21"/>
      <c r="AQ237" s="21"/>
      <c r="AR237" s="21"/>
      <c r="AS237" s="21"/>
      <c r="AT237" s="21"/>
    </row>
    <row r="238" spans="2:46" ht="18" customHeight="1">
      <c r="B238" s="11"/>
      <c r="C238" s="12"/>
      <c r="D238" s="13"/>
      <c r="E238" s="27"/>
      <c r="I238" s="27"/>
      <c r="J238" s="27"/>
      <c r="K238" s="27"/>
      <c r="L238" s="27"/>
      <c r="M238" s="27"/>
      <c r="N238" s="27"/>
      <c r="O238" s="27"/>
      <c r="P238" s="27"/>
      <c r="Q238" s="27"/>
      <c r="AF238" s="81"/>
      <c r="AG238" s="81"/>
      <c r="AH238" s="81"/>
      <c r="AI238" s="17"/>
      <c r="AM238" s="47"/>
      <c r="AN238" s="21"/>
      <c r="AO238" s="21"/>
      <c r="AP238" s="21"/>
      <c r="AQ238" s="21"/>
      <c r="AR238" s="21"/>
      <c r="AS238" s="21"/>
      <c r="AT238" s="21"/>
    </row>
    <row r="239" spans="2:46" ht="18" customHeight="1">
      <c r="B239" s="11"/>
      <c r="C239" s="12"/>
      <c r="D239" s="13"/>
      <c r="E239" s="27"/>
      <c r="I239" s="27"/>
      <c r="J239" s="27"/>
      <c r="K239" s="27"/>
      <c r="L239" s="27"/>
      <c r="M239" s="27"/>
      <c r="N239" s="27"/>
      <c r="O239" s="27"/>
      <c r="P239" s="27"/>
      <c r="Q239" s="27"/>
      <c r="AF239" s="81"/>
      <c r="AG239" s="81"/>
      <c r="AH239" s="81"/>
      <c r="AI239" s="17"/>
      <c r="AM239" s="47"/>
      <c r="AN239" s="21"/>
      <c r="AO239" s="21"/>
      <c r="AP239" s="21"/>
      <c r="AQ239" s="21"/>
      <c r="AR239" s="21"/>
      <c r="AS239" s="21"/>
      <c r="AT239" s="21"/>
    </row>
    <row r="240" spans="2:46" ht="18" customHeight="1">
      <c r="B240" s="11"/>
      <c r="C240" s="12"/>
      <c r="D240" s="13"/>
      <c r="E240" s="27"/>
      <c r="I240" s="27"/>
      <c r="J240" s="27"/>
      <c r="K240" s="27"/>
      <c r="L240" s="27"/>
      <c r="M240" s="27"/>
      <c r="N240" s="27"/>
      <c r="O240" s="27"/>
      <c r="P240" s="27"/>
      <c r="Q240" s="27"/>
      <c r="AF240" s="81"/>
      <c r="AG240" s="81"/>
      <c r="AH240" s="81"/>
      <c r="AI240" s="17"/>
      <c r="AM240" s="47"/>
      <c r="AN240" s="21"/>
      <c r="AO240" s="21"/>
      <c r="AP240" s="21"/>
      <c r="AQ240" s="21"/>
      <c r="AR240" s="21"/>
      <c r="AS240" s="21"/>
      <c r="AT240" s="21"/>
    </row>
    <row r="241" spans="2:46" ht="18" customHeight="1">
      <c r="B241" s="11"/>
      <c r="C241" s="12"/>
      <c r="D241" s="13"/>
      <c r="E241" s="27"/>
      <c r="I241" s="27"/>
      <c r="J241" s="27"/>
      <c r="K241" s="27"/>
      <c r="L241" s="27"/>
      <c r="M241" s="27"/>
      <c r="N241" s="27"/>
      <c r="O241" s="27"/>
      <c r="P241" s="27"/>
      <c r="Q241" s="27"/>
      <c r="AF241" s="81"/>
      <c r="AG241" s="81"/>
      <c r="AH241" s="81"/>
      <c r="AI241" s="17"/>
      <c r="AM241" s="47"/>
      <c r="AN241" s="21"/>
      <c r="AO241" s="21"/>
      <c r="AP241" s="21"/>
      <c r="AQ241" s="21"/>
      <c r="AR241" s="21"/>
      <c r="AS241" s="21"/>
      <c r="AT241" s="21"/>
    </row>
    <row r="242" spans="2:46" ht="18" customHeight="1">
      <c r="B242" s="11"/>
      <c r="C242" s="12"/>
      <c r="D242" s="13"/>
      <c r="E242" s="27"/>
      <c r="I242" s="27"/>
      <c r="J242" s="27"/>
      <c r="K242" s="27"/>
      <c r="L242" s="27"/>
      <c r="M242" s="27"/>
      <c r="N242" s="27"/>
      <c r="O242" s="27"/>
      <c r="P242" s="27"/>
      <c r="Q242" s="27"/>
      <c r="AF242" s="81"/>
      <c r="AG242" s="81"/>
      <c r="AH242" s="81"/>
      <c r="AI242" s="17"/>
      <c r="AM242" s="47"/>
      <c r="AN242" s="21"/>
      <c r="AO242" s="21"/>
      <c r="AP242" s="21"/>
      <c r="AQ242" s="21"/>
      <c r="AR242" s="21"/>
      <c r="AS242" s="21"/>
      <c r="AT242" s="21"/>
    </row>
    <row r="243" spans="2:45" ht="18" customHeight="1">
      <c r="B243" s="11"/>
      <c r="C243" s="12"/>
      <c r="D243" s="13"/>
      <c r="E243" s="27"/>
      <c r="I243" s="27"/>
      <c r="J243" s="27"/>
      <c r="K243" s="27"/>
      <c r="L243" s="27"/>
      <c r="M243" s="27"/>
      <c r="N243" s="27"/>
      <c r="O243" s="27"/>
      <c r="P243" s="27"/>
      <c r="Q243" s="27"/>
      <c r="AF243" s="81"/>
      <c r="AG243" s="81"/>
      <c r="AH243" s="17"/>
      <c r="AL243" s="47"/>
      <c r="AM243" s="21"/>
      <c r="AN243" s="21"/>
      <c r="AO243" s="21"/>
      <c r="AP243" s="21"/>
      <c r="AQ243" s="21"/>
      <c r="AR243" s="21"/>
      <c r="AS243" s="21"/>
    </row>
    <row r="244" spans="2:45" ht="18" customHeight="1">
      <c r="B244" s="11"/>
      <c r="C244" s="12"/>
      <c r="D244" s="13"/>
      <c r="E244" s="27"/>
      <c r="I244" s="27"/>
      <c r="J244" s="27"/>
      <c r="K244" s="27"/>
      <c r="L244" s="27"/>
      <c r="M244" s="27"/>
      <c r="N244" s="27"/>
      <c r="O244" s="27"/>
      <c r="P244" s="27"/>
      <c r="Q244" s="27"/>
      <c r="AL244" s="47"/>
      <c r="AM244" s="21"/>
      <c r="AN244" s="21"/>
      <c r="AO244" s="21"/>
      <c r="AP244" s="21"/>
      <c r="AQ244" s="21"/>
      <c r="AR244" s="21"/>
      <c r="AS244" s="21"/>
    </row>
    <row r="245" spans="2:45" ht="18" customHeight="1">
      <c r="B245" s="11"/>
      <c r="C245" s="12"/>
      <c r="D245" s="13"/>
      <c r="E245" s="27"/>
      <c r="I245" s="27"/>
      <c r="J245" s="27"/>
      <c r="K245" s="27"/>
      <c r="L245" s="27"/>
      <c r="M245" s="27"/>
      <c r="N245" s="27"/>
      <c r="O245" s="27"/>
      <c r="P245" s="27"/>
      <c r="Q245" s="27"/>
      <c r="AL245" s="47"/>
      <c r="AM245" s="21"/>
      <c r="AN245" s="21"/>
      <c r="AO245" s="21"/>
      <c r="AP245" s="21"/>
      <c r="AQ245" s="21"/>
      <c r="AR245" s="21"/>
      <c r="AS245" s="21"/>
    </row>
    <row r="246" spans="2:45" ht="18" customHeight="1">
      <c r="B246" s="11"/>
      <c r="C246" s="12"/>
      <c r="D246" s="13"/>
      <c r="E246" s="27"/>
      <c r="I246" s="27"/>
      <c r="J246" s="27"/>
      <c r="K246" s="27"/>
      <c r="L246" s="27"/>
      <c r="M246" s="27"/>
      <c r="N246" s="27"/>
      <c r="O246" s="27"/>
      <c r="P246" s="27"/>
      <c r="Q246" s="27"/>
      <c r="AL246" s="47"/>
      <c r="AM246" s="21"/>
      <c r="AN246" s="21"/>
      <c r="AO246" s="47"/>
      <c r="AP246" s="21"/>
      <c r="AQ246" s="21"/>
      <c r="AR246" s="21"/>
      <c r="AS246" s="21"/>
    </row>
    <row r="247" spans="2:45" ht="18" customHeight="1">
      <c r="B247" s="11"/>
      <c r="C247" s="12"/>
      <c r="D247" s="13"/>
      <c r="E247" s="27"/>
      <c r="I247" s="27"/>
      <c r="J247" s="27"/>
      <c r="K247" s="27"/>
      <c r="L247" s="27"/>
      <c r="M247" s="27"/>
      <c r="N247" s="27"/>
      <c r="O247" s="27"/>
      <c r="P247" s="27"/>
      <c r="Q247" s="27"/>
      <c r="AH247" s="17"/>
      <c r="AL247" s="47"/>
      <c r="AM247" s="21"/>
      <c r="AN247" s="21"/>
      <c r="AO247" s="47"/>
      <c r="AP247" s="21"/>
      <c r="AQ247" s="21"/>
      <c r="AR247" s="21"/>
      <c r="AS247" s="21"/>
    </row>
    <row r="248" spans="2:45" ht="18" customHeight="1">
      <c r="B248" s="11"/>
      <c r="C248" s="12"/>
      <c r="D248" s="13"/>
      <c r="E248" s="27"/>
      <c r="I248" s="27"/>
      <c r="J248" s="27"/>
      <c r="K248" s="27"/>
      <c r="L248" s="27"/>
      <c r="M248" s="27"/>
      <c r="N248" s="27"/>
      <c r="O248" s="27"/>
      <c r="P248" s="27"/>
      <c r="Q248" s="27"/>
      <c r="AL248" s="21"/>
      <c r="AM248" s="21"/>
      <c r="AN248" s="21"/>
      <c r="AO248" s="21"/>
      <c r="AP248" s="21"/>
      <c r="AQ248" s="21"/>
      <c r="AR248" s="21"/>
      <c r="AS248" s="21"/>
    </row>
    <row r="249" spans="2:45" ht="18" customHeight="1">
      <c r="B249" s="11"/>
      <c r="C249" s="12"/>
      <c r="D249" s="13"/>
      <c r="E249" s="27"/>
      <c r="I249" s="27"/>
      <c r="J249" s="27"/>
      <c r="K249" s="27"/>
      <c r="L249" s="27"/>
      <c r="M249" s="27"/>
      <c r="N249" s="27"/>
      <c r="O249" s="27"/>
      <c r="P249" s="27"/>
      <c r="Q249" s="27"/>
      <c r="AL249" s="21"/>
      <c r="AM249" s="21"/>
      <c r="AN249" s="21"/>
      <c r="AO249" s="47"/>
      <c r="AP249" s="85"/>
      <c r="AQ249" s="21"/>
      <c r="AR249" s="21"/>
      <c r="AS249" s="21"/>
    </row>
    <row r="250" spans="2:45" ht="18" customHeight="1">
      <c r="B250" s="2" t="s">
        <v>213</v>
      </c>
      <c r="C250" s="12"/>
      <c r="D250" s="13"/>
      <c r="E250" s="27"/>
      <c r="I250" s="27"/>
      <c r="J250" s="27"/>
      <c r="K250" s="27"/>
      <c r="L250" s="27"/>
      <c r="M250" s="27"/>
      <c r="N250" s="27"/>
      <c r="O250" s="27"/>
      <c r="P250" s="27"/>
      <c r="Q250" s="27"/>
      <c r="R250" s="86"/>
      <c r="AL250" s="21"/>
      <c r="AM250" s="21"/>
      <c r="AN250" s="21"/>
      <c r="AO250" s="21"/>
      <c r="AP250" s="21"/>
      <c r="AQ250" s="21"/>
      <c r="AR250" s="21"/>
      <c r="AS250" s="21"/>
    </row>
    <row r="251" spans="2:45" ht="18" customHeight="1">
      <c r="B251" s="11"/>
      <c r="C251" s="123" t="s">
        <v>368</v>
      </c>
      <c r="D251" s="13"/>
      <c r="E251" s="27"/>
      <c r="I251" s="27"/>
      <c r="J251" s="27"/>
      <c r="K251" s="27"/>
      <c r="L251" s="27"/>
      <c r="M251" s="27"/>
      <c r="N251" s="27"/>
      <c r="O251" s="27"/>
      <c r="P251" s="27"/>
      <c r="Q251" s="27"/>
      <c r="S251" s="86"/>
      <c r="T251" s="86"/>
      <c r="U251" s="86"/>
      <c r="V251" s="86"/>
      <c r="W251" s="86"/>
      <c r="X251" s="86"/>
      <c r="Y251" s="86"/>
      <c r="AL251" s="21"/>
      <c r="AM251" s="21"/>
      <c r="AN251" s="21"/>
      <c r="AO251" s="21"/>
      <c r="AP251" s="21"/>
      <c r="AQ251" s="21"/>
      <c r="AR251" s="21"/>
      <c r="AS251" s="21"/>
    </row>
    <row r="252" spans="2:45" ht="18" customHeight="1">
      <c r="B252" s="11"/>
      <c r="C252" s="12"/>
      <c r="D252" s="13"/>
      <c r="E252" s="27"/>
      <c r="I252" s="27"/>
      <c r="J252" s="27"/>
      <c r="K252" s="27"/>
      <c r="L252" s="27"/>
      <c r="M252" s="27"/>
      <c r="N252" s="27"/>
      <c r="O252" s="27"/>
      <c r="P252" s="27"/>
      <c r="Q252" s="27"/>
      <c r="Z252" s="86"/>
      <c r="AL252" s="21"/>
      <c r="AM252" s="21"/>
      <c r="AN252" s="21"/>
      <c r="AO252" s="21"/>
      <c r="AP252" s="21"/>
      <c r="AQ252" s="21"/>
      <c r="AR252" s="21"/>
      <c r="AS252" s="21"/>
    </row>
    <row r="253" spans="2:45" ht="18" customHeight="1">
      <c r="B253" s="11"/>
      <c r="C253" s="12"/>
      <c r="D253" s="13"/>
      <c r="E253" s="27"/>
      <c r="I253" s="27"/>
      <c r="J253" s="27"/>
      <c r="K253" s="27"/>
      <c r="L253" s="27"/>
      <c r="M253" s="27"/>
      <c r="N253" s="27"/>
      <c r="O253" s="27"/>
      <c r="P253" s="27"/>
      <c r="Q253" s="27"/>
      <c r="AA253" s="86"/>
      <c r="AL253" s="21"/>
      <c r="AM253" s="21"/>
      <c r="AN253" s="21"/>
      <c r="AO253" s="21"/>
      <c r="AP253" s="21"/>
      <c r="AQ253" s="21"/>
      <c r="AR253" s="21"/>
      <c r="AS253" s="21"/>
    </row>
    <row r="254" spans="2:45" ht="18" customHeight="1">
      <c r="B254" s="11"/>
      <c r="C254" s="12"/>
      <c r="D254" s="13"/>
      <c r="E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AL254" s="21"/>
      <c r="AM254" s="21"/>
      <c r="AN254" s="21"/>
      <c r="AO254" s="21"/>
      <c r="AP254" s="21"/>
      <c r="AQ254" s="21"/>
      <c r="AR254" s="21"/>
      <c r="AS254" s="21"/>
    </row>
    <row r="255" spans="2:45" ht="18" customHeight="1">
      <c r="B255" s="11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AL255" s="21"/>
      <c r="AM255" s="21"/>
      <c r="AN255" s="21"/>
      <c r="AO255" s="21"/>
      <c r="AP255" s="21"/>
      <c r="AQ255" s="21"/>
      <c r="AR255" s="21"/>
      <c r="AS255" s="21"/>
    </row>
    <row r="256" spans="2:45" ht="18" customHeight="1">
      <c r="B256" s="11"/>
      <c r="C256" s="123" t="s">
        <v>428</v>
      </c>
      <c r="D256" s="13"/>
      <c r="E256" s="163">
        <f>IF(kH=0,1,2)</f>
        <v>2</v>
      </c>
      <c r="F256" s="22" t="str">
        <f>IF(kH=0,"(常時)","(地震時)")</f>
        <v>(地震時)</v>
      </c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L256" s="21"/>
      <c r="AM256" s="21"/>
      <c r="AN256" s="21"/>
      <c r="AO256" s="21"/>
      <c r="AP256" s="21"/>
      <c r="AQ256" s="21"/>
      <c r="AR256" s="21"/>
      <c r="AS256" s="21"/>
    </row>
    <row r="257" spans="1:45" ht="18" customHeight="1">
      <c r="A257" s="128" t="s">
        <v>456</v>
      </c>
      <c r="B257" s="11"/>
      <c r="C257" s="12"/>
      <c r="D257" s="9"/>
      <c r="E257" s="16"/>
      <c r="F257" s="10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L257" s="21"/>
      <c r="AM257" s="21"/>
      <c r="AN257" s="21"/>
      <c r="AO257" s="21"/>
      <c r="AP257" s="21"/>
      <c r="AQ257" s="21"/>
      <c r="AR257" s="21"/>
      <c r="AS257" s="21"/>
    </row>
    <row r="258" spans="2:45" ht="18" customHeight="1">
      <c r="B258" s="2" t="s">
        <v>373</v>
      </c>
      <c r="C258" s="12"/>
      <c r="D258" s="9"/>
      <c r="E258" s="16"/>
      <c r="F258" s="10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L258" s="21"/>
      <c r="AM258" s="21"/>
      <c r="AN258" s="21"/>
      <c r="AO258" s="21"/>
      <c r="AP258" s="21"/>
      <c r="AQ258" s="21"/>
      <c r="AR258" s="21"/>
      <c r="AS258" s="21"/>
    </row>
    <row r="259" spans="2:45" ht="18" customHeight="1">
      <c r="B259" s="209" t="s">
        <v>4</v>
      </c>
      <c r="C259" s="204" t="s">
        <v>374</v>
      </c>
      <c r="D259" s="216"/>
      <c r="E259" s="217"/>
      <c r="F259" s="202" t="s">
        <v>5</v>
      </c>
      <c r="G259" s="204" t="s">
        <v>375</v>
      </c>
      <c r="H259" s="205"/>
      <c r="L259" s="225"/>
      <c r="M259" s="226"/>
      <c r="N259" s="41" t="str">
        <f>B261</f>
        <v>1段目</v>
      </c>
      <c r="O259" s="41" t="str">
        <f>B262</f>
        <v>2段目</v>
      </c>
      <c r="P259" s="108" t="str">
        <f>B263</f>
        <v>3段目</v>
      </c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G259" s="17"/>
      <c r="AL259" s="21"/>
      <c r="AM259" s="21"/>
      <c r="AN259" s="21"/>
      <c r="AO259" s="21"/>
      <c r="AP259" s="21"/>
      <c r="AQ259" s="21"/>
      <c r="AR259" s="21"/>
      <c r="AS259" s="21"/>
    </row>
    <row r="260" spans="2:45" ht="18" customHeight="1">
      <c r="B260" s="215"/>
      <c r="C260" s="89" t="s">
        <v>6</v>
      </c>
      <c r="D260" s="89" t="s">
        <v>7</v>
      </c>
      <c r="E260" s="89" t="s">
        <v>8</v>
      </c>
      <c r="F260" s="203"/>
      <c r="G260" s="77" t="s">
        <v>377</v>
      </c>
      <c r="H260" s="77" t="s">
        <v>378</v>
      </c>
      <c r="L260" s="227" t="s">
        <v>468</v>
      </c>
      <c r="M260" s="49" t="s">
        <v>469</v>
      </c>
      <c r="N260" s="39">
        <f>C261</f>
        <v>0</v>
      </c>
      <c r="O260" s="39">
        <f>C262</f>
        <v>1.7</v>
      </c>
      <c r="P260" s="79">
        <f>C263</f>
        <v>3.4000000000000004</v>
      </c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G260" s="17"/>
      <c r="AL260" s="21"/>
      <c r="AM260" s="21"/>
      <c r="AN260" s="21"/>
      <c r="AO260" s="21"/>
      <c r="AP260" s="21"/>
      <c r="AQ260" s="21"/>
      <c r="AR260" s="21"/>
      <c r="AS260" s="21"/>
    </row>
    <row r="261" spans="2:45" ht="18" customHeight="1">
      <c r="B261" s="90" t="s">
        <v>35</v>
      </c>
      <c r="C261" s="71">
        <v>0</v>
      </c>
      <c r="D261" s="71">
        <f>Bfa</f>
        <v>1.5</v>
      </c>
      <c r="E261" s="71">
        <v>0</v>
      </c>
      <c r="F261" s="91">
        <f>N</f>
        <v>50</v>
      </c>
      <c r="G261" s="92">
        <f>ROUND(αk*3783*F261*(B*Lw)^-0.375,0)</f>
        <v>88587</v>
      </c>
      <c r="H261" s="92">
        <f>ROUND(G261/4,0)</f>
        <v>22147</v>
      </c>
      <c r="L261" s="228"/>
      <c r="M261" s="49" t="s">
        <v>470</v>
      </c>
      <c r="N261" s="39">
        <f>D261</f>
        <v>1.5</v>
      </c>
      <c r="O261" s="39">
        <f>D262</f>
        <v>3.2</v>
      </c>
      <c r="P261" s="79">
        <f>D263</f>
        <v>4.8</v>
      </c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G261" s="17"/>
      <c r="AL261" s="21"/>
      <c r="AM261" s="21"/>
      <c r="AN261" s="21"/>
      <c r="AO261" s="21"/>
      <c r="AP261" s="21"/>
      <c r="AQ261" s="21"/>
      <c r="AR261" s="21"/>
      <c r="AS261" s="21"/>
    </row>
    <row r="262" spans="2:45" ht="18" customHeight="1">
      <c r="B262" s="90" t="s">
        <v>36</v>
      </c>
      <c r="C262" s="71">
        <f>AD16</f>
        <v>1.7</v>
      </c>
      <c r="D262" s="71">
        <f>AD15</f>
        <v>3.2</v>
      </c>
      <c r="E262" s="71">
        <f>AE16</f>
        <v>1</v>
      </c>
      <c r="F262" s="91">
        <f>N</f>
        <v>50</v>
      </c>
      <c r="G262" s="92">
        <f>ROUND(αk*3783*F262*(B*Lw)^-0.375,0)</f>
        <v>88587</v>
      </c>
      <c r="H262" s="92">
        <f>ROUND(G262/4,0)</f>
        <v>22147</v>
      </c>
      <c r="L262" s="228"/>
      <c r="M262" s="49" t="s">
        <v>471</v>
      </c>
      <c r="N262" s="39">
        <f>E261</f>
        <v>0</v>
      </c>
      <c r="O262" s="39">
        <f>E262</f>
        <v>1</v>
      </c>
      <c r="P262" s="79">
        <f>E263</f>
        <v>2</v>
      </c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L262" s="21"/>
      <c r="AM262" s="21"/>
      <c r="AN262" s="21"/>
      <c r="AO262" s="21"/>
      <c r="AP262" s="21"/>
      <c r="AQ262" s="21"/>
      <c r="AR262" s="21"/>
      <c r="AS262" s="21"/>
    </row>
    <row r="263" spans="2:45" ht="18" customHeight="1">
      <c r="B263" s="93" t="s">
        <v>37</v>
      </c>
      <c r="C263" s="73">
        <f>AD14</f>
        <v>3.4000000000000004</v>
      </c>
      <c r="D263" s="73">
        <f>AD13</f>
        <v>4.8</v>
      </c>
      <c r="E263" s="73">
        <f>AE13</f>
        <v>2</v>
      </c>
      <c r="F263" s="94">
        <f>N</f>
        <v>50</v>
      </c>
      <c r="G263" s="95">
        <f>ROUND(αk*3783*F263*(B*Lw)^-0.375,0)</f>
        <v>88587</v>
      </c>
      <c r="H263" s="96">
        <f>ROUND(G263/4,0)</f>
        <v>22147</v>
      </c>
      <c r="L263" s="229" t="s">
        <v>472</v>
      </c>
      <c r="M263" s="230"/>
      <c r="N263" s="41">
        <f>F261</f>
        <v>50</v>
      </c>
      <c r="O263" s="41">
        <f>F262</f>
        <v>50</v>
      </c>
      <c r="P263" s="108">
        <f>F263</f>
        <v>50</v>
      </c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G263" s="17"/>
      <c r="AL263" s="21"/>
      <c r="AM263" s="21"/>
      <c r="AN263" s="21"/>
      <c r="AO263" s="21"/>
      <c r="AP263" s="21"/>
      <c r="AQ263" s="21"/>
      <c r="AR263" s="21"/>
      <c r="AS263" s="21"/>
    </row>
    <row r="264" spans="2:45" ht="18" customHeight="1">
      <c r="B264" s="123" t="s">
        <v>217</v>
      </c>
      <c r="C264" s="40"/>
      <c r="D264" s="40"/>
      <c r="E264" s="40"/>
      <c r="F264" s="43"/>
      <c r="G264" s="112"/>
      <c r="H264" s="112"/>
      <c r="L264" s="180" t="s">
        <v>473</v>
      </c>
      <c r="M264" s="49" t="s">
        <v>474</v>
      </c>
      <c r="N264" s="181">
        <f>G261</f>
        <v>88587</v>
      </c>
      <c r="O264" s="181">
        <f>G262</f>
        <v>88587</v>
      </c>
      <c r="P264" s="101">
        <f>G263</f>
        <v>88587</v>
      </c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G264" s="17"/>
      <c r="AL264" s="21"/>
      <c r="AM264" s="21"/>
      <c r="AN264" s="21"/>
      <c r="AO264" s="21"/>
      <c r="AP264" s="21"/>
      <c r="AQ264" s="21"/>
      <c r="AR264" s="21"/>
      <c r="AS264" s="21"/>
    </row>
    <row r="265" spans="2:33" ht="18" customHeight="1">
      <c r="B265" s="123" t="s">
        <v>380</v>
      </c>
      <c r="C265" s="40"/>
      <c r="D265" s="40"/>
      <c r="E265" s="40"/>
      <c r="F265" s="43"/>
      <c r="G265" s="112"/>
      <c r="H265" s="112"/>
      <c r="L265" s="126" t="s">
        <v>475</v>
      </c>
      <c r="M265" s="49" t="s">
        <v>476</v>
      </c>
      <c r="N265" s="181">
        <f>H261</f>
        <v>22147</v>
      </c>
      <c r="O265" s="181">
        <f>H262</f>
        <v>22147</v>
      </c>
      <c r="P265" s="101">
        <f>H263</f>
        <v>22147</v>
      </c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G265" s="17"/>
    </row>
    <row r="266" spans="2:33" ht="18" customHeight="1">
      <c r="B266" s="111"/>
      <c r="C266" s="40"/>
      <c r="D266" s="40"/>
      <c r="E266" s="40"/>
      <c r="F266" s="43"/>
      <c r="G266" s="112"/>
      <c r="H266" s="112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G266" s="17"/>
    </row>
    <row r="267" spans="2:33" ht="18" customHeight="1">
      <c r="B267" s="111"/>
      <c r="C267" s="40"/>
      <c r="D267" s="40"/>
      <c r="E267" s="40"/>
      <c r="F267" s="43"/>
      <c r="G267" s="112"/>
      <c r="H267" s="112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G267" s="17"/>
    </row>
    <row r="268" spans="2:34" ht="18" customHeight="1">
      <c r="B268" s="111"/>
      <c r="C268" s="40"/>
      <c r="D268" s="40"/>
      <c r="E268" s="40"/>
      <c r="F268" s="43"/>
      <c r="G268" s="112"/>
      <c r="H268" s="112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G268" s="17"/>
      <c r="AH268" s="21"/>
    </row>
    <row r="269" spans="2:34" ht="18" customHeight="1">
      <c r="B269" s="111"/>
      <c r="C269" s="40"/>
      <c r="D269" s="40"/>
      <c r="E269" s="40"/>
      <c r="F269" s="43"/>
      <c r="G269" s="112"/>
      <c r="H269" s="112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G269" s="17"/>
      <c r="AH269" s="21"/>
    </row>
    <row r="270" spans="2:34" ht="18" customHeight="1">
      <c r="B270" s="123" t="s">
        <v>220</v>
      </c>
      <c r="C270" s="40"/>
      <c r="D270" s="40"/>
      <c r="E270" s="40"/>
      <c r="F270" s="43"/>
      <c r="G270" s="112"/>
      <c r="H270" s="112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G270" s="17"/>
      <c r="AH270" s="21"/>
    </row>
    <row r="271" spans="2:34" ht="18" customHeight="1">
      <c r="B271" s="111"/>
      <c r="C271" s="40"/>
      <c r="D271" s="40"/>
      <c r="E271" s="40"/>
      <c r="F271" s="43"/>
      <c r="G271" s="112"/>
      <c r="H271" s="112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G271" s="17"/>
      <c r="AH271" s="21"/>
    </row>
    <row r="272" spans="2:35" ht="18" customHeight="1">
      <c r="B272" s="111"/>
      <c r="C272" s="40"/>
      <c r="D272" s="40"/>
      <c r="E272" s="40"/>
      <c r="F272" s="43"/>
      <c r="G272" s="112"/>
      <c r="H272" s="112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G272" s="17"/>
      <c r="AH272" s="85"/>
      <c r="AI272" s="44"/>
    </row>
    <row r="273" spans="2:34" ht="18" customHeight="1">
      <c r="B273" s="123" t="s">
        <v>225</v>
      </c>
      <c r="C273" s="40"/>
      <c r="D273" s="40"/>
      <c r="E273" s="40"/>
      <c r="F273" s="43"/>
      <c r="G273" s="112"/>
      <c r="H273" s="112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H273" s="21"/>
    </row>
    <row r="274" spans="2:27" ht="18" customHeight="1">
      <c r="B274" s="123" t="s">
        <v>226</v>
      </c>
      <c r="C274" s="40"/>
      <c r="D274" s="40"/>
      <c r="E274" s="40"/>
      <c r="F274" s="43"/>
      <c r="G274" s="112"/>
      <c r="H274" s="112"/>
      <c r="R274" s="27"/>
      <c r="S274" s="27"/>
      <c r="T274" s="27"/>
      <c r="U274" s="27"/>
      <c r="V274" s="27"/>
      <c r="W274" s="27"/>
      <c r="X274" s="27"/>
      <c r="Y274" s="27"/>
      <c r="Z274" s="27"/>
      <c r="AA274" s="27"/>
    </row>
    <row r="275" spans="2:27" ht="18" customHeight="1">
      <c r="B275" s="111"/>
      <c r="C275" s="40"/>
      <c r="D275" s="40"/>
      <c r="E275" s="40"/>
      <c r="F275" s="43"/>
      <c r="G275" s="112"/>
      <c r="H275" s="112"/>
      <c r="R275" s="27"/>
      <c r="S275" s="27"/>
      <c r="T275" s="27"/>
      <c r="U275" s="27"/>
      <c r="V275" s="27"/>
      <c r="W275" s="27"/>
      <c r="X275" s="27"/>
      <c r="Y275" s="27"/>
      <c r="Z275" s="27"/>
      <c r="AA275" s="27"/>
    </row>
    <row r="276" spans="2:27" ht="18" customHeight="1">
      <c r="B276" s="111"/>
      <c r="C276" s="40"/>
      <c r="D276" s="40"/>
      <c r="E276" s="40"/>
      <c r="F276" s="43"/>
      <c r="G276" s="112"/>
      <c r="H276" s="112"/>
      <c r="R276" s="27"/>
      <c r="S276" s="27"/>
      <c r="T276" s="27"/>
      <c r="U276" s="27"/>
      <c r="V276" s="27"/>
      <c r="W276" s="27"/>
      <c r="X276" s="27"/>
      <c r="Y276" s="27"/>
      <c r="Z276" s="27"/>
      <c r="AA276" s="27"/>
    </row>
    <row r="277" spans="3:27" ht="18" customHeight="1">
      <c r="C277" s="40"/>
      <c r="D277" s="40"/>
      <c r="E277" s="40"/>
      <c r="F277" s="43"/>
      <c r="G277" s="112"/>
      <c r="H277" s="112"/>
      <c r="R277" s="27"/>
      <c r="S277" s="27"/>
      <c r="T277" s="27"/>
      <c r="U277" s="27"/>
      <c r="V277" s="27"/>
      <c r="W277" s="27"/>
      <c r="X277" s="27"/>
      <c r="Y277" s="27"/>
      <c r="Z277" s="27"/>
      <c r="AA277" s="27"/>
    </row>
    <row r="278" spans="2:39" ht="18" customHeight="1">
      <c r="B278" s="123" t="s">
        <v>381</v>
      </c>
      <c r="C278" s="40"/>
      <c r="D278" s="40"/>
      <c r="E278" s="40"/>
      <c r="F278" s="43"/>
      <c r="G278" s="112"/>
      <c r="H278" s="112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H278" s="84"/>
      <c r="AI278" s="84"/>
      <c r="AJ278" s="17"/>
      <c r="AK278" s="17"/>
      <c r="AL278" s="17"/>
      <c r="AM278" s="17"/>
    </row>
    <row r="279" spans="2:39" ht="18" customHeight="1">
      <c r="B279" s="2" t="s">
        <v>229</v>
      </c>
      <c r="C279" s="12"/>
      <c r="D279" s="9"/>
      <c r="E279" s="16"/>
      <c r="F279" s="10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H279" s="87"/>
      <c r="AI279" s="87"/>
      <c r="AJ279" s="17"/>
      <c r="AK279" s="17"/>
      <c r="AL279" s="17"/>
      <c r="AM279" s="17"/>
    </row>
    <row r="280" spans="2:39" ht="18" customHeight="1">
      <c r="B280" s="209" t="s">
        <v>4</v>
      </c>
      <c r="C280" s="204" t="s">
        <v>374</v>
      </c>
      <c r="D280" s="216"/>
      <c r="E280" s="217"/>
      <c r="F280" s="202" t="s">
        <v>5</v>
      </c>
      <c r="G280" s="204" t="s">
        <v>375</v>
      </c>
      <c r="H280" s="205"/>
      <c r="L280" s="225"/>
      <c r="M280" s="226"/>
      <c r="N280" s="41" t="str">
        <f>B282</f>
        <v>1段目</v>
      </c>
      <c r="O280" s="41" t="str">
        <f>B283</f>
        <v>2段目</v>
      </c>
      <c r="P280" s="108" t="str">
        <f>B284</f>
        <v>3段目</v>
      </c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H280" s="17"/>
      <c r="AI280" s="17"/>
      <c r="AJ280" s="17"/>
      <c r="AK280" s="17"/>
      <c r="AL280" s="17"/>
      <c r="AM280" s="17"/>
    </row>
    <row r="281" spans="2:36" ht="18" customHeight="1">
      <c r="B281" s="215"/>
      <c r="C281" s="89" t="s">
        <v>6</v>
      </c>
      <c r="D281" s="89" t="s">
        <v>7</v>
      </c>
      <c r="E281" s="89" t="s">
        <v>8</v>
      </c>
      <c r="F281" s="203"/>
      <c r="G281" s="77" t="s">
        <v>377</v>
      </c>
      <c r="H281" s="77" t="s">
        <v>378</v>
      </c>
      <c r="L281" s="227" t="s">
        <v>477</v>
      </c>
      <c r="M281" s="49" t="s">
        <v>469</v>
      </c>
      <c r="N281" s="39">
        <f>C282</f>
        <v>0</v>
      </c>
      <c r="O281" s="39">
        <f>C283</f>
        <v>1.7</v>
      </c>
      <c r="P281" s="79">
        <f>C284</f>
        <v>3.3333808437856325</v>
      </c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J281" s="26"/>
    </row>
    <row r="282" spans="2:39" ht="18" customHeight="1">
      <c r="B282" s="90" t="s">
        <v>35</v>
      </c>
      <c r="C282" s="71">
        <f>EL303</f>
        <v>0</v>
      </c>
      <c r="D282" s="71">
        <f>IF(AD16&gt;=3*d,3*d,EM303)</f>
        <v>1.5</v>
      </c>
      <c r="E282" s="71">
        <f>E261</f>
        <v>0</v>
      </c>
      <c r="F282" s="91">
        <f>N</f>
        <v>50</v>
      </c>
      <c r="G282" s="92">
        <f>EP303</f>
        <v>88587</v>
      </c>
      <c r="H282" s="92">
        <f>G282/4</f>
        <v>22146.75</v>
      </c>
      <c r="L282" s="228"/>
      <c r="M282" s="49" t="s">
        <v>470</v>
      </c>
      <c r="N282" s="39">
        <f>D282</f>
        <v>1.5</v>
      </c>
      <c r="O282" s="39">
        <f>D283</f>
        <v>3.2</v>
      </c>
      <c r="P282" s="79">
        <f>D284</f>
        <v>3.3333808437856325</v>
      </c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H282" s="17"/>
      <c r="AI282" s="17"/>
      <c r="AJ282" s="88"/>
      <c r="AK282" s="17"/>
      <c r="AL282" s="17"/>
      <c r="AM282" s="17"/>
    </row>
    <row r="283" spans="2:39" ht="18" customHeight="1">
      <c r="B283" s="90" t="s">
        <v>36</v>
      </c>
      <c r="C283" s="71">
        <f>IF(AD16&gt;=3*d,3*d,MIN($C$262,EQ329))</f>
        <v>1.7</v>
      </c>
      <c r="D283" s="71">
        <f>IF(AD16&gt;=3*d,3*d,MIN($D$262,EQ329))</f>
        <v>3.2</v>
      </c>
      <c r="E283" s="71">
        <f>IF(AD16&gt;=3*d,0,E262)</f>
        <v>1</v>
      </c>
      <c r="F283" s="91">
        <f>N</f>
        <v>50</v>
      </c>
      <c r="G283" s="92">
        <f>IF(AD16&gt;=3*d,0,IF(EQ329&lt;=C283,0,ROUND(αk*3783*F283*(B*Lw)^-0.375,0)))</f>
        <v>88587</v>
      </c>
      <c r="H283" s="92">
        <f>IF(AD16&gt;=3*d,0,EQ304)</f>
        <v>10403.044987704327</v>
      </c>
      <c r="L283" s="228"/>
      <c r="M283" s="49" t="s">
        <v>471</v>
      </c>
      <c r="N283" s="39">
        <f>E282</f>
        <v>0</v>
      </c>
      <c r="O283" s="39">
        <f>E283</f>
        <v>1</v>
      </c>
      <c r="P283" s="79">
        <f>E284</f>
        <v>2</v>
      </c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H283" s="17"/>
      <c r="AI283" s="17"/>
      <c r="AJ283" s="17"/>
      <c r="AK283" s="17"/>
      <c r="AL283" s="17"/>
      <c r="AM283" s="17"/>
    </row>
    <row r="284" spans="2:39" ht="18" customHeight="1">
      <c r="B284" s="93" t="s">
        <v>37</v>
      </c>
      <c r="C284" s="73">
        <f>IF(AD16&gt;=3*d,3*d,MIN($C$263,EQ329))</f>
        <v>3.3333808437856325</v>
      </c>
      <c r="D284" s="73">
        <f>IF(AD16&gt;=3*d,3*d,MIN($D$263,EQ329))</f>
        <v>3.3333808437856325</v>
      </c>
      <c r="E284" s="72">
        <f>IF(AD16&gt;=3*d,0,E263)</f>
        <v>2</v>
      </c>
      <c r="F284" s="94">
        <f>N</f>
        <v>50</v>
      </c>
      <c r="G284" s="95">
        <f>IF(AD16&gt;=3*d,0,IF(EQ329&lt;=C284,0,ROUND(αk*3783*F284*(B*Lw)^-0.375,0)))</f>
        <v>0</v>
      </c>
      <c r="H284" s="96">
        <f>IF(AD16&gt;=3*d,0,EQ305)</f>
        <v>0</v>
      </c>
      <c r="L284" s="229" t="s">
        <v>472</v>
      </c>
      <c r="M284" s="230"/>
      <c r="N284" s="41">
        <f>F282</f>
        <v>50</v>
      </c>
      <c r="O284" s="41">
        <f>F283</f>
        <v>50</v>
      </c>
      <c r="P284" s="108">
        <f>F284</f>
        <v>50</v>
      </c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H284" s="17"/>
      <c r="AI284" s="17"/>
      <c r="AJ284" s="17"/>
      <c r="AK284" s="17"/>
      <c r="AL284" s="17"/>
      <c r="AM284" s="17"/>
    </row>
    <row r="285" spans="1:39" ht="18" customHeight="1">
      <c r="A285" s="128" t="s">
        <v>455</v>
      </c>
      <c r="I285" s="102"/>
      <c r="J285" s="102"/>
      <c r="K285" s="102"/>
      <c r="L285" s="180" t="s">
        <v>473</v>
      </c>
      <c r="M285" s="49" t="s">
        <v>474</v>
      </c>
      <c r="N285" s="181">
        <f>G282</f>
        <v>88587</v>
      </c>
      <c r="O285" s="181">
        <f>G283</f>
        <v>88587</v>
      </c>
      <c r="P285" s="101">
        <f>G284</f>
        <v>0</v>
      </c>
      <c r="Q285" s="102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H285" s="17"/>
      <c r="AI285" s="17"/>
      <c r="AJ285" s="17"/>
      <c r="AK285" s="88"/>
      <c r="AL285" s="17"/>
      <c r="AM285" s="17"/>
    </row>
    <row r="286" spans="2:39" ht="18" customHeight="1">
      <c r="B286" s="97" t="s">
        <v>4</v>
      </c>
      <c r="C286" s="98" t="s">
        <v>9</v>
      </c>
      <c r="D286" s="98" t="s">
        <v>10</v>
      </c>
      <c r="E286" s="98" t="s">
        <v>11</v>
      </c>
      <c r="F286" s="98" t="s">
        <v>12</v>
      </c>
      <c r="G286" s="98" t="s">
        <v>13</v>
      </c>
      <c r="H286" s="98" t="s">
        <v>14</v>
      </c>
      <c r="I286" s="102"/>
      <c r="J286" s="102"/>
      <c r="K286" s="102"/>
      <c r="L286" s="126" t="s">
        <v>475</v>
      </c>
      <c r="M286" s="49" t="s">
        <v>476</v>
      </c>
      <c r="N286" s="181">
        <f>H282</f>
        <v>22146.75</v>
      </c>
      <c r="O286" s="181">
        <f>H283</f>
        <v>10403.044987704327</v>
      </c>
      <c r="P286" s="101">
        <f>H284</f>
        <v>0</v>
      </c>
      <c r="Q286" s="102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H286" s="17"/>
      <c r="AI286" s="17"/>
      <c r="AJ286" s="17"/>
      <c r="AK286" s="88"/>
      <c r="AL286" s="17"/>
      <c r="AM286" s="17"/>
    </row>
    <row r="287" spans="2:39" ht="18" customHeight="1">
      <c r="B287" s="90" t="s">
        <v>35</v>
      </c>
      <c r="C287" s="99">
        <f>ROUND(H282*(D282-C282),0)</f>
        <v>33220</v>
      </c>
      <c r="D287" s="99">
        <f>0</f>
        <v>0</v>
      </c>
      <c r="E287" s="92">
        <f>ROUND(H282*(D282-C282)*E282,0)</f>
        <v>0</v>
      </c>
      <c r="F287" s="99">
        <f>ROUND(G282*(D282-C282),0)</f>
        <v>132881</v>
      </c>
      <c r="G287" s="99">
        <f>ROUND(0.5*G282*(D282^2-C282^2),0)</f>
        <v>99660</v>
      </c>
      <c r="H287" s="99">
        <f>ROUND(H282*(D282-C282)*E282^2+1/3*G282*(D282^3-C282^3),0)</f>
        <v>99660</v>
      </c>
      <c r="I287" s="102"/>
      <c r="J287" s="102"/>
      <c r="K287" s="102"/>
      <c r="L287" s="102"/>
      <c r="M287" s="102"/>
      <c r="N287" s="102"/>
      <c r="O287" s="102"/>
      <c r="P287" s="102"/>
      <c r="Q287" s="102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H287" s="17"/>
      <c r="AI287" s="17"/>
      <c r="AJ287" s="17"/>
      <c r="AK287" s="17"/>
      <c r="AL287" s="17"/>
      <c r="AM287" s="17"/>
    </row>
    <row r="288" spans="2:39" ht="18" customHeight="1">
      <c r="B288" s="90" t="s">
        <v>36</v>
      </c>
      <c r="C288" s="99">
        <f>ROUND(H283*(D283-C283),0)</f>
        <v>15605</v>
      </c>
      <c r="D288" s="99">
        <f>0</f>
        <v>0</v>
      </c>
      <c r="E288" s="92">
        <f>ROUND(H283*(D283-C283)*E283,0)</f>
        <v>15605</v>
      </c>
      <c r="F288" s="99">
        <f>ROUND(G283*(D283-C283),0)</f>
        <v>132881</v>
      </c>
      <c r="G288" s="99">
        <f>ROUND(0.5*G283*(D283^2-C283^2),0)</f>
        <v>325557</v>
      </c>
      <c r="H288" s="99">
        <f>ROUND(H283*(D283-C283)*E283^2+1/3*G283*(D283^3-C283^3),0)</f>
        <v>838135</v>
      </c>
      <c r="I288" s="102"/>
      <c r="J288" s="102"/>
      <c r="K288" s="102"/>
      <c r="L288" s="102"/>
      <c r="M288" s="102"/>
      <c r="N288" s="102"/>
      <c r="O288" s="102"/>
      <c r="P288" s="102"/>
      <c r="Q288" s="102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H288" s="17"/>
      <c r="AI288" s="17"/>
      <c r="AJ288" s="17"/>
      <c r="AK288" s="17"/>
      <c r="AL288" s="17"/>
      <c r="AM288" s="17"/>
    </row>
    <row r="289" spans="2:39" ht="18" customHeight="1">
      <c r="B289" s="90" t="s">
        <v>37</v>
      </c>
      <c r="C289" s="99">
        <f>ROUND(H284*(D284-C284),0)</f>
        <v>0</v>
      </c>
      <c r="D289" s="99">
        <f>0</f>
        <v>0</v>
      </c>
      <c r="E289" s="92">
        <f>ROUND(H284*(D284-C284)*E284,0)</f>
        <v>0</v>
      </c>
      <c r="F289" s="99">
        <f>ROUND(G284*(D284-C284),0)</f>
        <v>0</v>
      </c>
      <c r="G289" s="99">
        <f>ROUND(0.5*G284*(D284^2-C284^2),0)</f>
        <v>0</v>
      </c>
      <c r="H289" s="99">
        <f>ROUND(H284*(D284-C284)*E284^2+1/3*G284*(D284^3-C284^3),0)</f>
        <v>0</v>
      </c>
      <c r="I289" s="102"/>
      <c r="J289" s="102"/>
      <c r="K289" s="102"/>
      <c r="L289" s="102"/>
      <c r="M289" s="182"/>
      <c r="N289" s="41" t="str">
        <f>N280</f>
        <v>1段目</v>
      </c>
      <c r="O289" s="41" t="str">
        <f>O280</f>
        <v>2段目</v>
      </c>
      <c r="P289" s="41" t="str">
        <f>P280</f>
        <v>3段目</v>
      </c>
      <c r="Q289" s="183" t="s">
        <v>15</v>
      </c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H289" s="17"/>
      <c r="AI289" s="17"/>
      <c r="AJ289" s="17"/>
      <c r="AK289" s="17"/>
      <c r="AL289" s="88"/>
      <c r="AM289" s="17"/>
    </row>
    <row r="290" spans="2:39" ht="18" customHeight="1">
      <c r="B290" s="100" t="s">
        <v>15</v>
      </c>
      <c r="C290" s="101">
        <f aca="true" t="shared" si="21" ref="C290:H290">SUM(C287:C289)</f>
        <v>48825</v>
      </c>
      <c r="D290" s="101">
        <f t="shared" si="21"/>
        <v>0</v>
      </c>
      <c r="E290" s="101">
        <f t="shared" si="21"/>
        <v>15605</v>
      </c>
      <c r="F290" s="101">
        <f t="shared" si="21"/>
        <v>265762</v>
      </c>
      <c r="G290" s="101">
        <f t="shared" si="21"/>
        <v>425217</v>
      </c>
      <c r="H290" s="101">
        <f t="shared" si="21"/>
        <v>937795</v>
      </c>
      <c r="I290" s="102"/>
      <c r="J290" s="102"/>
      <c r="K290" s="102"/>
      <c r="L290" s="102"/>
      <c r="M290" s="184" t="s">
        <v>478</v>
      </c>
      <c r="N290" s="185">
        <f>C287</f>
        <v>33220</v>
      </c>
      <c r="O290" s="185">
        <f>C288</f>
        <v>15605</v>
      </c>
      <c r="P290" s="185">
        <f>C289</f>
        <v>0</v>
      </c>
      <c r="Q290" s="186">
        <f>C290</f>
        <v>48825</v>
      </c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H290" s="84"/>
      <c r="AI290" s="17"/>
      <c r="AJ290" s="17"/>
      <c r="AK290" s="17"/>
      <c r="AL290" s="88"/>
      <c r="AM290" s="17"/>
    </row>
    <row r="291" spans="1:39" ht="18" customHeight="1">
      <c r="A291" s="132" t="s">
        <v>454</v>
      </c>
      <c r="C291" s="11"/>
      <c r="D291" s="11"/>
      <c r="E291" s="11"/>
      <c r="F291" s="11"/>
      <c r="G291" s="17"/>
      <c r="I291" s="102"/>
      <c r="J291" s="102"/>
      <c r="K291" s="102"/>
      <c r="L291" s="102"/>
      <c r="M291" s="184" t="s">
        <v>479</v>
      </c>
      <c r="N291" s="185">
        <f>D287</f>
        <v>0</v>
      </c>
      <c r="O291" s="185">
        <f>D288</f>
        <v>0</v>
      </c>
      <c r="P291" s="185">
        <f>D289</f>
        <v>0</v>
      </c>
      <c r="Q291" s="186">
        <f>D290</f>
        <v>0</v>
      </c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H291" s="84"/>
      <c r="AI291" s="17"/>
      <c r="AJ291" s="17"/>
      <c r="AK291" s="17"/>
      <c r="AL291" s="17"/>
      <c r="AM291" s="17"/>
    </row>
    <row r="292" spans="3:27" ht="18" customHeight="1">
      <c r="C292" s="36" t="s">
        <v>16</v>
      </c>
      <c r="D292" s="18"/>
      <c r="E292" s="4" t="s">
        <v>17</v>
      </c>
      <c r="F292" s="18"/>
      <c r="G292" s="37" t="s">
        <v>18</v>
      </c>
      <c r="I292" s="102"/>
      <c r="J292" s="102"/>
      <c r="K292" s="102"/>
      <c r="L292" s="102"/>
      <c r="M292" s="184" t="s">
        <v>480</v>
      </c>
      <c r="N292" s="185">
        <f>E287</f>
        <v>0</v>
      </c>
      <c r="O292" s="185">
        <f>E288</f>
        <v>15605</v>
      </c>
      <c r="P292" s="185">
        <f>E289</f>
        <v>0</v>
      </c>
      <c r="Q292" s="186">
        <f>E290</f>
        <v>15605</v>
      </c>
      <c r="R292" s="27"/>
      <c r="S292" s="27"/>
      <c r="T292" s="27"/>
      <c r="U292" s="27"/>
      <c r="V292" s="27"/>
      <c r="W292" s="27"/>
      <c r="X292" s="27"/>
      <c r="Y292" s="27"/>
      <c r="Z292" s="27"/>
      <c r="AA292" s="27"/>
    </row>
    <row r="293" spans="3:27" ht="18" customHeight="1">
      <c r="C293" s="6">
        <f>-ΣH</f>
        <v>-285.1001716218185</v>
      </c>
      <c r="D293" s="7">
        <f>C290</f>
        <v>48825</v>
      </c>
      <c r="E293" s="7">
        <f>D290</f>
        <v>0</v>
      </c>
      <c r="F293" s="7">
        <f>E290</f>
        <v>15605</v>
      </c>
      <c r="G293" s="19" t="s">
        <v>38</v>
      </c>
      <c r="I293" s="102"/>
      <c r="J293" s="102"/>
      <c r="K293" s="102"/>
      <c r="L293" s="102"/>
      <c r="M293" s="184" t="s">
        <v>481</v>
      </c>
      <c r="N293" s="185">
        <f>F287</f>
        <v>132881</v>
      </c>
      <c r="O293" s="185">
        <f>F288</f>
        <v>132881</v>
      </c>
      <c r="P293" s="185">
        <f>F289</f>
        <v>0</v>
      </c>
      <c r="Q293" s="186">
        <f>F290</f>
        <v>265762</v>
      </c>
      <c r="R293" s="27"/>
      <c r="S293" s="27"/>
      <c r="T293" s="27"/>
      <c r="U293" s="27"/>
      <c r="V293" s="27"/>
      <c r="W293" s="27"/>
      <c r="X293" s="27"/>
      <c r="Y293" s="27"/>
      <c r="Z293" s="27"/>
      <c r="AA293" s="27"/>
    </row>
    <row r="294" spans="3:27" ht="18" customHeight="1">
      <c r="C294" s="6">
        <f>ΣV</f>
        <v>728.600679892794</v>
      </c>
      <c r="D294" s="7">
        <f>E293</f>
        <v>0</v>
      </c>
      <c r="E294" s="7">
        <f>F290</f>
        <v>265762</v>
      </c>
      <c r="F294" s="7">
        <f>G290</f>
        <v>425217</v>
      </c>
      <c r="G294" s="19" t="s">
        <v>39</v>
      </c>
      <c r="H294" s="21"/>
      <c r="I294" s="113"/>
      <c r="J294" s="113"/>
      <c r="K294" s="113"/>
      <c r="L294" s="113"/>
      <c r="M294" s="187" t="s">
        <v>482</v>
      </c>
      <c r="N294" s="7">
        <f>G287</f>
        <v>99660</v>
      </c>
      <c r="O294" s="7">
        <f>G288</f>
        <v>325557</v>
      </c>
      <c r="P294" s="7">
        <f>G289</f>
        <v>0</v>
      </c>
      <c r="Q294" s="188">
        <f>G290</f>
        <v>425217</v>
      </c>
      <c r="R294" s="27"/>
      <c r="S294" s="27"/>
      <c r="T294" s="27"/>
      <c r="U294" s="27"/>
      <c r="V294" s="27"/>
      <c r="W294" s="27"/>
      <c r="X294" s="27"/>
      <c r="Y294" s="27"/>
      <c r="Z294" s="27"/>
      <c r="AA294" s="27"/>
    </row>
    <row r="295" spans="3:27" ht="18" customHeight="1">
      <c r="C295" s="6">
        <f>ΣM</f>
        <v>674.7770082226489</v>
      </c>
      <c r="D295" s="7">
        <f>F293</f>
        <v>15605</v>
      </c>
      <c r="E295" s="7">
        <f>F294</f>
        <v>425217</v>
      </c>
      <c r="F295" s="7">
        <f>H290</f>
        <v>937795</v>
      </c>
      <c r="G295" s="5" t="s">
        <v>376</v>
      </c>
      <c r="M295" s="110" t="s">
        <v>483</v>
      </c>
      <c r="N295" s="181">
        <f>H287</f>
        <v>99660</v>
      </c>
      <c r="O295" s="181">
        <f>H288</f>
        <v>838135</v>
      </c>
      <c r="P295" s="181">
        <f>H289</f>
        <v>0</v>
      </c>
      <c r="Q295" s="101">
        <f>H290</f>
        <v>937795</v>
      </c>
      <c r="R295" s="27"/>
      <c r="S295" s="27"/>
      <c r="T295" s="27"/>
      <c r="U295" s="27"/>
      <c r="V295" s="27"/>
      <c r="W295" s="27"/>
      <c r="X295" s="27"/>
      <c r="Y295" s="27"/>
      <c r="Z295" s="27"/>
      <c r="AA295" s="27"/>
    </row>
    <row r="296" spans="1:27" ht="18" customHeight="1">
      <c r="A296" s="132" t="s">
        <v>453</v>
      </c>
      <c r="G296" s="11"/>
      <c r="R296" s="27"/>
      <c r="S296" s="27"/>
      <c r="T296" s="27"/>
      <c r="U296" s="27"/>
      <c r="V296" s="27"/>
      <c r="W296" s="27"/>
      <c r="X296" s="27"/>
      <c r="Y296" s="27"/>
      <c r="Z296" s="27"/>
      <c r="AA296" s="27"/>
    </row>
    <row r="297" spans="1:27" ht="18" customHeight="1">
      <c r="A297" s="132"/>
      <c r="B297" s="32" t="s">
        <v>230</v>
      </c>
      <c r="G297" s="11"/>
      <c r="R297" s="27"/>
      <c r="S297" s="27"/>
      <c r="T297" s="27"/>
      <c r="U297" s="27"/>
      <c r="V297" s="27"/>
      <c r="W297" s="27"/>
      <c r="X297" s="27"/>
      <c r="Y297" s="27"/>
      <c r="Z297" s="27"/>
      <c r="AA297" s="27"/>
    </row>
    <row r="298" spans="2:27" ht="18" customHeight="1">
      <c r="B298" s="1" t="s">
        <v>40</v>
      </c>
      <c r="C298" s="174">
        <f>ROUND(INDEX(MMULT(MINVERSE($D$293:$F$295),$C$293:$C$295),1),5)</f>
        <v>-0.00533</v>
      </c>
      <c r="D298" s="11" t="s">
        <v>97</v>
      </c>
      <c r="G298" s="11"/>
      <c r="H298" s="21"/>
      <c r="I298" s="111"/>
      <c r="J298" s="111"/>
      <c r="K298" s="111"/>
      <c r="L298" s="111"/>
      <c r="M298" s="111"/>
      <c r="N298" s="111"/>
      <c r="O298" s="111"/>
      <c r="P298" s="111"/>
      <c r="Q298" s="111"/>
      <c r="R298" s="27"/>
      <c r="S298" s="27"/>
      <c r="T298" s="27"/>
      <c r="U298" s="27"/>
      <c r="V298" s="27"/>
      <c r="W298" s="27"/>
      <c r="X298" s="27"/>
      <c r="Y298" s="27"/>
      <c r="Z298" s="27"/>
      <c r="AA298" s="27"/>
    </row>
    <row r="299" spans="2:39" ht="18" customHeight="1">
      <c r="B299" s="1" t="s">
        <v>41</v>
      </c>
      <c r="C299" s="174">
        <f>ROUND(INDEX(MMULT(MINVERSE($D$293:$F$295),$C$293:$C$295),2),5)</f>
        <v>0.00528</v>
      </c>
      <c r="D299" s="11" t="s">
        <v>97</v>
      </c>
      <c r="G299" s="1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M299" s="26"/>
    </row>
    <row r="300" spans="1:141" ht="18" customHeight="1">
      <c r="A300" s="132"/>
      <c r="B300" s="1" t="s">
        <v>42</v>
      </c>
      <c r="C300" s="174">
        <f>ROUND(INDEX(MMULT(MINVERSE($D$293:$F$295),$C$293:$C$295),3),6)</f>
        <v>-0.001584</v>
      </c>
      <c r="D300" s="11" t="s">
        <v>232</v>
      </c>
      <c r="E300" s="17"/>
      <c r="F300" s="17"/>
      <c r="G300" s="11"/>
      <c r="H300" s="21"/>
      <c r="I300" s="21"/>
      <c r="J300" s="21"/>
      <c r="K300" s="21"/>
      <c r="L300" s="225"/>
      <c r="M300" s="235"/>
      <c r="N300" s="189" t="s">
        <v>35</v>
      </c>
      <c r="O300" s="189" t="s">
        <v>36</v>
      </c>
      <c r="P300" s="189" t="s">
        <v>37</v>
      </c>
      <c r="Q300" s="193" t="s">
        <v>485</v>
      </c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C300" s="11" t="s">
        <v>356</v>
      </c>
      <c r="AD300" s="12"/>
      <c r="AE300" s="9"/>
      <c r="AF300" s="16"/>
      <c r="AG300" s="10"/>
      <c r="AK300" s="32" t="s">
        <v>214</v>
      </c>
      <c r="AS300" s="32" t="s">
        <v>215</v>
      </c>
      <c r="BA300" s="32" t="s">
        <v>216</v>
      </c>
      <c r="BI300" s="22" t="s">
        <v>357</v>
      </c>
      <c r="BQ300" s="22" t="s">
        <v>358</v>
      </c>
      <c r="BY300" s="22" t="s">
        <v>359</v>
      </c>
      <c r="CG300" s="22" t="s">
        <v>360</v>
      </c>
      <c r="CO300" s="22" t="s">
        <v>361</v>
      </c>
      <c r="CW300" s="22" t="s">
        <v>362</v>
      </c>
      <c r="DE300" s="22" t="s">
        <v>363</v>
      </c>
      <c r="DM300" s="22" t="s">
        <v>364</v>
      </c>
      <c r="DU300" s="22" t="s">
        <v>365</v>
      </c>
      <c r="EC300" s="22" t="s">
        <v>366</v>
      </c>
      <c r="EK300" s="22" t="s">
        <v>367</v>
      </c>
    </row>
    <row r="301" spans="1:147" ht="18" customHeight="1">
      <c r="A301" s="132" t="s">
        <v>452</v>
      </c>
      <c r="E301" s="17"/>
      <c r="F301" s="17"/>
      <c r="G301" s="11"/>
      <c r="H301" s="21"/>
      <c r="L301" s="236" t="s">
        <v>486</v>
      </c>
      <c r="M301" s="237"/>
      <c r="N301" s="39">
        <f>C305</f>
        <v>1.5</v>
      </c>
      <c r="O301" s="39">
        <f>C306</f>
        <v>1.5000000000000002</v>
      </c>
      <c r="P301" s="39">
        <f>C307</f>
        <v>0</v>
      </c>
      <c r="Q301" s="193" t="s">
        <v>487</v>
      </c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C301" s="209" t="s">
        <v>4</v>
      </c>
      <c r="AD301" s="204" t="s">
        <v>369</v>
      </c>
      <c r="AE301" s="216"/>
      <c r="AF301" s="217"/>
      <c r="AG301" s="202" t="s">
        <v>5</v>
      </c>
      <c r="AH301" s="204" t="s">
        <v>370</v>
      </c>
      <c r="AI301" s="205"/>
      <c r="AK301" s="209" t="s">
        <v>4</v>
      </c>
      <c r="AL301" s="204" t="s">
        <v>369</v>
      </c>
      <c r="AM301" s="216"/>
      <c r="AN301" s="217"/>
      <c r="AO301" s="202" t="s">
        <v>5</v>
      </c>
      <c r="AP301" s="204" t="s">
        <v>370</v>
      </c>
      <c r="AQ301" s="205"/>
      <c r="AS301" s="209" t="s">
        <v>4</v>
      </c>
      <c r="AT301" s="204" t="s">
        <v>369</v>
      </c>
      <c r="AU301" s="216"/>
      <c r="AV301" s="217"/>
      <c r="AW301" s="202" t="s">
        <v>5</v>
      </c>
      <c r="AX301" s="204" t="s">
        <v>370</v>
      </c>
      <c r="AY301" s="205"/>
      <c r="BA301" s="209" t="s">
        <v>4</v>
      </c>
      <c r="BB301" s="204" t="s">
        <v>369</v>
      </c>
      <c r="BC301" s="216"/>
      <c r="BD301" s="217"/>
      <c r="BE301" s="202" t="s">
        <v>5</v>
      </c>
      <c r="BF301" s="204" t="s">
        <v>370</v>
      </c>
      <c r="BG301" s="205"/>
      <c r="BI301" s="209" t="s">
        <v>4</v>
      </c>
      <c r="BJ301" s="204" t="s">
        <v>369</v>
      </c>
      <c r="BK301" s="216"/>
      <c r="BL301" s="217"/>
      <c r="BM301" s="202" t="s">
        <v>5</v>
      </c>
      <c r="BN301" s="204" t="s">
        <v>370</v>
      </c>
      <c r="BO301" s="205"/>
      <c r="BQ301" s="209" t="s">
        <v>4</v>
      </c>
      <c r="BR301" s="204" t="s">
        <v>369</v>
      </c>
      <c r="BS301" s="216"/>
      <c r="BT301" s="217"/>
      <c r="BU301" s="202" t="s">
        <v>5</v>
      </c>
      <c r="BV301" s="204" t="s">
        <v>370</v>
      </c>
      <c r="BW301" s="205"/>
      <c r="BY301" s="209" t="s">
        <v>4</v>
      </c>
      <c r="BZ301" s="204" t="s">
        <v>369</v>
      </c>
      <c r="CA301" s="216"/>
      <c r="CB301" s="217"/>
      <c r="CC301" s="202" t="s">
        <v>5</v>
      </c>
      <c r="CD301" s="204" t="s">
        <v>370</v>
      </c>
      <c r="CE301" s="205"/>
      <c r="CG301" s="209" t="s">
        <v>4</v>
      </c>
      <c r="CH301" s="204" t="s">
        <v>369</v>
      </c>
      <c r="CI301" s="216"/>
      <c r="CJ301" s="217"/>
      <c r="CK301" s="202" t="s">
        <v>5</v>
      </c>
      <c r="CL301" s="204" t="s">
        <v>370</v>
      </c>
      <c r="CM301" s="205"/>
      <c r="CO301" s="209" t="s">
        <v>4</v>
      </c>
      <c r="CP301" s="204" t="s">
        <v>369</v>
      </c>
      <c r="CQ301" s="216"/>
      <c r="CR301" s="217"/>
      <c r="CS301" s="202" t="s">
        <v>5</v>
      </c>
      <c r="CT301" s="204" t="s">
        <v>370</v>
      </c>
      <c r="CU301" s="205"/>
      <c r="CW301" s="209" t="s">
        <v>4</v>
      </c>
      <c r="CX301" s="204" t="s">
        <v>369</v>
      </c>
      <c r="CY301" s="216"/>
      <c r="CZ301" s="217"/>
      <c r="DA301" s="202" t="s">
        <v>5</v>
      </c>
      <c r="DB301" s="204" t="s">
        <v>370</v>
      </c>
      <c r="DC301" s="205"/>
      <c r="DE301" s="209" t="s">
        <v>4</v>
      </c>
      <c r="DF301" s="204" t="s">
        <v>369</v>
      </c>
      <c r="DG301" s="216"/>
      <c r="DH301" s="217"/>
      <c r="DI301" s="202" t="s">
        <v>5</v>
      </c>
      <c r="DJ301" s="204" t="s">
        <v>370</v>
      </c>
      <c r="DK301" s="205"/>
      <c r="DM301" s="209" t="s">
        <v>4</v>
      </c>
      <c r="DN301" s="204" t="s">
        <v>369</v>
      </c>
      <c r="DO301" s="216"/>
      <c r="DP301" s="217"/>
      <c r="DQ301" s="202" t="s">
        <v>5</v>
      </c>
      <c r="DR301" s="204" t="s">
        <v>370</v>
      </c>
      <c r="DS301" s="205"/>
      <c r="DU301" s="209" t="s">
        <v>4</v>
      </c>
      <c r="DV301" s="204" t="s">
        <v>369</v>
      </c>
      <c r="DW301" s="216"/>
      <c r="DX301" s="217"/>
      <c r="DY301" s="202" t="s">
        <v>5</v>
      </c>
      <c r="DZ301" s="204" t="s">
        <v>370</v>
      </c>
      <c r="EA301" s="205"/>
      <c r="EC301" s="209" t="s">
        <v>4</v>
      </c>
      <c r="ED301" s="204" t="s">
        <v>369</v>
      </c>
      <c r="EE301" s="216"/>
      <c r="EF301" s="217"/>
      <c r="EG301" s="202" t="s">
        <v>5</v>
      </c>
      <c r="EH301" s="204" t="s">
        <v>370</v>
      </c>
      <c r="EI301" s="205"/>
      <c r="EK301" s="209" t="s">
        <v>4</v>
      </c>
      <c r="EL301" s="204" t="s">
        <v>369</v>
      </c>
      <c r="EM301" s="216"/>
      <c r="EN301" s="217"/>
      <c r="EO301" s="202" t="s">
        <v>5</v>
      </c>
      <c r="EP301" s="204" t="s">
        <v>370</v>
      </c>
      <c r="EQ301" s="205"/>
    </row>
    <row r="302" spans="2:147" ht="18" customHeight="1">
      <c r="B302" s="209" t="s">
        <v>4</v>
      </c>
      <c r="C302" s="212" t="s">
        <v>382</v>
      </c>
      <c r="D302" s="204" t="s">
        <v>21</v>
      </c>
      <c r="E302" s="216"/>
      <c r="F302" s="216"/>
      <c r="G302" s="217"/>
      <c r="H302" s="218" t="s">
        <v>22</v>
      </c>
      <c r="I302" s="216"/>
      <c r="J302" s="21"/>
      <c r="K302" s="21"/>
      <c r="L302" s="227" t="s">
        <v>488</v>
      </c>
      <c r="M302" s="190" t="s">
        <v>489</v>
      </c>
      <c r="N302" s="39">
        <f>D305</f>
        <v>467.74</v>
      </c>
      <c r="O302" s="39">
        <f>D306</f>
        <v>229.19</v>
      </c>
      <c r="P302" s="39">
        <f>D307</f>
        <v>0</v>
      </c>
      <c r="Q302" s="193" t="s">
        <v>490</v>
      </c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C302" s="215"/>
      <c r="AD302" s="89" t="s">
        <v>6</v>
      </c>
      <c r="AE302" s="89" t="s">
        <v>7</v>
      </c>
      <c r="AF302" s="89" t="s">
        <v>8</v>
      </c>
      <c r="AG302" s="203"/>
      <c r="AH302" s="77" t="s">
        <v>371</v>
      </c>
      <c r="AI302" s="77" t="s">
        <v>372</v>
      </c>
      <c r="AK302" s="215"/>
      <c r="AL302" s="89" t="s">
        <v>6</v>
      </c>
      <c r="AM302" s="89" t="s">
        <v>7</v>
      </c>
      <c r="AN302" s="89" t="s">
        <v>8</v>
      </c>
      <c r="AO302" s="203"/>
      <c r="AP302" s="77" t="s">
        <v>371</v>
      </c>
      <c r="AQ302" s="77" t="s">
        <v>372</v>
      </c>
      <c r="AS302" s="215"/>
      <c r="AT302" s="89" t="s">
        <v>6</v>
      </c>
      <c r="AU302" s="89" t="s">
        <v>7</v>
      </c>
      <c r="AV302" s="89" t="s">
        <v>8</v>
      </c>
      <c r="AW302" s="203"/>
      <c r="AX302" s="77" t="s">
        <v>371</v>
      </c>
      <c r="AY302" s="77" t="s">
        <v>372</v>
      </c>
      <c r="BA302" s="215"/>
      <c r="BB302" s="89" t="s">
        <v>6</v>
      </c>
      <c r="BC302" s="89" t="s">
        <v>7</v>
      </c>
      <c r="BD302" s="89" t="s">
        <v>8</v>
      </c>
      <c r="BE302" s="203"/>
      <c r="BF302" s="77" t="s">
        <v>371</v>
      </c>
      <c r="BG302" s="77" t="s">
        <v>372</v>
      </c>
      <c r="BI302" s="215"/>
      <c r="BJ302" s="89" t="s">
        <v>6</v>
      </c>
      <c r="BK302" s="89" t="s">
        <v>7</v>
      </c>
      <c r="BL302" s="89" t="s">
        <v>8</v>
      </c>
      <c r="BM302" s="203"/>
      <c r="BN302" s="77" t="s">
        <v>371</v>
      </c>
      <c r="BO302" s="77" t="s">
        <v>372</v>
      </c>
      <c r="BQ302" s="215"/>
      <c r="BR302" s="89" t="s">
        <v>6</v>
      </c>
      <c r="BS302" s="89" t="s">
        <v>7</v>
      </c>
      <c r="BT302" s="89" t="s">
        <v>8</v>
      </c>
      <c r="BU302" s="203"/>
      <c r="BV302" s="77" t="s">
        <v>371</v>
      </c>
      <c r="BW302" s="77" t="s">
        <v>372</v>
      </c>
      <c r="BY302" s="215"/>
      <c r="BZ302" s="89" t="s">
        <v>6</v>
      </c>
      <c r="CA302" s="89" t="s">
        <v>7</v>
      </c>
      <c r="CB302" s="89" t="s">
        <v>8</v>
      </c>
      <c r="CC302" s="203"/>
      <c r="CD302" s="77" t="s">
        <v>371</v>
      </c>
      <c r="CE302" s="77" t="s">
        <v>372</v>
      </c>
      <c r="CG302" s="215"/>
      <c r="CH302" s="89" t="s">
        <v>6</v>
      </c>
      <c r="CI302" s="89" t="s">
        <v>7</v>
      </c>
      <c r="CJ302" s="89" t="s">
        <v>8</v>
      </c>
      <c r="CK302" s="203"/>
      <c r="CL302" s="77" t="s">
        <v>371</v>
      </c>
      <c r="CM302" s="77" t="s">
        <v>372</v>
      </c>
      <c r="CO302" s="215"/>
      <c r="CP302" s="89" t="s">
        <v>6</v>
      </c>
      <c r="CQ302" s="89" t="s">
        <v>7</v>
      </c>
      <c r="CR302" s="89" t="s">
        <v>8</v>
      </c>
      <c r="CS302" s="203"/>
      <c r="CT302" s="77" t="s">
        <v>371</v>
      </c>
      <c r="CU302" s="77" t="s">
        <v>372</v>
      </c>
      <c r="CW302" s="215"/>
      <c r="CX302" s="89" t="s">
        <v>6</v>
      </c>
      <c r="CY302" s="89" t="s">
        <v>7</v>
      </c>
      <c r="CZ302" s="89" t="s">
        <v>8</v>
      </c>
      <c r="DA302" s="203"/>
      <c r="DB302" s="77" t="s">
        <v>371</v>
      </c>
      <c r="DC302" s="77" t="s">
        <v>372</v>
      </c>
      <c r="DE302" s="215"/>
      <c r="DF302" s="89" t="s">
        <v>6</v>
      </c>
      <c r="DG302" s="89" t="s">
        <v>7</v>
      </c>
      <c r="DH302" s="89" t="s">
        <v>8</v>
      </c>
      <c r="DI302" s="203"/>
      <c r="DJ302" s="77" t="s">
        <v>371</v>
      </c>
      <c r="DK302" s="77" t="s">
        <v>372</v>
      </c>
      <c r="DM302" s="215"/>
      <c r="DN302" s="89" t="s">
        <v>6</v>
      </c>
      <c r="DO302" s="89" t="s">
        <v>7</v>
      </c>
      <c r="DP302" s="89" t="s">
        <v>8</v>
      </c>
      <c r="DQ302" s="203"/>
      <c r="DR302" s="77" t="s">
        <v>371</v>
      </c>
      <c r="DS302" s="77" t="s">
        <v>372</v>
      </c>
      <c r="DU302" s="215"/>
      <c r="DV302" s="89" t="s">
        <v>6</v>
      </c>
      <c r="DW302" s="89" t="s">
        <v>7</v>
      </c>
      <c r="DX302" s="89" t="s">
        <v>8</v>
      </c>
      <c r="DY302" s="203"/>
      <c r="DZ302" s="77" t="s">
        <v>371</v>
      </c>
      <c r="EA302" s="77" t="s">
        <v>372</v>
      </c>
      <c r="EC302" s="215"/>
      <c r="ED302" s="89" t="s">
        <v>6</v>
      </c>
      <c r="EE302" s="89" t="s">
        <v>7</v>
      </c>
      <c r="EF302" s="89" t="s">
        <v>8</v>
      </c>
      <c r="EG302" s="203"/>
      <c r="EH302" s="77" t="s">
        <v>371</v>
      </c>
      <c r="EI302" s="77" t="s">
        <v>372</v>
      </c>
      <c r="EK302" s="215"/>
      <c r="EL302" s="89" t="s">
        <v>6</v>
      </c>
      <c r="EM302" s="89" t="s">
        <v>7</v>
      </c>
      <c r="EN302" s="89" t="s">
        <v>8</v>
      </c>
      <c r="EO302" s="203"/>
      <c r="EP302" s="77" t="s">
        <v>371</v>
      </c>
      <c r="EQ302" s="77" t="s">
        <v>372</v>
      </c>
    </row>
    <row r="303" spans="2:147" ht="18" customHeight="1">
      <c r="B303" s="210"/>
      <c r="C303" s="213"/>
      <c r="D303" s="103" t="s">
        <v>234</v>
      </c>
      <c r="E303" s="103" t="s">
        <v>235</v>
      </c>
      <c r="F303" s="103" t="s">
        <v>23</v>
      </c>
      <c r="G303" s="8" t="s">
        <v>24</v>
      </c>
      <c r="H303" s="35" t="s">
        <v>25</v>
      </c>
      <c r="I303" s="103" t="s">
        <v>23</v>
      </c>
      <c r="J303" s="176"/>
      <c r="K303" s="176"/>
      <c r="L303" s="238"/>
      <c r="M303" s="190" t="s">
        <v>484</v>
      </c>
      <c r="N303" s="39">
        <f>E305</f>
        <v>257.26</v>
      </c>
      <c r="O303" s="39">
        <f>E306</f>
        <v>18.71</v>
      </c>
      <c r="P303" s="39">
        <f>E307</f>
        <v>0</v>
      </c>
      <c r="Q303" s="193" t="s">
        <v>490</v>
      </c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C303" s="90" t="s">
        <v>35</v>
      </c>
      <c r="AD303" s="71">
        <v>0</v>
      </c>
      <c r="AE303" s="71">
        <f>$D$261</f>
        <v>1.5</v>
      </c>
      <c r="AF303" s="71">
        <v>0</v>
      </c>
      <c r="AG303" s="91">
        <f>N</f>
        <v>50</v>
      </c>
      <c r="AH303" s="92">
        <f>ROUND(αk*3783*AG303*(B*Lw)^-0.375,0)</f>
        <v>88587</v>
      </c>
      <c r="AI303" s="92">
        <f>ROUND(AH303/4,0)</f>
        <v>22147</v>
      </c>
      <c r="AK303" s="90" t="s">
        <v>35</v>
      </c>
      <c r="AL303" s="71">
        <v>0</v>
      </c>
      <c r="AM303" s="71">
        <f>$D$261</f>
        <v>1.5</v>
      </c>
      <c r="AN303" s="71">
        <v>0</v>
      </c>
      <c r="AO303" s="91">
        <f>N</f>
        <v>50</v>
      </c>
      <c r="AP303" s="92">
        <f>ROUND(αk*3783*AO303*(B*Lw)^-0.375,0)</f>
        <v>88587</v>
      </c>
      <c r="AQ303" s="92">
        <f>AH330</f>
        <v>22147</v>
      </c>
      <c r="AS303" s="90" t="s">
        <v>35</v>
      </c>
      <c r="AT303" s="71">
        <v>0</v>
      </c>
      <c r="AU303" s="71">
        <f>$D$261</f>
        <v>1.5</v>
      </c>
      <c r="AV303" s="71">
        <v>0</v>
      </c>
      <c r="AW303" s="91">
        <f>N</f>
        <v>50</v>
      </c>
      <c r="AX303" s="92">
        <f>ROUND(αk*3783*AW303*(B*Lw)^-0.375,0)</f>
        <v>88587</v>
      </c>
      <c r="AY303" s="92">
        <f>AP330</f>
        <v>22147</v>
      </c>
      <c r="BA303" s="90" t="s">
        <v>35</v>
      </c>
      <c r="BB303" s="71">
        <v>0</v>
      </c>
      <c r="BC303" s="71">
        <f>$D$261</f>
        <v>1.5</v>
      </c>
      <c r="BD303" s="71">
        <v>0</v>
      </c>
      <c r="BE303" s="91">
        <f>N</f>
        <v>50</v>
      </c>
      <c r="BF303" s="92">
        <f>ROUND(αk*3783*BE303*(B*Lw)^-0.375,0)</f>
        <v>88587</v>
      </c>
      <c r="BG303" s="92">
        <f>AX330</f>
        <v>22147</v>
      </c>
      <c r="BI303" s="90" t="s">
        <v>35</v>
      </c>
      <c r="BJ303" s="71">
        <v>0</v>
      </c>
      <c r="BK303" s="71">
        <f>$D$261</f>
        <v>1.5</v>
      </c>
      <c r="BL303" s="71">
        <v>0</v>
      </c>
      <c r="BM303" s="91">
        <f>N</f>
        <v>50</v>
      </c>
      <c r="BN303" s="92">
        <f>ROUND(αk*3783*BM303*(B*Lw)^-0.375,0)</f>
        <v>88587</v>
      </c>
      <c r="BO303" s="92">
        <f>BF330</f>
        <v>22147</v>
      </c>
      <c r="BQ303" s="90" t="s">
        <v>35</v>
      </c>
      <c r="BR303" s="71">
        <v>0</v>
      </c>
      <c r="BS303" s="71">
        <f>$D$261</f>
        <v>1.5</v>
      </c>
      <c r="BT303" s="71">
        <v>0</v>
      </c>
      <c r="BU303" s="91">
        <f>N</f>
        <v>50</v>
      </c>
      <c r="BV303" s="92">
        <f>ROUND(αk*3783*BU303*(B*Lw)^-0.375,0)</f>
        <v>88587</v>
      </c>
      <c r="BW303" s="92">
        <f>BN330</f>
        <v>22147</v>
      </c>
      <c r="BY303" s="90" t="s">
        <v>35</v>
      </c>
      <c r="BZ303" s="71">
        <v>0</v>
      </c>
      <c r="CA303" s="71">
        <f>$D$261</f>
        <v>1.5</v>
      </c>
      <c r="CB303" s="71">
        <v>0</v>
      </c>
      <c r="CC303" s="91">
        <f>N</f>
        <v>50</v>
      </c>
      <c r="CD303" s="92">
        <f>ROUND(αk*3783*CC303*(B*Lw)^-0.375,0)</f>
        <v>88587</v>
      </c>
      <c r="CE303" s="92">
        <f>BV330</f>
        <v>22147</v>
      </c>
      <c r="CG303" s="90" t="s">
        <v>35</v>
      </c>
      <c r="CH303" s="71">
        <v>0</v>
      </c>
      <c r="CI303" s="71">
        <f>$D$261</f>
        <v>1.5</v>
      </c>
      <c r="CJ303" s="71">
        <v>0</v>
      </c>
      <c r="CK303" s="91">
        <f>N</f>
        <v>50</v>
      </c>
      <c r="CL303" s="92">
        <f>ROUND(αk*3783*CK303*(B*Lw)^-0.375,0)</f>
        <v>88587</v>
      </c>
      <c r="CM303" s="92">
        <f>CD330</f>
        <v>22147</v>
      </c>
      <c r="CO303" s="90" t="s">
        <v>35</v>
      </c>
      <c r="CP303" s="71">
        <v>0</v>
      </c>
      <c r="CQ303" s="71">
        <f>$D$261</f>
        <v>1.5</v>
      </c>
      <c r="CR303" s="71">
        <v>0</v>
      </c>
      <c r="CS303" s="91">
        <f>N</f>
        <v>50</v>
      </c>
      <c r="CT303" s="92">
        <f>ROUND(αk*3783*CS303*(B*Lw)^-0.375,0)</f>
        <v>88587</v>
      </c>
      <c r="CU303" s="92">
        <f>CL330</f>
        <v>22147</v>
      </c>
      <c r="CW303" s="90" t="s">
        <v>35</v>
      </c>
      <c r="CX303" s="71">
        <v>0</v>
      </c>
      <c r="CY303" s="71">
        <f>$D$261</f>
        <v>1.5</v>
      </c>
      <c r="CZ303" s="71">
        <v>0</v>
      </c>
      <c r="DA303" s="91">
        <f>N</f>
        <v>50</v>
      </c>
      <c r="DB303" s="92">
        <f>ROUND(αk*3783*DA303*(B*Lw)^-0.375,0)</f>
        <v>88587</v>
      </c>
      <c r="DC303" s="92">
        <f>CT330</f>
        <v>22147</v>
      </c>
      <c r="DE303" s="90" t="s">
        <v>35</v>
      </c>
      <c r="DF303" s="71">
        <v>0</v>
      </c>
      <c r="DG303" s="71">
        <f>$D$261</f>
        <v>1.5</v>
      </c>
      <c r="DH303" s="71">
        <v>0</v>
      </c>
      <c r="DI303" s="91">
        <f>N</f>
        <v>50</v>
      </c>
      <c r="DJ303" s="92">
        <f>ROUND(αk*3783*DI303*(B*Lw)^-0.375,0)</f>
        <v>88587</v>
      </c>
      <c r="DK303" s="92">
        <f>DB330</f>
        <v>22147</v>
      </c>
      <c r="DM303" s="90" t="s">
        <v>35</v>
      </c>
      <c r="DN303" s="71">
        <v>0</v>
      </c>
      <c r="DO303" s="71">
        <f>$D$261</f>
        <v>1.5</v>
      </c>
      <c r="DP303" s="71">
        <v>0</v>
      </c>
      <c r="DQ303" s="91">
        <f>N</f>
        <v>50</v>
      </c>
      <c r="DR303" s="92">
        <f>ROUND(αk*3783*DQ303*(B*Lw)^-0.375,0)</f>
        <v>88587</v>
      </c>
      <c r="DS303" s="92">
        <f>DJ330</f>
        <v>22147</v>
      </c>
      <c r="DU303" s="90" t="s">
        <v>35</v>
      </c>
      <c r="DV303" s="71">
        <v>0</v>
      </c>
      <c r="DW303" s="71">
        <f>$D$261</f>
        <v>1.5</v>
      </c>
      <c r="DX303" s="71">
        <v>0</v>
      </c>
      <c r="DY303" s="91">
        <f>N</f>
        <v>50</v>
      </c>
      <c r="DZ303" s="92">
        <f>ROUND(αk*3783*DY303*(B*Lw)^-0.375,0)</f>
        <v>88587</v>
      </c>
      <c r="EA303" s="92">
        <f>DR330</f>
        <v>22147</v>
      </c>
      <c r="EC303" s="90" t="s">
        <v>35</v>
      </c>
      <c r="ED303" s="71">
        <v>0</v>
      </c>
      <c r="EE303" s="71">
        <f>$D$261</f>
        <v>1.5</v>
      </c>
      <c r="EF303" s="71">
        <v>0</v>
      </c>
      <c r="EG303" s="91">
        <f>N</f>
        <v>50</v>
      </c>
      <c r="EH303" s="92">
        <f>ROUND(αk*3783*EG303*(B*Lw)^-0.375,0)</f>
        <v>88587</v>
      </c>
      <c r="EI303" s="92">
        <f>DZ330</f>
        <v>22147</v>
      </c>
      <c r="EK303" s="90" t="s">
        <v>35</v>
      </c>
      <c r="EL303" s="71">
        <v>0</v>
      </c>
      <c r="EM303" s="71">
        <f>$D$261</f>
        <v>1.5</v>
      </c>
      <c r="EN303" s="71">
        <v>0</v>
      </c>
      <c r="EO303" s="91">
        <f>N</f>
        <v>50</v>
      </c>
      <c r="EP303" s="92">
        <f>ROUND(αk*3783*EO303*(B*Lw)^-0.375,0)</f>
        <v>88587</v>
      </c>
      <c r="EQ303" s="92">
        <f>EH330</f>
        <v>22147</v>
      </c>
    </row>
    <row r="304" spans="2:147" ht="18" customHeight="1">
      <c r="B304" s="211"/>
      <c r="C304" s="214"/>
      <c r="D304" s="104" t="s">
        <v>26</v>
      </c>
      <c r="E304" s="104" t="s">
        <v>27</v>
      </c>
      <c r="F304" s="105" t="s">
        <v>28</v>
      </c>
      <c r="G304" s="105" t="s">
        <v>29</v>
      </c>
      <c r="H304" s="104" t="s">
        <v>30</v>
      </c>
      <c r="I304" s="105" t="s">
        <v>31</v>
      </c>
      <c r="J304" s="114"/>
      <c r="K304" s="114"/>
      <c r="L304" s="238"/>
      <c r="M304" s="190" t="s">
        <v>491</v>
      </c>
      <c r="N304" s="191">
        <f>H305</f>
        <v>-118.04</v>
      </c>
      <c r="O304" s="191">
        <f>H306</f>
        <v>-71.93</v>
      </c>
      <c r="P304" s="191">
        <f>H307</f>
        <v>0</v>
      </c>
      <c r="Q304" s="193" t="s">
        <v>490</v>
      </c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C304" s="90" t="s">
        <v>36</v>
      </c>
      <c r="AD304" s="71">
        <f>$C$262</f>
        <v>1.7</v>
      </c>
      <c r="AE304" s="71">
        <f>$D$262</f>
        <v>3.2</v>
      </c>
      <c r="AF304" s="71">
        <f>$E$262</f>
        <v>1</v>
      </c>
      <c r="AG304" s="91">
        <f>N</f>
        <v>50</v>
      </c>
      <c r="AH304" s="92">
        <f>ROUND(αk*3783*AG304*(B*Lw)^-0.375,0)</f>
        <v>88587</v>
      </c>
      <c r="AI304" s="92">
        <f>ROUND(AH304/4,0)</f>
        <v>22147</v>
      </c>
      <c r="AK304" s="90" t="s">
        <v>36</v>
      </c>
      <c r="AL304" s="71">
        <f>MIN($C$262,AI329)</f>
        <v>1.7</v>
      </c>
      <c r="AM304" s="71">
        <f>MIN($D$262,AI329)</f>
        <v>3.2</v>
      </c>
      <c r="AN304" s="71">
        <f>$E$262</f>
        <v>1</v>
      </c>
      <c r="AO304" s="91">
        <f>N</f>
        <v>50</v>
      </c>
      <c r="AP304" s="92">
        <f>IF(AI329&lt;=AL304,0,ROUND(αk*3783*AO304*(B*Lw)^-0.375,0))</f>
        <v>88587</v>
      </c>
      <c r="AQ304" s="92">
        <f>AH331</f>
        <v>22147</v>
      </c>
      <c r="AS304" s="90" t="s">
        <v>36</v>
      </c>
      <c r="AT304" s="71">
        <f>MIN($C$262,AQ329)</f>
        <v>1.7</v>
      </c>
      <c r="AU304" s="71">
        <f>MIN($D$262,AQ329)</f>
        <v>3.2</v>
      </c>
      <c r="AV304" s="71">
        <f>$E$262</f>
        <v>1</v>
      </c>
      <c r="AW304" s="91">
        <f>N</f>
        <v>50</v>
      </c>
      <c r="AX304" s="92">
        <f>IF(AQ329&lt;=AT304,0,ROUND(αk*3783*AW304*(B*Lw)^-0.375,0))</f>
        <v>88587</v>
      </c>
      <c r="AY304" s="92">
        <f>AP331</f>
        <v>19746.699669966998</v>
      </c>
      <c r="BA304" s="90" t="s">
        <v>36</v>
      </c>
      <c r="BB304" s="71">
        <f>MIN($C$262,AY329)</f>
        <v>1.7</v>
      </c>
      <c r="BC304" s="71">
        <f>MIN($D$262,AY329)</f>
        <v>3.2</v>
      </c>
      <c r="BD304" s="71">
        <f>$E$262</f>
        <v>1</v>
      </c>
      <c r="BE304" s="91">
        <f>N</f>
        <v>50</v>
      </c>
      <c r="BF304" s="92">
        <f>IF(AY329&lt;=BB304,0,ROUND(αk*3783*BE304*(B*Lw)^-0.375,0))</f>
        <v>88587</v>
      </c>
      <c r="BG304" s="92">
        <f>AX331</f>
        <v>15728.88888888889</v>
      </c>
      <c r="BI304" s="90" t="s">
        <v>36</v>
      </c>
      <c r="BJ304" s="71">
        <f>MIN($C$262,BG329)</f>
        <v>1.7</v>
      </c>
      <c r="BK304" s="71">
        <f>MIN($D$262,BG329)</f>
        <v>3.2</v>
      </c>
      <c r="BL304" s="71">
        <f>$E$262</f>
        <v>1</v>
      </c>
      <c r="BM304" s="91">
        <f>N</f>
        <v>50</v>
      </c>
      <c r="BN304" s="92">
        <f>IF(BG329&lt;=BJ304,0,ROUND(αk*3783*BM304*(B*Lw)^-0.375,0))</f>
        <v>88587</v>
      </c>
      <c r="BO304" s="92">
        <f>BF331</f>
        <v>13311.762034514079</v>
      </c>
      <c r="BQ304" s="90" t="s">
        <v>36</v>
      </c>
      <c r="BR304" s="71">
        <f>MIN($C$262,BO329)</f>
        <v>1.7</v>
      </c>
      <c r="BS304" s="71">
        <f>MIN($D$262,BO329)</f>
        <v>3.2</v>
      </c>
      <c r="BT304" s="71">
        <f>$E$262</f>
        <v>1</v>
      </c>
      <c r="BU304" s="91">
        <f>N</f>
        <v>50</v>
      </c>
      <c r="BV304" s="92">
        <f>IF(BO329&lt;=BR304,0,ROUND(αk*3783*BU304*(B*Lw)^-0.375,0))</f>
        <v>88587</v>
      </c>
      <c r="BW304" s="92">
        <f>BN331</f>
        <v>11963.567307183315</v>
      </c>
      <c r="BY304" s="90" t="s">
        <v>36</v>
      </c>
      <c r="BZ304" s="71">
        <f>MIN($C$262,BW329)</f>
        <v>1.7</v>
      </c>
      <c r="CA304" s="71">
        <f>MIN($D$262,BW329)</f>
        <v>3.2</v>
      </c>
      <c r="CB304" s="71">
        <f>$E$262</f>
        <v>1</v>
      </c>
      <c r="CC304" s="91">
        <f>N</f>
        <v>50</v>
      </c>
      <c r="CD304" s="92">
        <f>IF(BW329&lt;=BZ304,0,ROUND(αk*3783*CC304*(B*Lw)^-0.375,0))</f>
        <v>88587</v>
      </c>
      <c r="CE304" s="92">
        <f>BV331</f>
        <v>11260.587847433557</v>
      </c>
      <c r="CG304" s="90" t="s">
        <v>36</v>
      </c>
      <c r="CH304" s="71">
        <f>MIN($C$262,CE329)</f>
        <v>1.7</v>
      </c>
      <c r="CI304" s="71">
        <f>MIN($D$262,CE329)</f>
        <v>3.2</v>
      </c>
      <c r="CJ304" s="71">
        <f>$E$262</f>
        <v>1</v>
      </c>
      <c r="CK304" s="91">
        <f>N</f>
        <v>50</v>
      </c>
      <c r="CL304" s="92">
        <f>IF(CE329&lt;=CH304,0,ROUND(αk*3783*CK304*(B*Lw)^-0.375,0))</f>
        <v>88587</v>
      </c>
      <c r="CM304" s="92">
        <f>CD331</f>
        <v>10883.797054009821</v>
      </c>
      <c r="CO304" s="90" t="s">
        <v>36</v>
      </c>
      <c r="CP304" s="71">
        <f>MIN($C$262,CM329)</f>
        <v>1.7</v>
      </c>
      <c r="CQ304" s="71">
        <f>MIN($D$262,CM329)</f>
        <v>3.2</v>
      </c>
      <c r="CR304" s="71">
        <f>$E$262</f>
        <v>1</v>
      </c>
      <c r="CS304" s="91">
        <f>N</f>
        <v>50</v>
      </c>
      <c r="CT304" s="92">
        <f>IF(CM329&lt;=CP304,0,ROUND(αk*3783*CS304*(B*Lw)^-0.375,0))</f>
        <v>88587</v>
      </c>
      <c r="CU304" s="92">
        <f>CL331</f>
        <v>10629.924631723195</v>
      </c>
      <c r="CW304" s="90" t="s">
        <v>36</v>
      </c>
      <c r="CX304" s="71">
        <f>MIN($C$262,CU329)</f>
        <v>1.7</v>
      </c>
      <c r="CY304" s="71">
        <f>MIN($D$262,CU329)</f>
        <v>3.2</v>
      </c>
      <c r="CZ304" s="71">
        <f>$E$262</f>
        <v>1</v>
      </c>
      <c r="DA304" s="91">
        <f>N</f>
        <v>50</v>
      </c>
      <c r="DB304" s="92">
        <f>IF(CU329&lt;=CX304,0,ROUND(αk*3783*DA304*(B*Lw)^-0.375,0))</f>
        <v>88587</v>
      </c>
      <c r="DC304" s="92">
        <f>CT331</f>
        <v>10562.93680838672</v>
      </c>
      <c r="DE304" s="90" t="s">
        <v>36</v>
      </c>
      <c r="DF304" s="71">
        <f>MIN($C$262,DC329)</f>
        <v>1.7</v>
      </c>
      <c r="DG304" s="71">
        <f>MIN($D$262,DC329)</f>
        <v>3.2</v>
      </c>
      <c r="DH304" s="71">
        <f>$E$262</f>
        <v>1</v>
      </c>
      <c r="DI304" s="91">
        <f>N</f>
        <v>50</v>
      </c>
      <c r="DJ304" s="92">
        <f>IF(DC329&lt;=DF304,0,ROUND(αk*3783*DI304*(B*Lw)^-0.375,0))</f>
        <v>88587</v>
      </c>
      <c r="DK304" s="92">
        <f>DB331</f>
        <v>10527.814120269419</v>
      </c>
      <c r="DM304" s="90" t="s">
        <v>36</v>
      </c>
      <c r="DN304" s="71">
        <f>MIN($C$262,DK329)</f>
        <v>1.7</v>
      </c>
      <c r="DO304" s="71">
        <f>MIN($D$262,DK329)</f>
        <v>3.2</v>
      </c>
      <c r="DP304" s="71">
        <f>$E$262</f>
        <v>1</v>
      </c>
      <c r="DQ304" s="91">
        <f>N</f>
        <v>50</v>
      </c>
      <c r="DR304" s="92">
        <f>IF(DK329&lt;=DN304,0,ROUND(αk*3783*DQ304*(B*Lw)^-0.375,0))</f>
        <v>88587</v>
      </c>
      <c r="DS304" s="92">
        <f>DJ331</f>
        <v>10492.803580067732</v>
      </c>
      <c r="DU304" s="90" t="s">
        <v>36</v>
      </c>
      <c r="DV304" s="71">
        <f>MIN($C$262,DS329)</f>
        <v>1.7</v>
      </c>
      <c r="DW304" s="71">
        <f>MIN($D$262,DS329)</f>
        <v>3.2</v>
      </c>
      <c r="DX304" s="71">
        <f>$E$262</f>
        <v>1</v>
      </c>
      <c r="DY304" s="91">
        <f>N</f>
        <v>50</v>
      </c>
      <c r="DZ304" s="92">
        <f>IF(DS329&lt;=DV304,0,ROUND(αk*3783*DY304*(B*Lw)^-0.375,0))</f>
        <v>88587</v>
      </c>
      <c r="EA304" s="92">
        <f>DR331</f>
        <v>10472.657572679342</v>
      </c>
      <c r="EC304" s="90" t="s">
        <v>36</v>
      </c>
      <c r="ED304" s="71">
        <f>MIN($C$262,EA329)</f>
        <v>1.7</v>
      </c>
      <c r="EE304" s="71">
        <f>MIN($D$262,EA329)</f>
        <v>3.2</v>
      </c>
      <c r="EF304" s="71">
        <f>$E$262</f>
        <v>1</v>
      </c>
      <c r="EG304" s="91">
        <f>N</f>
        <v>50</v>
      </c>
      <c r="EH304" s="92">
        <f>IF(EA329&lt;=ED304,0,ROUND(αk*3783*EG304*(B*Lw)^-0.375,0))</f>
        <v>88587</v>
      </c>
      <c r="EI304" s="92">
        <f>DZ331</f>
        <v>10437.795807978362</v>
      </c>
      <c r="EK304" s="90" t="s">
        <v>36</v>
      </c>
      <c r="EL304" s="71">
        <f>MIN($C$262,EI329)</f>
        <v>1.7</v>
      </c>
      <c r="EM304" s="71">
        <f>MIN($D$262,EI329)</f>
        <v>3.2</v>
      </c>
      <c r="EN304" s="71">
        <f>$E$262</f>
        <v>1</v>
      </c>
      <c r="EO304" s="91">
        <f>N</f>
        <v>50</v>
      </c>
      <c r="EP304" s="92">
        <f>IF(EI329&lt;=EL304,0,ROUND(αk*3783*EO304*(B*Lw)^-0.375,0))</f>
        <v>88587</v>
      </c>
      <c r="EQ304" s="92">
        <f>EH331</f>
        <v>10403.044987704327</v>
      </c>
    </row>
    <row r="305" spans="2:147" ht="18" customHeight="1">
      <c r="B305" s="90" t="s">
        <v>35</v>
      </c>
      <c r="C305" s="71">
        <f>D282-C282</f>
        <v>1.5</v>
      </c>
      <c r="D305" s="71">
        <f>ROUND(G282*($C$299+C282*$C$300),2)</f>
        <v>467.74</v>
      </c>
      <c r="E305" s="71">
        <f>ROUND(G282*($C$299+D282*$C$300),2)</f>
        <v>257.26</v>
      </c>
      <c r="F305" s="71">
        <f>ROUND(0.5*(D305+E305)*(D282-C282),2)</f>
        <v>543.75</v>
      </c>
      <c r="G305" s="71">
        <f>ROUND(C282+C305/3*(D305+2*E305)/(D305+E305),2)</f>
        <v>0.68</v>
      </c>
      <c r="H305" s="71">
        <f>ROUND(H282*($C$298+E282*$C$300),2)</f>
        <v>-118.04</v>
      </c>
      <c r="I305" s="71">
        <f>ROUND(H305*(D282-C282),2)</f>
        <v>-177.06</v>
      </c>
      <c r="J305" s="40"/>
      <c r="K305" s="40"/>
      <c r="L305" s="231" t="s">
        <v>492</v>
      </c>
      <c r="M305" s="192" t="s">
        <v>493</v>
      </c>
      <c r="N305" s="39">
        <f>F305</f>
        <v>543.75</v>
      </c>
      <c r="O305" s="39">
        <f>F306</f>
        <v>185.93</v>
      </c>
      <c r="P305" s="39">
        <f>F307</f>
        <v>0</v>
      </c>
      <c r="Q305" s="79">
        <f>F308</f>
        <v>729.6800000000001</v>
      </c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C305" s="93" t="s">
        <v>37</v>
      </c>
      <c r="AD305" s="73">
        <f>$C$263</f>
        <v>3.4000000000000004</v>
      </c>
      <c r="AE305" s="73">
        <f>$D$263</f>
        <v>4.8</v>
      </c>
      <c r="AF305" s="72">
        <f>$E$284</f>
        <v>2</v>
      </c>
      <c r="AG305" s="94">
        <f>N</f>
        <v>50</v>
      </c>
      <c r="AH305" s="95">
        <f>ROUND(αk*3783*AG305*(B*Lw)^-0.375,0)</f>
        <v>88587</v>
      </c>
      <c r="AI305" s="96">
        <f>ROUND(AH305/4,0)</f>
        <v>22147</v>
      </c>
      <c r="AK305" s="93" t="s">
        <v>37</v>
      </c>
      <c r="AL305" s="73">
        <f>MIN($C$263,AI329)</f>
        <v>3.4000000000000004</v>
      </c>
      <c r="AM305" s="73">
        <f>MIN($D$263,AI329)</f>
        <v>4.416741162129217</v>
      </c>
      <c r="AN305" s="72">
        <f>$E$284</f>
        <v>2</v>
      </c>
      <c r="AO305" s="94">
        <f>N</f>
        <v>50</v>
      </c>
      <c r="AP305" s="95">
        <f>IF(AI329&lt;=AL305,0,ROUND(αk*3783*AO305*(B*Lw)^-0.375,0))</f>
        <v>88587</v>
      </c>
      <c r="AQ305" s="92">
        <f>AH332</f>
        <v>3915.504476584022</v>
      </c>
      <c r="AS305" s="93" t="s">
        <v>37</v>
      </c>
      <c r="AT305" s="73">
        <f>MIN($C$263,AQ329)</f>
        <v>3.4000000000000004</v>
      </c>
      <c r="AU305" s="73">
        <f>MIN($D$263,AQ329)</f>
        <v>3.915661120284517</v>
      </c>
      <c r="AV305" s="72">
        <f>$E$284</f>
        <v>2</v>
      </c>
      <c r="AW305" s="94">
        <f>N</f>
        <v>50</v>
      </c>
      <c r="AX305" s="95">
        <f>IF(AQ329&lt;=AT305,0,ROUND(αk*3783*AW305*(B*Lw)^-0.375,0))</f>
        <v>88587</v>
      </c>
      <c r="AY305" s="92">
        <f>AP332</f>
        <v>77.37056428155918</v>
      </c>
      <c r="BA305" s="93" t="s">
        <v>37</v>
      </c>
      <c r="BB305" s="73">
        <f>MIN($C$263,AY329)</f>
        <v>3.4000000000000004</v>
      </c>
      <c r="BC305" s="73">
        <f>MIN($D$263,AY329)</f>
        <v>3.6251175917215424</v>
      </c>
      <c r="BD305" s="72">
        <f>$E$284</f>
        <v>2</v>
      </c>
      <c r="BE305" s="94">
        <f>N</f>
        <v>50</v>
      </c>
      <c r="BF305" s="95">
        <f>IF(AY329&lt;=BB305,0,ROUND(αk*3783*BE305*(B*Lw)^-0.375,0))</f>
        <v>88587</v>
      </c>
      <c r="BG305" s="92">
        <f>AX332</f>
        <v>0</v>
      </c>
      <c r="BI305" s="93" t="s">
        <v>37</v>
      </c>
      <c r="BJ305" s="73">
        <f>MIN($C$263,BG329)</f>
        <v>3.4000000000000004</v>
      </c>
      <c r="BK305" s="73">
        <f>MIN($D$263,BG329)</f>
        <v>3.491629955947137</v>
      </c>
      <c r="BL305" s="72">
        <f>$E$284</f>
        <v>2</v>
      </c>
      <c r="BM305" s="94">
        <f>N</f>
        <v>50</v>
      </c>
      <c r="BN305" s="95">
        <f>IF(BG329&lt;=BJ305,0,ROUND(αk*3783*BM305*(B*Lw)^-0.375,0))</f>
        <v>88587</v>
      </c>
      <c r="BO305" s="92">
        <f>BF332</f>
        <v>0</v>
      </c>
      <c r="BQ305" s="93" t="s">
        <v>37</v>
      </c>
      <c r="BR305" s="73">
        <f>MIN($C$263,BO329)</f>
        <v>3.4000000000000004</v>
      </c>
      <c r="BS305" s="73">
        <f>MIN($D$263,BO329)</f>
        <v>3.4173782771535577</v>
      </c>
      <c r="BT305" s="72">
        <f>$E$284</f>
        <v>2</v>
      </c>
      <c r="BU305" s="94">
        <f>N</f>
        <v>50</v>
      </c>
      <c r="BV305" s="95">
        <f>IF(BO329&lt;=BR305,0,ROUND(αk*3783*BU305*(B*Lw)^-0.375,0))</f>
        <v>88587</v>
      </c>
      <c r="BW305" s="92">
        <f>BN332</f>
        <v>0</v>
      </c>
      <c r="BY305" s="93" t="s">
        <v>37</v>
      </c>
      <c r="BZ305" s="73">
        <f>MIN($C$263,BW329)</f>
        <v>3.3787701317715957</v>
      </c>
      <c r="CA305" s="73">
        <f>MIN($D$263,BW329)</f>
        <v>3.3787701317715957</v>
      </c>
      <c r="CB305" s="72">
        <f>$E$284</f>
        <v>2</v>
      </c>
      <c r="CC305" s="94">
        <f>N</f>
        <v>50</v>
      </c>
      <c r="CD305" s="95">
        <f>IF(BW329&lt;=BZ305,0,ROUND(αk*3783*CC305*(B*Lw)^-0.375,0))</f>
        <v>0</v>
      </c>
      <c r="CE305" s="92">
        <f>BV332</f>
        <v>0</v>
      </c>
      <c r="CG305" s="93" t="s">
        <v>37</v>
      </c>
      <c r="CH305" s="73">
        <f>MIN($C$263,CE329)</f>
        <v>3.35679506339488</v>
      </c>
      <c r="CI305" s="73">
        <f>MIN($D$263,CE329)</f>
        <v>3.35679506339488</v>
      </c>
      <c r="CJ305" s="72">
        <f>$E$284</f>
        <v>2</v>
      </c>
      <c r="CK305" s="94">
        <f>N</f>
        <v>50</v>
      </c>
      <c r="CL305" s="95">
        <f>IF(CE329&lt;=CH305,0,ROUND(αk*3783*CK305*(B*Lw)^-0.375,0))</f>
        <v>0</v>
      </c>
      <c r="CM305" s="92">
        <f>CD332</f>
        <v>0</v>
      </c>
      <c r="CO305" s="93" t="s">
        <v>37</v>
      </c>
      <c r="CP305" s="73">
        <f>MIN($C$263,CM329)</f>
        <v>3.3418922155688624</v>
      </c>
      <c r="CQ305" s="73">
        <f>MIN($D$263,CM329)</f>
        <v>3.3418922155688624</v>
      </c>
      <c r="CR305" s="72">
        <f>$E$284</f>
        <v>2</v>
      </c>
      <c r="CS305" s="94">
        <f>N</f>
        <v>50</v>
      </c>
      <c r="CT305" s="95">
        <f>IF(CM329&lt;=CP305,0,ROUND(αk*3783*CS305*(B*Lw)^-0.375,0))</f>
        <v>0</v>
      </c>
      <c r="CU305" s="92">
        <f>CL332</f>
        <v>0</v>
      </c>
      <c r="CW305" s="93" t="s">
        <v>37</v>
      </c>
      <c r="CX305" s="73">
        <f>MIN($C$263,CU329)</f>
        <v>3.3397319725295693</v>
      </c>
      <c r="CY305" s="73">
        <f>MIN($D$263,CU329)</f>
        <v>3.3397319725295693</v>
      </c>
      <c r="CZ305" s="72">
        <f>$E$284</f>
        <v>2</v>
      </c>
      <c r="DA305" s="94">
        <f>N</f>
        <v>50</v>
      </c>
      <c r="DB305" s="95">
        <f>IF(CU329&lt;=CX305,0,ROUND(αk*3783*DA305*(B*Lw)^-0.375,0))</f>
        <v>0</v>
      </c>
      <c r="DC305" s="92">
        <f>CT332</f>
        <v>0</v>
      </c>
      <c r="DE305" s="93" t="s">
        <v>37</v>
      </c>
      <c r="DF305" s="73">
        <f>MIN($C$263,DC329)</f>
        <v>3.337662647156952</v>
      </c>
      <c r="DG305" s="73">
        <f>MIN($D$263,DC329)</f>
        <v>3.337662647156952</v>
      </c>
      <c r="DH305" s="72">
        <f>$E$284</f>
        <v>2</v>
      </c>
      <c r="DI305" s="94">
        <f>N</f>
        <v>50</v>
      </c>
      <c r="DJ305" s="95">
        <f>IF(DC329&lt;=DF305,0,ROUND(αk*3783*DI305*(B*Lw)^-0.375,0))</f>
        <v>0</v>
      </c>
      <c r="DK305" s="92">
        <f>DB332</f>
        <v>0</v>
      </c>
      <c r="DM305" s="93" t="s">
        <v>37</v>
      </c>
      <c r="DN305" s="73">
        <f>MIN($C$263,DK329)</f>
        <v>3.3354370088116214</v>
      </c>
      <c r="DO305" s="73">
        <f>MIN($D$263,DK329)</f>
        <v>3.3354370088116214</v>
      </c>
      <c r="DP305" s="72">
        <f>$E$284</f>
        <v>2</v>
      </c>
      <c r="DQ305" s="94">
        <f>N</f>
        <v>50</v>
      </c>
      <c r="DR305" s="95">
        <f>IF(DK329&lt;=DN305,0,ROUND(αk*3783*DQ305*(B*Lw)^-0.375,0))</f>
        <v>0</v>
      </c>
      <c r="DS305" s="92">
        <f>DJ332</f>
        <v>0</v>
      </c>
      <c r="DU305" s="93" t="s">
        <v>37</v>
      </c>
      <c r="DV305" s="73">
        <f>MIN($C$263,DS329)</f>
        <v>3.3333730007616142</v>
      </c>
      <c r="DW305" s="73">
        <f>MIN($D$263,DS329)</f>
        <v>3.3333730007616142</v>
      </c>
      <c r="DX305" s="72">
        <f>$E$284</f>
        <v>2</v>
      </c>
      <c r="DY305" s="94">
        <f>N</f>
        <v>50</v>
      </c>
      <c r="DZ305" s="95">
        <f>IF(DS329&lt;=DV305,0,ROUND(αk*3783*DY305*(B*Lw)^-0.375,0))</f>
        <v>0</v>
      </c>
      <c r="EA305" s="92">
        <f>DR332</f>
        <v>0</v>
      </c>
      <c r="EC305" s="93" t="s">
        <v>37</v>
      </c>
      <c r="ED305" s="73">
        <f>MIN($C$263,EA329)</f>
        <v>3.3313115455972597</v>
      </c>
      <c r="EE305" s="73">
        <f>MIN($D$263,EA329)</f>
        <v>3.3313115455972597</v>
      </c>
      <c r="EF305" s="72">
        <f>$E$284</f>
        <v>2</v>
      </c>
      <c r="EG305" s="94">
        <f>N</f>
        <v>50</v>
      </c>
      <c r="EH305" s="95">
        <f>IF(EA329&lt;=ED305,0,ROUND(αk*3783*EG305*(B*Lw)^-0.375,0))</f>
        <v>0</v>
      </c>
      <c r="EI305" s="92">
        <f>DZ332</f>
        <v>0</v>
      </c>
      <c r="EK305" s="93" t="s">
        <v>37</v>
      </c>
      <c r="EL305" s="73">
        <f>MIN($C$263,EI329)</f>
        <v>3.3290943665319706</v>
      </c>
      <c r="EM305" s="73">
        <f>MIN($D$263,EI329)</f>
        <v>3.3290943665319706</v>
      </c>
      <c r="EN305" s="72">
        <f>$E$284</f>
        <v>2</v>
      </c>
      <c r="EO305" s="94">
        <f>N</f>
        <v>50</v>
      </c>
      <c r="EP305" s="95">
        <f>IF(EI329&lt;=EL305,0,ROUND(αk*3783*EO305*(B*Lw)^-0.375,0))</f>
        <v>0</v>
      </c>
      <c r="EQ305" s="92">
        <f>EH332</f>
        <v>0</v>
      </c>
    </row>
    <row r="306" spans="2:145" ht="18" customHeight="1">
      <c r="B306" s="90" t="s">
        <v>36</v>
      </c>
      <c r="C306" s="71">
        <f>D283-C283</f>
        <v>1.5000000000000002</v>
      </c>
      <c r="D306" s="71">
        <f>IF(C306=0,0,ROUND(G283*($C$299+C283*$C$300),2))</f>
        <v>229.19</v>
      </c>
      <c r="E306" s="71">
        <f>IF(C306=0,0,ROUND(G283*($C$299+D283*$C$300),2))</f>
        <v>18.71</v>
      </c>
      <c r="F306" s="71">
        <f>ROUND(0.5*(D306+E306)*(D283-C283),2)</f>
        <v>185.93</v>
      </c>
      <c r="G306" s="71">
        <f>IF(C306=0,0,IF(AD16&gt;=3*d,0,ROUND(C283+C306/3*(D306+2*E306)/(D306+E306),2)))</f>
        <v>2.24</v>
      </c>
      <c r="H306" s="71">
        <f>IF(C306=0,0,ROUND(H283*($C$298+E283*$C$300),2))</f>
        <v>-71.93</v>
      </c>
      <c r="I306" s="71">
        <f>ROUND(H306*(D283-C283),2)</f>
        <v>-107.9</v>
      </c>
      <c r="J306" s="40"/>
      <c r="K306" s="40"/>
      <c r="L306" s="232"/>
      <c r="M306" s="192" t="s">
        <v>494</v>
      </c>
      <c r="N306" s="39">
        <f>I305</f>
        <v>-177.06</v>
      </c>
      <c r="O306" s="39">
        <f>I306</f>
        <v>-107.9</v>
      </c>
      <c r="P306" s="39">
        <f>I307</f>
        <v>0</v>
      </c>
      <c r="Q306" s="79">
        <f>I308</f>
        <v>-284.96000000000004</v>
      </c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C306" s="11"/>
      <c r="AD306" s="12"/>
      <c r="AE306" s="9"/>
      <c r="AF306" s="16"/>
      <c r="AG306" s="10"/>
      <c r="AK306" s="11"/>
      <c r="AL306" s="12"/>
      <c r="AM306" s="9"/>
      <c r="AN306" s="16"/>
      <c r="AO306" s="10"/>
      <c r="AS306" s="11"/>
      <c r="AT306" s="12"/>
      <c r="AU306" s="9"/>
      <c r="AV306" s="16"/>
      <c r="AW306" s="10"/>
      <c r="BA306" s="11"/>
      <c r="BB306" s="12"/>
      <c r="BC306" s="9"/>
      <c r="BD306" s="16"/>
      <c r="BE306" s="10"/>
      <c r="BI306" s="11"/>
      <c r="BJ306" s="12"/>
      <c r="BK306" s="9"/>
      <c r="BL306" s="16"/>
      <c r="BM306" s="10"/>
      <c r="BQ306" s="11"/>
      <c r="BR306" s="12"/>
      <c r="BS306" s="9"/>
      <c r="BT306" s="16"/>
      <c r="BU306" s="10"/>
      <c r="BY306" s="11"/>
      <c r="BZ306" s="12"/>
      <c r="CA306" s="9"/>
      <c r="CB306" s="16"/>
      <c r="CC306" s="10"/>
      <c r="CG306" s="11"/>
      <c r="CH306" s="12"/>
      <c r="CI306" s="9"/>
      <c r="CJ306" s="16"/>
      <c r="CK306" s="10"/>
      <c r="CO306" s="11"/>
      <c r="CP306" s="12"/>
      <c r="CQ306" s="9"/>
      <c r="CR306" s="16"/>
      <c r="CS306" s="10"/>
      <c r="CW306" s="11"/>
      <c r="CX306" s="12"/>
      <c r="CY306" s="9"/>
      <c r="CZ306" s="16"/>
      <c r="DA306" s="10"/>
      <c r="DE306" s="11"/>
      <c r="DF306" s="12"/>
      <c r="DG306" s="9"/>
      <c r="DH306" s="16"/>
      <c r="DI306" s="10"/>
      <c r="DM306" s="11"/>
      <c r="DN306" s="12"/>
      <c r="DO306" s="9"/>
      <c r="DP306" s="16"/>
      <c r="DQ306" s="10"/>
      <c r="DU306" s="11"/>
      <c r="DV306" s="12"/>
      <c r="DW306" s="9"/>
      <c r="DX306" s="16"/>
      <c r="DY306" s="10"/>
      <c r="EC306" s="11"/>
      <c r="ED306" s="12"/>
      <c r="EE306" s="9"/>
      <c r="EF306" s="16"/>
      <c r="EG306" s="10"/>
      <c r="EK306" s="11"/>
      <c r="EL306" s="12"/>
      <c r="EM306" s="9"/>
      <c r="EN306" s="16"/>
      <c r="EO306" s="10"/>
    </row>
    <row r="307" spans="2:147" ht="18" customHeight="1">
      <c r="B307" s="93" t="s">
        <v>37</v>
      </c>
      <c r="C307" s="73">
        <f>D284-C284</f>
        <v>0</v>
      </c>
      <c r="D307" s="73">
        <f>IF(C307=0,0,ROUND(G284*($C$299+C284*$C$300),2))</f>
        <v>0</v>
      </c>
      <c r="E307" s="73">
        <f>IF(C307=0,0,ROUND(G284*($C$299+D284*$C$300),2))</f>
        <v>0</v>
      </c>
      <c r="F307" s="73">
        <f>ROUND(0.5*(D307+E307)*(D284-C284),2)</f>
        <v>0</v>
      </c>
      <c r="G307" s="73">
        <f>IF(D307&lt;=0,0,ROUND(C284+C307/3*(D307+2*E307)/(D307+E307),2))</f>
        <v>0</v>
      </c>
      <c r="H307" s="73">
        <f>IF(C307=0,0,ROUND(H284*($C$298+E284*$C$300),2))</f>
        <v>0</v>
      </c>
      <c r="I307" s="73">
        <f>ROUND(H307*(D284-C284),2)</f>
        <v>0</v>
      </c>
      <c r="J307" s="40"/>
      <c r="K307" s="40"/>
      <c r="L307" s="233" t="s">
        <v>495</v>
      </c>
      <c r="M307" s="234"/>
      <c r="N307" s="39">
        <f>D347</f>
        <v>2.15</v>
      </c>
      <c r="O307" s="39">
        <f>D348</f>
        <v>1.21</v>
      </c>
      <c r="P307" s="39" t="str">
        <f>D349</f>
        <v>***</v>
      </c>
      <c r="Q307" s="108">
        <f>D350</f>
        <v>1.79</v>
      </c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C307" s="97" t="s">
        <v>4</v>
      </c>
      <c r="AD307" s="98" t="s">
        <v>9</v>
      </c>
      <c r="AE307" s="98" t="s">
        <v>10</v>
      </c>
      <c r="AF307" s="98" t="s">
        <v>11</v>
      </c>
      <c r="AG307" s="98" t="s">
        <v>12</v>
      </c>
      <c r="AH307" s="98" t="s">
        <v>13</v>
      </c>
      <c r="AI307" s="98" t="s">
        <v>14</v>
      </c>
      <c r="AK307" s="97" t="s">
        <v>4</v>
      </c>
      <c r="AL307" s="98" t="s">
        <v>9</v>
      </c>
      <c r="AM307" s="98" t="s">
        <v>10</v>
      </c>
      <c r="AN307" s="98" t="s">
        <v>11</v>
      </c>
      <c r="AO307" s="98" t="s">
        <v>12</v>
      </c>
      <c r="AP307" s="98" t="s">
        <v>13</v>
      </c>
      <c r="AQ307" s="98" t="s">
        <v>14</v>
      </c>
      <c r="AS307" s="97" t="s">
        <v>4</v>
      </c>
      <c r="AT307" s="98" t="s">
        <v>9</v>
      </c>
      <c r="AU307" s="98" t="s">
        <v>10</v>
      </c>
      <c r="AV307" s="98" t="s">
        <v>11</v>
      </c>
      <c r="AW307" s="98" t="s">
        <v>12</v>
      </c>
      <c r="AX307" s="98" t="s">
        <v>13</v>
      </c>
      <c r="AY307" s="98" t="s">
        <v>14</v>
      </c>
      <c r="BA307" s="97" t="s">
        <v>4</v>
      </c>
      <c r="BB307" s="98" t="s">
        <v>9</v>
      </c>
      <c r="BC307" s="98" t="s">
        <v>10</v>
      </c>
      <c r="BD307" s="98" t="s">
        <v>11</v>
      </c>
      <c r="BE307" s="98" t="s">
        <v>12</v>
      </c>
      <c r="BF307" s="98" t="s">
        <v>13</v>
      </c>
      <c r="BG307" s="98" t="s">
        <v>14</v>
      </c>
      <c r="BI307" s="97" t="s">
        <v>4</v>
      </c>
      <c r="BJ307" s="98" t="s">
        <v>9</v>
      </c>
      <c r="BK307" s="98" t="s">
        <v>10</v>
      </c>
      <c r="BL307" s="98" t="s">
        <v>11</v>
      </c>
      <c r="BM307" s="98" t="s">
        <v>12</v>
      </c>
      <c r="BN307" s="98" t="s">
        <v>13</v>
      </c>
      <c r="BO307" s="98" t="s">
        <v>14</v>
      </c>
      <c r="BQ307" s="97" t="s">
        <v>4</v>
      </c>
      <c r="BR307" s="98" t="s">
        <v>9</v>
      </c>
      <c r="BS307" s="98" t="s">
        <v>10</v>
      </c>
      <c r="BT307" s="98" t="s">
        <v>11</v>
      </c>
      <c r="BU307" s="98" t="s">
        <v>12</v>
      </c>
      <c r="BV307" s="98" t="s">
        <v>13</v>
      </c>
      <c r="BW307" s="98" t="s">
        <v>14</v>
      </c>
      <c r="BY307" s="97" t="s">
        <v>4</v>
      </c>
      <c r="BZ307" s="98" t="s">
        <v>9</v>
      </c>
      <c r="CA307" s="98" t="s">
        <v>10</v>
      </c>
      <c r="CB307" s="98" t="s">
        <v>11</v>
      </c>
      <c r="CC307" s="98" t="s">
        <v>12</v>
      </c>
      <c r="CD307" s="98" t="s">
        <v>13</v>
      </c>
      <c r="CE307" s="98" t="s">
        <v>14</v>
      </c>
      <c r="CG307" s="97" t="s">
        <v>4</v>
      </c>
      <c r="CH307" s="98" t="s">
        <v>9</v>
      </c>
      <c r="CI307" s="98" t="s">
        <v>10</v>
      </c>
      <c r="CJ307" s="98" t="s">
        <v>11</v>
      </c>
      <c r="CK307" s="98" t="s">
        <v>12</v>
      </c>
      <c r="CL307" s="98" t="s">
        <v>13</v>
      </c>
      <c r="CM307" s="98" t="s">
        <v>14</v>
      </c>
      <c r="CO307" s="97" t="s">
        <v>4</v>
      </c>
      <c r="CP307" s="98" t="s">
        <v>9</v>
      </c>
      <c r="CQ307" s="98" t="s">
        <v>10</v>
      </c>
      <c r="CR307" s="98" t="s">
        <v>11</v>
      </c>
      <c r="CS307" s="98" t="s">
        <v>12</v>
      </c>
      <c r="CT307" s="98" t="s">
        <v>13</v>
      </c>
      <c r="CU307" s="98" t="s">
        <v>14</v>
      </c>
      <c r="CW307" s="97" t="s">
        <v>4</v>
      </c>
      <c r="CX307" s="98" t="s">
        <v>9</v>
      </c>
      <c r="CY307" s="98" t="s">
        <v>10</v>
      </c>
      <c r="CZ307" s="98" t="s">
        <v>11</v>
      </c>
      <c r="DA307" s="98" t="s">
        <v>12</v>
      </c>
      <c r="DB307" s="98" t="s">
        <v>13</v>
      </c>
      <c r="DC307" s="98" t="s">
        <v>14</v>
      </c>
      <c r="DE307" s="97" t="s">
        <v>4</v>
      </c>
      <c r="DF307" s="98" t="s">
        <v>9</v>
      </c>
      <c r="DG307" s="98" t="s">
        <v>10</v>
      </c>
      <c r="DH307" s="98" t="s">
        <v>11</v>
      </c>
      <c r="DI307" s="98" t="s">
        <v>12</v>
      </c>
      <c r="DJ307" s="98" t="s">
        <v>13</v>
      </c>
      <c r="DK307" s="98" t="s">
        <v>14</v>
      </c>
      <c r="DM307" s="97" t="s">
        <v>4</v>
      </c>
      <c r="DN307" s="98" t="s">
        <v>9</v>
      </c>
      <c r="DO307" s="98" t="s">
        <v>10</v>
      </c>
      <c r="DP307" s="98" t="s">
        <v>11</v>
      </c>
      <c r="DQ307" s="98" t="s">
        <v>12</v>
      </c>
      <c r="DR307" s="98" t="s">
        <v>13</v>
      </c>
      <c r="DS307" s="98" t="s">
        <v>14</v>
      </c>
      <c r="DU307" s="97" t="s">
        <v>4</v>
      </c>
      <c r="DV307" s="98" t="s">
        <v>9</v>
      </c>
      <c r="DW307" s="98" t="s">
        <v>10</v>
      </c>
      <c r="DX307" s="98" t="s">
        <v>11</v>
      </c>
      <c r="DY307" s="98" t="s">
        <v>12</v>
      </c>
      <c r="DZ307" s="98" t="s">
        <v>13</v>
      </c>
      <c r="EA307" s="98" t="s">
        <v>14</v>
      </c>
      <c r="EC307" s="97" t="s">
        <v>4</v>
      </c>
      <c r="ED307" s="98" t="s">
        <v>9</v>
      </c>
      <c r="EE307" s="98" t="s">
        <v>10</v>
      </c>
      <c r="EF307" s="98" t="s">
        <v>11</v>
      </c>
      <c r="EG307" s="98" t="s">
        <v>12</v>
      </c>
      <c r="EH307" s="98" t="s">
        <v>13</v>
      </c>
      <c r="EI307" s="98" t="s">
        <v>14</v>
      </c>
      <c r="EK307" s="97" t="s">
        <v>4</v>
      </c>
      <c r="EL307" s="98" t="s">
        <v>9</v>
      </c>
      <c r="EM307" s="98" t="s">
        <v>10</v>
      </c>
      <c r="EN307" s="98" t="s">
        <v>11</v>
      </c>
      <c r="EO307" s="98" t="s">
        <v>12</v>
      </c>
      <c r="EP307" s="98" t="s">
        <v>13</v>
      </c>
      <c r="EQ307" s="98" t="s">
        <v>14</v>
      </c>
    </row>
    <row r="308" spans="2:147" ht="18" customHeight="1">
      <c r="B308" s="106"/>
      <c r="C308" s="107"/>
      <c r="D308" s="108"/>
      <c r="E308" s="109" t="s">
        <v>43</v>
      </c>
      <c r="F308" s="107">
        <f>SUM(F305:F307)</f>
        <v>729.6800000000001</v>
      </c>
      <c r="G308" s="110"/>
      <c r="H308" s="109" t="s">
        <v>44</v>
      </c>
      <c r="I308" s="107">
        <f>SUM(I305:I307)</f>
        <v>-284.96000000000004</v>
      </c>
      <c r="J308" s="40"/>
      <c r="K308" s="40"/>
      <c r="L308" s="40"/>
      <c r="M308" s="40"/>
      <c r="N308" s="40"/>
      <c r="O308" s="40"/>
      <c r="P308" s="40"/>
      <c r="Q308" s="40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C308" s="90" t="s">
        <v>35</v>
      </c>
      <c r="AD308" s="99">
        <f>ROUND(AI303*(AE303-AD303),0)</f>
        <v>33221</v>
      </c>
      <c r="AE308" s="99">
        <f>0</f>
        <v>0</v>
      </c>
      <c r="AF308" s="92">
        <f>ROUND(AI303*(AE303-AD303)*AF303,0)</f>
        <v>0</v>
      </c>
      <c r="AG308" s="99">
        <f>ROUND(AH303*(AE303-AD303),0)</f>
        <v>132881</v>
      </c>
      <c r="AH308" s="99">
        <f>ROUND(0.5*AH303*(AE303^2-AD303^2),0)</f>
        <v>99660</v>
      </c>
      <c r="AI308" s="99">
        <f>ROUND(AI303*(AE303-AD303)*AF303^2+1/3*AH303*(AE303^3-AD303^3),0)</f>
        <v>99660</v>
      </c>
      <c r="AK308" s="90" t="s">
        <v>35</v>
      </c>
      <c r="AL308" s="99">
        <f>ROUND(AQ303*(AM303-AL303),0)</f>
        <v>33221</v>
      </c>
      <c r="AM308" s="99">
        <f>0</f>
        <v>0</v>
      </c>
      <c r="AN308" s="92">
        <f>ROUND(AQ303*(AM303-AL303)*AN303,0)</f>
        <v>0</v>
      </c>
      <c r="AO308" s="99">
        <f>ROUND(AP303*(AM303-AL303),0)</f>
        <v>132881</v>
      </c>
      <c r="AP308" s="99">
        <f>ROUND(0.5*AP303*(AM303^2-AL303^2),0)</f>
        <v>99660</v>
      </c>
      <c r="AQ308" s="99">
        <f>ROUND(AQ303*(AM303-AL303)*AN303^2+1/3*AP303*(AM303^3-AL303^3),0)</f>
        <v>99660</v>
      </c>
      <c r="AS308" s="90" t="s">
        <v>35</v>
      </c>
      <c r="AT308" s="99">
        <f>ROUND(AY303*(AU303-AT303),0)</f>
        <v>33221</v>
      </c>
      <c r="AU308" s="99">
        <f>0</f>
        <v>0</v>
      </c>
      <c r="AV308" s="92">
        <f>ROUND(AY303*(AU303-AT303)*AV303,0)</f>
        <v>0</v>
      </c>
      <c r="AW308" s="99">
        <f>ROUND(AX303*(AU303-AT303),0)</f>
        <v>132881</v>
      </c>
      <c r="AX308" s="99">
        <f>ROUND(0.5*AX303*(AU303^2-AT303^2),0)</f>
        <v>99660</v>
      </c>
      <c r="AY308" s="99">
        <f>ROUND(AY303*(AU303-AT303)*AV303^2+1/3*AX303*(AU303^3-AT303^3),0)</f>
        <v>99660</v>
      </c>
      <c r="BA308" s="90" t="s">
        <v>35</v>
      </c>
      <c r="BB308" s="99">
        <f>ROUND(BG303*(BC303-BB303),0)</f>
        <v>33221</v>
      </c>
      <c r="BC308" s="99">
        <f>0</f>
        <v>0</v>
      </c>
      <c r="BD308" s="92">
        <f>ROUND(BG303*(BC303-BB303)*BD303,0)</f>
        <v>0</v>
      </c>
      <c r="BE308" s="99">
        <f>ROUND(BF303*(BC303-BB303),0)</f>
        <v>132881</v>
      </c>
      <c r="BF308" s="99">
        <f>ROUND(0.5*BF303*(BC303^2-BB303^2),0)</f>
        <v>99660</v>
      </c>
      <c r="BG308" s="99">
        <f>ROUND(BG303*(BC303-BB303)*BD303^2+1/3*BF303*(BC303^3-BB303^3),0)</f>
        <v>99660</v>
      </c>
      <c r="BI308" s="90" t="s">
        <v>35</v>
      </c>
      <c r="BJ308" s="99">
        <f>ROUND(BO303*(BK303-BJ303),0)</f>
        <v>33221</v>
      </c>
      <c r="BK308" s="99">
        <f>0</f>
        <v>0</v>
      </c>
      <c r="BL308" s="92">
        <f>ROUND(BO303*(BK303-BJ303)*BL303,0)</f>
        <v>0</v>
      </c>
      <c r="BM308" s="99">
        <f>ROUND(BN303*(BK303-BJ303),0)</f>
        <v>132881</v>
      </c>
      <c r="BN308" s="99">
        <f>ROUND(0.5*BN303*(BK303^2-BJ303^2),0)</f>
        <v>99660</v>
      </c>
      <c r="BO308" s="99">
        <f>ROUND(BO303*(BK303-BJ303)*BL303^2+1/3*BN303*(BK303^3-BJ303^3),0)</f>
        <v>99660</v>
      </c>
      <c r="BQ308" s="90" t="s">
        <v>35</v>
      </c>
      <c r="BR308" s="99">
        <f>ROUND(BW303*(BS303-BR303),0)</f>
        <v>33221</v>
      </c>
      <c r="BS308" s="99">
        <f>0</f>
        <v>0</v>
      </c>
      <c r="BT308" s="92">
        <f>ROUND(BW303*(BS303-BR303)*BT303,0)</f>
        <v>0</v>
      </c>
      <c r="BU308" s="99">
        <f>ROUND(BV303*(BS303-BR303),0)</f>
        <v>132881</v>
      </c>
      <c r="BV308" s="99">
        <f>ROUND(0.5*BV303*(BS303^2-BR303^2),0)</f>
        <v>99660</v>
      </c>
      <c r="BW308" s="99">
        <f>ROUND(BW303*(BS303-BR303)*BT303^2+1/3*BV303*(BS303^3-BR303^3),0)</f>
        <v>99660</v>
      </c>
      <c r="BY308" s="90" t="s">
        <v>35</v>
      </c>
      <c r="BZ308" s="99">
        <f>ROUND(CE303*(CA303-BZ303),0)</f>
        <v>33221</v>
      </c>
      <c r="CA308" s="99">
        <f>0</f>
        <v>0</v>
      </c>
      <c r="CB308" s="92">
        <f>ROUND(CE303*(CA303-BZ303)*CB303,0)</f>
        <v>0</v>
      </c>
      <c r="CC308" s="99">
        <f>ROUND(CD303*(CA303-BZ303),0)</f>
        <v>132881</v>
      </c>
      <c r="CD308" s="99">
        <f>ROUND(0.5*CD303*(CA303^2-BZ303^2),0)</f>
        <v>99660</v>
      </c>
      <c r="CE308" s="99">
        <f>ROUND(CE303*(CA303-BZ303)*CB303^2+1/3*CD303*(CA303^3-BZ303^3),0)</f>
        <v>99660</v>
      </c>
      <c r="CG308" s="90" t="s">
        <v>35</v>
      </c>
      <c r="CH308" s="99">
        <f>ROUND(CM303*(CI303-CH303),0)</f>
        <v>33221</v>
      </c>
      <c r="CI308" s="99">
        <f>0</f>
        <v>0</v>
      </c>
      <c r="CJ308" s="92">
        <f>ROUND(CM303*(CI303-CH303)*CJ303,0)</f>
        <v>0</v>
      </c>
      <c r="CK308" s="99">
        <f>ROUND(CL303*(CI303-CH303),0)</f>
        <v>132881</v>
      </c>
      <c r="CL308" s="99">
        <f>ROUND(0.5*CL303*(CI303^2-CH303^2),0)</f>
        <v>99660</v>
      </c>
      <c r="CM308" s="99">
        <f>ROUND(CM303*(CI303-CH303)*CJ303^2+1/3*CL303*(CI303^3-CH303^3),0)</f>
        <v>99660</v>
      </c>
      <c r="CO308" s="90" t="s">
        <v>35</v>
      </c>
      <c r="CP308" s="99">
        <f>ROUND(CU303*(CQ303-CP303),0)</f>
        <v>33221</v>
      </c>
      <c r="CQ308" s="99">
        <f>0</f>
        <v>0</v>
      </c>
      <c r="CR308" s="92">
        <f>ROUND(CU303*(CQ303-CP303)*CR303,0)</f>
        <v>0</v>
      </c>
      <c r="CS308" s="99">
        <f>ROUND(CT303*(CQ303-CP303),0)</f>
        <v>132881</v>
      </c>
      <c r="CT308" s="99">
        <f>ROUND(0.5*CT303*(CQ303^2-CP303^2),0)</f>
        <v>99660</v>
      </c>
      <c r="CU308" s="99">
        <f>ROUND(CU303*(CQ303-CP303)*CR303^2+1/3*CT303*(CQ303^3-CP303^3),0)</f>
        <v>99660</v>
      </c>
      <c r="CW308" s="90" t="s">
        <v>35</v>
      </c>
      <c r="CX308" s="99">
        <f>ROUND(DC303*(CY303-CX303),0)</f>
        <v>33221</v>
      </c>
      <c r="CY308" s="99">
        <f>0</f>
        <v>0</v>
      </c>
      <c r="CZ308" s="92">
        <f>ROUND(DC303*(CY303-CX303)*CZ303,0)</f>
        <v>0</v>
      </c>
      <c r="DA308" s="99">
        <f>ROUND(DB303*(CY303-CX303),0)</f>
        <v>132881</v>
      </c>
      <c r="DB308" s="99">
        <f>ROUND(0.5*DB303*(CY303^2-CX303^2),0)</f>
        <v>99660</v>
      </c>
      <c r="DC308" s="99">
        <f>ROUND(DC303*(CY303-CX303)*CZ303^2+1/3*DB303*(CY303^3-CX303^3),0)</f>
        <v>99660</v>
      </c>
      <c r="DE308" s="90" t="s">
        <v>35</v>
      </c>
      <c r="DF308" s="99">
        <f>ROUND(DK303*(DG303-DF303),0)</f>
        <v>33221</v>
      </c>
      <c r="DG308" s="99">
        <f>0</f>
        <v>0</v>
      </c>
      <c r="DH308" s="92">
        <f>ROUND(DK303*(DG303-DF303)*DH303,0)</f>
        <v>0</v>
      </c>
      <c r="DI308" s="99">
        <f>ROUND(DJ303*(DG303-DF303),0)</f>
        <v>132881</v>
      </c>
      <c r="DJ308" s="99">
        <f>ROUND(0.5*DJ303*(DG303^2-DF303^2),0)</f>
        <v>99660</v>
      </c>
      <c r="DK308" s="99">
        <f>ROUND(DK303*(DG303-DF303)*DH303^2+1/3*DJ303*(DG303^3-DF303^3),0)</f>
        <v>99660</v>
      </c>
      <c r="DM308" s="90" t="s">
        <v>35</v>
      </c>
      <c r="DN308" s="99">
        <f>ROUND(DS303*(DO303-DN303),0)</f>
        <v>33221</v>
      </c>
      <c r="DO308" s="99">
        <f>0</f>
        <v>0</v>
      </c>
      <c r="DP308" s="92">
        <f>ROUND(DS303*(DO303-DN303)*DP303,0)</f>
        <v>0</v>
      </c>
      <c r="DQ308" s="99">
        <f>ROUND(DR303*(DO303-DN303),0)</f>
        <v>132881</v>
      </c>
      <c r="DR308" s="99">
        <f>ROUND(0.5*DR303*(DO303^2-DN303^2),0)</f>
        <v>99660</v>
      </c>
      <c r="DS308" s="99">
        <f>ROUND(DS303*(DO303-DN303)*DP303^2+1/3*DR303*(DO303^3-DN303^3),0)</f>
        <v>99660</v>
      </c>
      <c r="DU308" s="90" t="s">
        <v>35</v>
      </c>
      <c r="DV308" s="99">
        <f>ROUND(EA303*(DW303-DV303),0)</f>
        <v>33221</v>
      </c>
      <c r="DW308" s="99">
        <f>0</f>
        <v>0</v>
      </c>
      <c r="DX308" s="92">
        <f>ROUND(EA303*(DW303-DV303)*DX303,0)</f>
        <v>0</v>
      </c>
      <c r="DY308" s="99">
        <f>ROUND(DZ303*(DW303-DV303),0)</f>
        <v>132881</v>
      </c>
      <c r="DZ308" s="99">
        <f>ROUND(0.5*DZ303*(DW303^2-DV303^2),0)</f>
        <v>99660</v>
      </c>
      <c r="EA308" s="99">
        <f>ROUND(EA303*(DW303-DV303)*DX303^2+1/3*DZ303*(DW303^3-DV303^3),0)</f>
        <v>99660</v>
      </c>
      <c r="EC308" s="90" t="s">
        <v>35</v>
      </c>
      <c r="ED308" s="99">
        <f>ROUND(EI303*(EE303-ED303),0)</f>
        <v>33221</v>
      </c>
      <c r="EE308" s="99">
        <f>0</f>
        <v>0</v>
      </c>
      <c r="EF308" s="92">
        <f>ROUND(EI303*(EE303-ED303)*EF303,0)</f>
        <v>0</v>
      </c>
      <c r="EG308" s="99">
        <f>ROUND(EH303*(EE303-ED303),0)</f>
        <v>132881</v>
      </c>
      <c r="EH308" s="99">
        <f>ROUND(0.5*EH303*(EE303^2-ED303^2),0)</f>
        <v>99660</v>
      </c>
      <c r="EI308" s="99">
        <f>ROUND(EI303*(EE303-ED303)*EF303^2+1/3*EH303*(EE303^3-ED303^3),0)</f>
        <v>99660</v>
      </c>
      <c r="EK308" s="90" t="s">
        <v>35</v>
      </c>
      <c r="EL308" s="99">
        <f>ROUND(EQ303*(EM303-EL303),0)</f>
        <v>33221</v>
      </c>
      <c r="EM308" s="99">
        <f>0</f>
        <v>0</v>
      </c>
      <c r="EN308" s="92">
        <f>ROUND(EQ303*(EM303-EL303)*EN303,0)</f>
        <v>0</v>
      </c>
      <c r="EO308" s="99">
        <f>ROUND(EP303*(EM303-EL303),0)</f>
        <v>132881</v>
      </c>
      <c r="EP308" s="99">
        <f>ROUND(0.5*EP303*(EM303^2-EL303^2),0)</f>
        <v>99660</v>
      </c>
      <c r="EQ308" s="99">
        <f>ROUND(EQ303*(EM303-EL303)*EN303^2+1/3*EP303*(EM303^3-EL303^3),0)</f>
        <v>99660</v>
      </c>
    </row>
    <row r="309" spans="8:147" ht="18" customHeight="1">
      <c r="H309" s="115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C309" s="90" t="s">
        <v>36</v>
      </c>
      <c r="AD309" s="99">
        <f>ROUND(AI304*(AE304-AD304),0)</f>
        <v>33221</v>
      </c>
      <c r="AE309" s="99">
        <f>0</f>
        <v>0</v>
      </c>
      <c r="AF309" s="92">
        <f>ROUND(AI304*(AE304-AD304)*AF304,0)</f>
        <v>33221</v>
      </c>
      <c r="AG309" s="99">
        <f>ROUND(AH304*(AE304-AD304),0)</f>
        <v>132881</v>
      </c>
      <c r="AH309" s="99">
        <f>ROUND(0.5*AH304*(AE304^2-AD304^2),0)</f>
        <v>325557</v>
      </c>
      <c r="AI309" s="99">
        <f>ROUND(AI304*(AE304-AD304)*AF304^2+1/3*AH304*(AE304^3-AD304^3),0)</f>
        <v>855751</v>
      </c>
      <c r="AK309" s="90" t="s">
        <v>36</v>
      </c>
      <c r="AL309" s="99">
        <f>ROUND(AQ304*(AM304-AL304),0)</f>
        <v>33221</v>
      </c>
      <c r="AM309" s="99">
        <f>0</f>
        <v>0</v>
      </c>
      <c r="AN309" s="92">
        <f>ROUND(AQ304*(AM304-AL304)*AN304,0)</f>
        <v>33221</v>
      </c>
      <c r="AO309" s="99">
        <f>ROUND(AP304*(AM304-AL304),0)</f>
        <v>132881</v>
      </c>
      <c r="AP309" s="99">
        <f>ROUND(0.5*AP304*(AM304^2-AL304^2),0)</f>
        <v>325557</v>
      </c>
      <c r="AQ309" s="99">
        <f>ROUND(AQ304*(AM304-AL304)*AN304^2+1/3*AP304*(AM304^3-AL304^3),0)</f>
        <v>855751</v>
      </c>
      <c r="AS309" s="90" t="s">
        <v>36</v>
      </c>
      <c r="AT309" s="99">
        <f>ROUND(AY304*(AU304-AT304),0)</f>
        <v>29620</v>
      </c>
      <c r="AU309" s="99">
        <f>0</f>
        <v>0</v>
      </c>
      <c r="AV309" s="92">
        <f>ROUND(AY304*(AU304-AT304)*AV304,0)</f>
        <v>29620</v>
      </c>
      <c r="AW309" s="99">
        <f>ROUND(AX304*(AU304-AT304),0)</f>
        <v>132881</v>
      </c>
      <c r="AX309" s="99">
        <f>ROUND(0.5*AX304*(AU304^2-AT304^2),0)</f>
        <v>325557</v>
      </c>
      <c r="AY309" s="99">
        <f>ROUND(AY304*(AU304-AT304)*AV304^2+1/3*AX304*(AU304^3-AT304^3),0)</f>
        <v>852150</v>
      </c>
      <c r="BA309" s="90" t="s">
        <v>36</v>
      </c>
      <c r="BB309" s="99">
        <f>ROUND(BG304*(BC304-BB304),0)</f>
        <v>23593</v>
      </c>
      <c r="BC309" s="99">
        <f>0</f>
        <v>0</v>
      </c>
      <c r="BD309" s="92">
        <f>ROUND(BG304*(BC304-BB304)*BD304,0)</f>
        <v>23593</v>
      </c>
      <c r="BE309" s="99">
        <f>ROUND(BF304*(BC304-BB304),0)</f>
        <v>132881</v>
      </c>
      <c r="BF309" s="99">
        <f>ROUND(0.5*BF304*(BC304^2-BB304^2),0)</f>
        <v>325557</v>
      </c>
      <c r="BG309" s="99">
        <f>ROUND(BG304*(BC304-BB304)*BD304^2+1/3*BF304*(BC304^3-BB304^3),0)</f>
        <v>846124</v>
      </c>
      <c r="BI309" s="90" t="s">
        <v>36</v>
      </c>
      <c r="BJ309" s="99">
        <f>ROUND(BO304*(BK304-BJ304),0)</f>
        <v>19968</v>
      </c>
      <c r="BK309" s="99">
        <f>0</f>
        <v>0</v>
      </c>
      <c r="BL309" s="92">
        <f>ROUND(BO304*(BK304-BJ304)*BL304,0)</f>
        <v>19968</v>
      </c>
      <c r="BM309" s="99">
        <f>ROUND(BN304*(BK304-BJ304),0)</f>
        <v>132881</v>
      </c>
      <c r="BN309" s="99">
        <f>ROUND(0.5*BN304*(BK304^2-BJ304^2),0)</f>
        <v>325557</v>
      </c>
      <c r="BO309" s="99">
        <f>ROUND(BO304*(BK304-BJ304)*BL304^2+1/3*BN304*(BK304^3-BJ304^3),0)</f>
        <v>842498</v>
      </c>
      <c r="BQ309" s="90" t="s">
        <v>36</v>
      </c>
      <c r="BR309" s="99">
        <f>ROUND(BW304*(BS304-BR304),0)</f>
        <v>17945</v>
      </c>
      <c r="BS309" s="99">
        <f>0</f>
        <v>0</v>
      </c>
      <c r="BT309" s="92">
        <f>ROUND(BW304*(BS304-BR304)*BT304,0)</f>
        <v>17945</v>
      </c>
      <c r="BU309" s="99">
        <f>ROUND(BV304*(BS304-BR304),0)</f>
        <v>132881</v>
      </c>
      <c r="BV309" s="99">
        <f>ROUND(0.5*BV304*(BS304^2-BR304^2),0)</f>
        <v>325557</v>
      </c>
      <c r="BW309" s="99">
        <f>ROUND(BW304*(BS304-BR304)*BT304^2+1/3*BV304*(BS304^3-BR304^3),0)</f>
        <v>840476</v>
      </c>
      <c r="BY309" s="90" t="s">
        <v>36</v>
      </c>
      <c r="BZ309" s="99">
        <f>ROUND(CE304*(CA304-BZ304),0)</f>
        <v>16891</v>
      </c>
      <c r="CA309" s="99">
        <f>0</f>
        <v>0</v>
      </c>
      <c r="CB309" s="92">
        <f>ROUND(CE304*(CA304-BZ304)*CB304,0)</f>
        <v>16891</v>
      </c>
      <c r="CC309" s="99">
        <f>ROUND(CD304*(CA304-BZ304),0)</f>
        <v>132881</v>
      </c>
      <c r="CD309" s="99">
        <f>ROUND(0.5*CD304*(CA304^2-BZ304^2),0)</f>
        <v>325557</v>
      </c>
      <c r="CE309" s="99">
        <f>ROUND(CE304*(CA304-BZ304)*CB304^2+1/3*CD304*(CA304^3-BZ304^3),0)</f>
        <v>839421</v>
      </c>
      <c r="CG309" s="90" t="s">
        <v>36</v>
      </c>
      <c r="CH309" s="99">
        <f>ROUND(CM304*(CI304-CH304),0)</f>
        <v>16326</v>
      </c>
      <c r="CI309" s="99">
        <f>0</f>
        <v>0</v>
      </c>
      <c r="CJ309" s="92">
        <f>ROUND(CM304*(CI304-CH304)*CJ304,0)</f>
        <v>16326</v>
      </c>
      <c r="CK309" s="99">
        <f>ROUND(CL304*(CI304-CH304),0)</f>
        <v>132881</v>
      </c>
      <c r="CL309" s="99">
        <f>ROUND(0.5*CL304*(CI304^2-CH304^2),0)</f>
        <v>325557</v>
      </c>
      <c r="CM309" s="99">
        <f>ROUND(CM304*(CI304-CH304)*CJ304^2+1/3*CL304*(CI304^3-CH304^3),0)</f>
        <v>838856</v>
      </c>
      <c r="CO309" s="90" t="s">
        <v>36</v>
      </c>
      <c r="CP309" s="99">
        <f>ROUND(CU304*(CQ304-CP304),0)</f>
        <v>15945</v>
      </c>
      <c r="CQ309" s="99">
        <f>0</f>
        <v>0</v>
      </c>
      <c r="CR309" s="92">
        <f>ROUND(CU304*(CQ304-CP304)*CR304,0)</f>
        <v>15945</v>
      </c>
      <c r="CS309" s="99">
        <f>ROUND(CT304*(CQ304-CP304),0)</f>
        <v>132881</v>
      </c>
      <c r="CT309" s="99">
        <f>ROUND(0.5*CT304*(CQ304^2-CP304^2),0)</f>
        <v>325557</v>
      </c>
      <c r="CU309" s="99">
        <f>ROUND(CU304*(CQ304-CP304)*CR304^2+1/3*CT304*(CQ304^3-CP304^3),0)</f>
        <v>838475</v>
      </c>
      <c r="CW309" s="90" t="s">
        <v>36</v>
      </c>
      <c r="CX309" s="99">
        <f>ROUND(DC304*(CY304-CX304),0)</f>
        <v>15844</v>
      </c>
      <c r="CY309" s="99">
        <f>0</f>
        <v>0</v>
      </c>
      <c r="CZ309" s="92">
        <f>ROUND(DC304*(CY304-CX304)*CZ304,0)</f>
        <v>15844</v>
      </c>
      <c r="DA309" s="99">
        <f>ROUND(DB304*(CY304-CX304),0)</f>
        <v>132881</v>
      </c>
      <c r="DB309" s="99">
        <f>ROUND(0.5*DB304*(CY304^2-CX304^2),0)</f>
        <v>325557</v>
      </c>
      <c r="DC309" s="99">
        <f>ROUND(DC304*(CY304-CX304)*CZ304^2+1/3*DB304*(CY304^3-CX304^3),0)</f>
        <v>838375</v>
      </c>
      <c r="DE309" s="90" t="s">
        <v>36</v>
      </c>
      <c r="DF309" s="99">
        <f>ROUND(DK304*(DG304-DF304),0)</f>
        <v>15792</v>
      </c>
      <c r="DG309" s="99">
        <f>0</f>
        <v>0</v>
      </c>
      <c r="DH309" s="92">
        <f>ROUND(DK304*(DG304-DF304)*DH304,0)</f>
        <v>15792</v>
      </c>
      <c r="DI309" s="99">
        <f>ROUND(DJ304*(DG304-DF304),0)</f>
        <v>132881</v>
      </c>
      <c r="DJ309" s="99">
        <f>ROUND(0.5*DJ304*(DG304^2-DF304^2),0)</f>
        <v>325557</v>
      </c>
      <c r="DK309" s="99">
        <f>ROUND(DK304*(DG304-DF304)*DH304^2+1/3*DJ304*(DG304^3-DF304^3),0)</f>
        <v>838322</v>
      </c>
      <c r="DM309" s="90" t="s">
        <v>36</v>
      </c>
      <c r="DN309" s="99">
        <f>ROUND(DS304*(DO304-DN304),0)</f>
        <v>15739</v>
      </c>
      <c r="DO309" s="99">
        <f>0</f>
        <v>0</v>
      </c>
      <c r="DP309" s="92">
        <f>ROUND(DS304*(DO304-DN304)*DP304,0)</f>
        <v>15739</v>
      </c>
      <c r="DQ309" s="99">
        <f>ROUND(DR304*(DO304-DN304),0)</f>
        <v>132881</v>
      </c>
      <c r="DR309" s="99">
        <f>ROUND(0.5*DR304*(DO304^2-DN304^2),0)</f>
        <v>325557</v>
      </c>
      <c r="DS309" s="99">
        <f>ROUND(DS304*(DO304-DN304)*DP304^2+1/3*DR304*(DO304^3-DN304^3),0)</f>
        <v>838270</v>
      </c>
      <c r="DU309" s="90" t="s">
        <v>36</v>
      </c>
      <c r="DV309" s="99">
        <f>ROUND(EA304*(DW304-DV304),0)</f>
        <v>15709</v>
      </c>
      <c r="DW309" s="99">
        <f>0</f>
        <v>0</v>
      </c>
      <c r="DX309" s="92">
        <f>ROUND(EA304*(DW304-DV304)*DX304,0)</f>
        <v>15709</v>
      </c>
      <c r="DY309" s="99">
        <f>ROUND(DZ304*(DW304-DV304),0)</f>
        <v>132881</v>
      </c>
      <c r="DZ309" s="99">
        <f>ROUND(0.5*DZ304*(DW304^2-DV304^2),0)</f>
        <v>325557</v>
      </c>
      <c r="EA309" s="99">
        <f>ROUND(EA304*(DW304-DV304)*DX304^2+1/3*DZ304*(DW304^3-DV304^3),0)</f>
        <v>838239</v>
      </c>
      <c r="EC309" s="90" t="s">
        <v>36</v>
      </c>
      <c r="ED309" s="99">
        <f>ROUND(EI304*(EE304-ED304),0)</f>
        <v>15657</v>
      </c>
      <c r="EE309" s="99">
        <f>0</f>
        <v>0</v>
      </c>
      <c r="EF309" s="92">
        <f>ROUND(EI304*(EE304-ED304)*EF304,0)</f>
        <v>15657</v>
      </c>
      <c r="EG309" s="99">
        <f>ROUND(EH304*(EE304-ED304),0)</f>
        <v>132881</v>
      </c>
      <c r="EH309" s="99">
        <f>ROUND(0.5*EH304*(EE304^2-ED304^2),0)</f>
        <v>325557</v>
      </c>
      <c r="EI309" s="99">
        <f>ROUND(EI304*(EE304-ED304)*EF304^2+1/3*EH304*(EE304^3-ED304^3),0)</f>
        <v>838187</v>
      </c>
      <c r="EK309" s="90" t="s">
        <v>36</v>
      </c>
      <c r="EL309" s="99">
        <f>ROUND(EQ304*(EM304-EL304),0)</f>
        <v>15605</v>
      </c>
      <c r="EM309" s="99">
        <f>0</f>
        <v>0</v>
      </c>
      <c r="EN309" s="92">
        <f>ROUND(EQ304*(EM304-EL304)*EN304,0)</f>
        <v>15605</v>
      </c>
      <c r="EO309" s="99">
        <f>ROUND(EP304*(EM304-EL304),0)</f>
        <v>132881</v>
      </c>
      <c r="EP309" s="99">
        <f>ROUND(0.5*EP304*(EM304^2-EL304^2),0)</f>
        <v>325557</v>
      </c>
      <c r="EQ309" s="99">
        <f>ROUND(EQ304*(EM304-EL304)*EN304^2+1/3*EP304*(EM304^3-EL304^3),0)</f>
        <v>838135</v>
      </c>
    </row>
    <row r="310" spans="8:147" ht="18" customHeight="1">
      <c r="H310" s="115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C310" s="90" t="s">
        <v>37</v>
      </c>
      <c r="AD310" s="99">
        <f>ROUND(AI305*(AE305-AD305),0)</f>
        <v>31006</v>
      </c>
      <c r="AE310" s="99">
        <f>0</f>
        <v>0</v>
      </c>
      <c r="AF310" s="92">
        <f>ROUND(AI305*(AE305-AD305)*AF305,0)</f>
        <v>62012</v>
      </c>
      <c r="AG310" s="99">
        <f>ROUND(AH305*(AE305-AD305),0)</f>
        <v>124022</v>
      </c>
      <c r="AH310" s="99">
        <f>ROUND(0.5*AH305*(AE305^2-AD305^2),0)</f>
        <v>508489</v>
      </c>
      <c r="AI310" s="99">
        <f>ROUND(AI305*(AE305-AD305)*AF305^2+1/3*AH305*(AE305^3-AD305^3),0)</f>
        <v>2229087</v>
      </c>
      <c r="AK310" s="90" t="s">
        <v>37</v>
      </c>
      <c r="AL310" s="99">
        <f>ROUND(AQ305*(AM305-AL305),0)</f>
        <v>3981</v>
      </c>
      <c r="AM310" s="99">
        <f>0</f>
        <v>0</v>
      </c>
      <c r="AN310" s="92">
        <f>ROUND(AQ305*(AM305-AL305)*AN305,0)</f>
        <v>7962</v>
      </c>
      <c r="AO310" s="99">
        <f>ROUND(AP305*(AM305-AL305),0)</f>
        <v>90070</v>
      </c>
      <c r="AP310" s="99">
        <f>ROUND(0.5*AP305*(AM305^2-AL305^2),0)</f>
        <v>352027</v>
      </c>
      <c r="AQ310" s="99">
        <f>ROUND(AQ305*(AM305-AL305)*AN305^2+1/3*AP305*(AM305^3-AL305^3),0)</f>
        <v>1399536</v>
      </c>
      <c r="AS310" s="90" t="s">
        <v>37</v>
      </c>
      <c r="AT310" s="99">
        <f>ROUND(AY305*(AU305-AT305),0)</f>
        <v>40</v>
      </c>
      <c r="AU310" s="99">
        <f>0</f>
        <v>0</v>
      </c>
      <c r="AV310" s="92">
        <f>ROUND(AY305*(AU305-AT305)*AV305,0)</f>
        <v>80</v>
      </c>
      <c r="AW310" s="99">
        <f>ROUND(AX305*(AU305-AT305),0)</f>
        <v>45681</v>
      </c>
      <c r="AX310" s="99">
        <f>ROUND(0.5*AX305*(AU305^2-AT305^2),0)</f>
        <v>167093</v>
      </c>
      <c r="AY310" s="99">
        <f>ROUND(AY305*(AU305-AT305)*AV305^2+1/3*AX305*(AU305^3-AT305^3),0)</f>
        <v>612369</v>
      </c>
      <c r="BA310" s="90" t="s">
        <v>37</v>
      </c>
      <c r="BB310" s="99">
        <f>ROUND(BG305*(BC305-BB305),0)</f>
        <v>0</v>
      </c>
      <c r="BC310" s="99">
        <f>0</f>
        <v>0</v>
      </c>
      <c r="BD310" s="92">
        <f>ROUND(BG305*(BC305-BB305)*BD305,0)</f>
        <v>0</v>
      </c>
      <c r="BE310" s="99">
        <f>ROUND(BF305*(BC305-BB305),0)</f>
        <v>19942</v>
      </c>
      <c r="BF310" s="99">
        <f>ROUND(0.5*BF305*(BC305^2-BB305^2),0)</f>
        <v>70049</v>
      </c>
      <c r="BG310" s="99">
        <f>ROUND(BG305*(BC305-BB305)*BD305^2+1/3*BF305*(BC305^3-BB305^3),0)</f>
        <v>246136</v>
      </c>
      <c r="BI310" s="90" t="s">
        <v>37</v>
      </c>
      <c r="BJ310" s="99">
        <f>ROUND(BO305*(BK305-BJ305),0)</f>
        <v>0</v>
      </c>
      <c r="BK310" s="99">
        <f>0</f>
        <v>0</v>
      </c>
      <c r="BL310" s="92">
        <f>ROUND(BO305*(BK305-BJ305)*BL305,0)</f>
        <v>0</v>
      </c>
      <c r="BM310" s="99">
        <f>ROUND(BN305*(BK305-BJ305),0)</f>
        <v>8117</v>
      </c>
      <c r="BN310" s="99">
        <f>ROUND(0.5*BN305*(BK305^2-BJ305^2),0)</f>
        <v>27970</v>
      </c>
      <c r="BO310" s="99">
        <f>ROUND(BO305*(BK305-BJ305)*BL305^2+1/3*BN305*(BK305^3-BJ305^3),0)</f>
        <v>96387</v>
      </c>
      <c r="BQ310" s="90" t="s">
        <v>37</v>
      </c>
      <c r="BR310" s="99">
        <f>ROUND(BW305*(BS305-BR305),0)</f>
        <v>0</v>
      </c>
      <c r="BS310" s="99">
        <f>0</f>
        <v>0</v>
      </c>
      <c r="BT310" s="92">
        <f>ROUND(BW305*(BS305-BR305)*BT305,0)</f>
        <v>0</v>
      </c>
      <c r="BU310" s="99">
        <f>ROUND(BV305*(BS305-BR305),0)</f>
        <v>1539</v>
      </c>
      <c r="BV310" s="99">
        <f>ROUND(0.5*BV305*(BS305^2-BR305^2),0)</f>
        <v>5248</v>
      </c>
      <c r="BW310" s="99">
        <f>ROUND(BW305*(BS305-BR305)*BT305^2+1/3*BV305*(BS305^3-BR305^3),0)</f>
        <v>17888</v>
      </c>
      <c r="BY310" s="90" t="s">
        <v>37</v>
      </c>
      <c r="BZ310" s="99">
        <f>ROUND(CE305*(CA305-BZ305),0)</f>
        <v>0</v>
      </c>
      <c r="CA310" s="99">
        <f>0</f>
        <v>0</v>
      </c>
      <c r="CB310" s="92">
        <f>ROUND(CE305*(CA305-BZ305)*CB305,0)</f>
        <v>0</v>
      </c>
      <c r="CC310" s="99">
        <f>ROUND(CD305*(CA305-BZ305),0)</f>
        <v>0</v>
      </c>
      <c r="CD310" s="99">
        <f>ROUND(0.5*CD305*(CA305^2-BZ305^2),0)</f>
        <v>0</v>
      </c>
      <c r="CE310" s="99">
        <f>ROUND(CE305*(CA305-BZ305)*CB305^2+1/3*CD305*(CA305^3-BZ305^3),0)</f>
        <v>0</v>
      </c>
      <c r="CG310" s="90" t="s">
        <v>37</v>
      </c>
      <c r="CH310" s="99">
        <f>ROUND(CM305*(CI305-CH305),0)</f>
        <v>0</v>
      </c>
      <c r="CI310" s="99">
        <f>0</f>
        <v>0</v>
      </c>
      <c r="CJ310" s="92">
        <f>ROUND(CM305*(CI305-CH305)*CJ305,0)</f>
        <v>0</v>
      </c>
      <c r="CK310" s="99">
        <f>ROUND(CL305*(CI305-CH305),0)</f>
        <v>0</v>
      </c>
      <c r="CL310" s="99">
        <f>ROUND(0.5*CL305*(CI305^2-CH305^2),0)</f>
        <v>0</v>
      </c>
      <c r="CM310" s="99">
        <f>ROUND(CM305*(CI305-CH305)*CJ305^2+1/3*CL305*(CI305^3-CH305^3),0)</f>
        <v>0</v>
      </c>
      <c r="CO310" s="90" t="s">
        <v>37</v>
      </c>
      <c r="CP310" s="99">
        <f>ROUND(CU305*(CQ305-CP305),0)</f>
        <v>0</v>
      </c>
      <c r="CQ310" s="99">
        <f>0</f>
        <v>0</v>
      </c>
      <c r="CR310" s="92">
        <f>ROUND(CU305*(CQ305-CP305)*CR305,0)</f>
        <v>0</v>
      </c>
      <c r="CS310" s="99">
        <f>ROUND(CT305*(CQ305-CP305),0)</f>
        <v>0</v>
      </c>
      <c r="CT310" s="99">
        <f>ROUND(0.5*CT305*(CQ305^2-CP305^2),0)</f>
        <v>0</v>
      </c>
      <c r="CU310" s="99">
        <f>ROUND(CU305*(CQ305-CP305)*CR305^2+1/3*CT305*(CQ305^3-CP305^3),0)</f>
        <v>0</v>
      </c>
      <c r="CW310" s="90" t="s">
        <v>37</v>
      </c>
      <c r="CX310" s="99">
        <f>ROUND(DC305*(CY305-CX305),0)</f>
        <v>0</v>
      </c>
      <c r="CY310" s="99">
        <f>0</f>
        <v>0</v>
      </c>
      <c r="CZ310" s="92">
        <f>ROUND(DC305*(CY305-CX305)*CZ305,0)</f>
        <v>0</v>
      </c>
      <c r="DA310" s="99">
        <f>ROUND(DB305*(CY305-CX305),0)</f>
        <v>0</v>
      </c>
      <c r="DB310" s="99">
        <f>ROUND(0.5*DB305*(CY305^2-CX305^2),0)</f>
        <v>0</v>
      </c>
      <c r="DC310" s="99">
        <f>ROUND(DC305*(CY305-CX305)*CZ305^2+1/3*DB305*(CY305^3-CX305^3),0)</f>
        <v>0</v>
      </c>
      <c r="DE310" s="90" t="s">
        <v>37</v>
      </c>
      <c r="DF310" s="99">
        <f>ROUND(DK305*(DG305-DF305),0)</f>
        <v>0</v>
      </c>
      <c r="DG310" s="99">
        <f>0</f>
        <v>0</v>
      </c>
      <c r="DH310" s="92">
        <f>ROUND(DK305*(DG305-DF305)*DH305,0)</f>
        <v>0</v>
      </c>
      <c r="DI310" s="99">
        <f>ROUND(DJ305*(DG305-DF305),0)</f>
        <v>0</v>
      </c>
      <c r="DJ310" s="99">
        <f>ROUND(0.5*DJ305*(DG305^2-DF305^2),0)</f>
        <v>0</v>
      </c>
      <c r="DK310" s="99">
        <f>ROUND(DK305*(DG305-DF305)*DH305^2+1/3*DJ305*(DG305^3-DF305^3),0)</f>
        <v>0</v>
      </c>
      <c r="DM310" s="90" t="s">
        <v>37</v>
      </c>
      <c r="DN310" s="99">
        <f>ROUND(DS305*(DO305-DN305),0)</f>
        <v>0</v>
      </c>
      <c r="DO310" s="99">
        <f>0</f>
        <v>0</v>
      </c>
      <c r="DP310" s="92">
        <f>ROUND(DS305*(DO305-DN305)*DP305,0)</f>
        <v>0</v>
      </c>
      <c r="DQ310" s="99">
        <f>ROUND(DR305*(DO305-DN305),0)</f>
        <v>0</v>
      </c>
      <c r="DR310" s="99">
        <f>ROUND(0.5*DR305*(DO305^2-DN305^2),0)</f>
        <v>0</v>
      </c>
      <c r="DS310" s="99">
        <f>ROUND(DS305*(DO305-DN305)*DP305^2+1/3*DR305*(DO305^3-DN305^3),0)</f>
        <v>0</v>
      </c>
      <c r="DU310" s="90" t="s">
        <v>37</v>
      </c>
      <c r="DV310" s="99">
        <f>ROUND(EA305*(DW305-DV305),0)</f>
        <v>0</v>
      </c>
      <c r="DW310" s="99">
        <f>0</f>
        <v>0</v>
      </c>
      <c r="DX310" s="92">
        <f>ROUND(EA305*(DW305-DV305)*DX305,0)</f>
        <v>0</v>
      </c>
      <c r="DY310" s="99">
        <f>ROUND(DZ305*(DW305-DV305),0)</f>
        <v>0</v>
      </c>
      <c r="DZ310" s="99">
        <f>ROUND(0.5*DZ305*(DW305^2-DV305^2),0)</f>
        <v>0</v>
      </c>
      <c r="EA310" s="99">
        <f>ROUND(EA305*(DW305-DV305)*DX305^2+1/3*DZ305*(DW305^3-DV305^3),0)</f>
        <v>0</v>
      </c>
      <c r="EC310" s="90" t="s">
        <v>37</v>
      </c>
      <c r="ED310" s="99">
        <f>ROUND(EI305*(EE305-ED305),0)</f>
        <v>0</v>
      </c>
      <c r="EE310" s="99">
        <f>0</f>
        <v>0</v>
      </c>
      <c r="EF310" s="92">
        <f>ROUND(EI305*(EE305-ED305)*EF305,0)</f>
        <v>0</v>
      </c>
      <c r="EG310" s="99">
        <f>ROUND(EH305*(EE305-ED305),0)</f>
        <v>0</v>
      </c>
      <c r="EH310" s="99">
        <f>ROUND(0.5*EH305*(EE305^2-ED305^2),0)</f>
        <v>0</v>
      </c>
      <c r="EI310" s="99">
        <f>ROUND(EI305*(EE305-ED305)*EF305^2+1/3*EH305*(EE305^3-ED305^3),0)</f>
        <v>0</v>
      </c>
      <c r="EK310" s="90" t="s">
        <v>37</v>
      </c>
      <c r="EL310" s="99">
        <f>ROUND(EQ305*(EM305-EL305),0)</f>
        <v>0</v>
      </c>
      <c r="EM310" s="99">
        <f>0</f>
        <v>0</v>
      </c>
      <c r="EN310" s="92">
        <f>ROUND(EQ305*(EM305-EL305)*EN305,0)</f>
        <v>0</v>
      </c>
      <c r="EO310" s="99">
        <f>ROUND(EP305*(EM305-EL305),0)</f>
        <v>0</v>
      </c>
      <c r="EP310" s="99">
        <f>ROUND(0.5*EP305*(EM305^2-EL305^2),0)</f>
        <v>0</v>
      </c>
      <c r="EQ310" s="99">
        <f>ROUND(EQ305*(EM305-EL305)*EN305^2+1/3*EP305*(EM305^3-EL305^3),0)</f>
        <v>0</v>
      </c>
    </row>
    <row r="311" spans="8:147" ht="18" customHeight="1">
      <c r="H311" s="115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C311" s="100" t="s">
        <v>15</v>
      </c>
      <c r="AD311" s="101">
        <f aca="true" t="shared" si="22" ref="AD311:AI311">SUM(AD308:AD310)</f>
        <v>97448</v>
      </c>
      <c r="AE311" s="101">
        <f t="shared" si="22"/>
        <v>0</v>
      </c>
      <c r="AF311" s="101">
        <f t="shared" si="22"/>
        <v>95233</v>
      </c>
      <c r="AG311" s="101">
        <f t="shared" si="22"/>
        <v>389784</v>
      </c>
      <c r="AH311" s="101">
        <f t="shared" si="22"/>
        <v>933706</v>
      </c>
      <c r="AI311" s="101">
        <f t="shared" si="22"/>
        <v>3184498</v>
      </c>
      <c r="AK311" s="100" t="s">
        <v>15</v>
      </c>
      <c r="AL311" s="101">
        <f aca="true" t="shared" si="23" ref="AL311:AQ311">SUM(AL308:AL310)</f>
        <v>70423</v>
      </c>
      <c r="AM311" s="101">
        <f t="shared" si="23"/>
        <v>0</v>
      </c>
      <c r="AN311" s="101">
        <f t="shared" si="23"/>
        <v>41183</v>
      </c>
      <c r="AO311" s="101">
        <f t="shared" si="23"/>
        <v>355832</v>
      </c>
      <c r="AP311" s="101">
        <f t="shared" si="23"/>
        <v>777244</v>
      </c>
      <c r="AQ311" s="101">
        <f t="shared" si="23"/>
        <v>2354947</v>
      </c>
      <c r="AS311" s="100" t="s">
        <v>15</v>
      </c>
      <c r="AT311" s="101">
        <f aca="true" t="shared" si="24" ref="AT311:AY311">SUM(AT308:AT310)</f>
        <v>62881</v>
      </c>
      <c r="AU311" s="101">
        <f t="shared" si="24"/>
        <v>0</v>
      </c>
      <c r="AV311" s="101">
        <f t="shared" si="24"/>
        <v>29700</v>
      </c>
      <c r="AW311" s="101">
        <f t="shared" si="24"/>
        <v>311443</v>
      </c>
      <c r="AX311" s="101">
        <f t="shared" si="24"/>
        <v>592310</v>
      </c>
      <c r="AY311" s="101">
        <f t="shared" si="24"/>
        <v>1564179</v>
      </c>
      <c r="BA311" s="100" t="s">
        <v>15</v>
      </c>
      <c r="BB311" s="101">
        <f aca="true" t="shared" si="25" ref="BB311:BG311">SUM(BB308:BB310)</f>
        <v>56814</v>
      </c>
      <c r="BC311" s="101">
        <f t="shared" si="25"/>
        <v>0</v>
      </c>
      <c r="BD311" s="101">
        <f t="shared" si="25"/>
        <v>23593</v>
      </c>
      <c r="BE311" s="101">
        <f t="shared" si="25"/>
        <v>285704</v>
      </c>
      <c r="BF311" s="101">
        <f t="shared" si="25"/>
        <v>495266</v>
      </c>
      <c r="BG311" s="101">
        <f t="shared" si="25"/>
        <v>1191920</v>
      </c>
      <c r="BI311" s="100" t="s">
        <v>15</v>
      </c>
      <c r="BJ311" s="101">
        <f aca="true" t="shared" si="26" ref="BJ311:BO311">SUM(BJ308:BJ310)</f>
        <v>53189</v>
      </c>
      <c r="BK311" s="101">
        <f t="shared" si="26"/>
        <v>0</v>
      </c>
      <c r="BL311" s="101">
        <f t="shared" si="26"/>
        <v>19968</v>
      </c>
      <c r="BM311" s="101">
        <f t="shared" si="26"/>
        <v>273879</v>
      </c>
      <c r="BN311" s="101">
        <f t="shared" si="26"/>
        <v>453187</v>
      </c>
      <c r="BO311" s="101">
        <f t="shared" si="26"/>
        <v>1038545</v>
      </c>
      <c r="BQ311" s="100" t="s">
        <v>15</v>
      </c>
      <c r="BR311" s="101">
        <f aca="true" t="shared" si="27" ref="BR311:BW311">SUM(BR308:BR310)</f>
        <v>51166</v>
      </c>
      <c r="BS311" s="101">
        <f t="shared" si="27"/>
        <v>0</v>
      </c>
      <c r="BT311" s="101">
        <f t="shared" si="27"/>
        <v>17945</v>
      </c>
      <c r="BU311" s="101">
        <f t="shared" si="27"/>
        <v>267301</v>
      </c>
      <c r="BV311" s="101">
        <f t="shared" si="27"/>
        <v>430465</v>
      </c>
      <c r="BW311" s="101">
        <f t="shared" si="27"/>
        <v>958024</v>
      </c>
      <c r="BY311" s="100" t="s">
        <v>15</v>
      </c>
      <c r="BZ311" s="101">
        <f aca="true" t="shared" si="28" ref="BZ311:CE311">SUM(BZ308:BZ310)</f>
        <v>50112</v>
      </c>
      <c r="CA311" s="101">
        <f t="shared" si="28"/>
        <v>0</v>
      </c>
      <c r="CB311" s="101">
        <f t="shared" si="28"/>
        <v>16891</v>
      </c>
      <c r="CC311" s="101">
        <f t="shared" si="28"/>
        <v>265762</v>
      </c>
      <c r="CD311" s="101">
        <f t="shared" si="28"/>
        <v>425217</v>
      </c>
      <c r="CE311" s="101">
        <f t="shared" si="28"/>
        <v>939081</v>
      </c>
      <c r="CG311" s="100" t="s">
        <v>15</v>
      </c>
      <c r="CH311" s="101">
        <f aca="true" t="shared" si="29" ref="CH311:CM311">SUM(CH308:CH310)</f>
        <v>49547</v>
      </c>
      <c r="CI311" s="101">
        <f t="shared" si="29"/>
        <v>0</v>
      </c>
      <c r="CJ311" s="101">
        <f t="shared" si="29"/>
        <v>16326</v>
      </c>
      <c r="CK311" s="101">
        <f t="shared" si="29"/>
        <v>265762</v>
      </c>
      <c r="CL311" s="101">
        <f t="shared" si="29"/>
        <v>425217</v>
      </c>
      <c r="CM311" s="101">
        <f t="shared" si="29"/>
        <v>938516</v>
      </c>
      <c r="CO311" s="100" t="s">
        <v>15</v>
      </c>
      <c r="CP311" s="101">
        <f aca="true" t="shared" si="30" ref="CP311:CU311">SUM(CP308:CP310)</f>
        <v>49166</v>
      </c>
      <c r="CQ311" s="101">
        <f t="shared" si="30"/>
        <v>0</v>
      </c>
      <c r="CR311" s="101">
        <f t="shared" si="30"/>
        <v>15945</v>
      </c>
      <c r="CS311" s="101">
        <f t="shared" si="30"/>
        <v>265762</v>
      </c>
      <c r="CT311" s="101">
        <f t="shared" si="30"/>
        <v>425217</v>
      </c>
      <c r="CU311" s="101">
        <f t="shared" si="30"/>
        <v>938135</v>
      </c>
      <c r="CW311" s="100" t="s">
        <v>15</v>
      </c>
      <c r="CX311" s="101">
        <f aca="true" t="shared" si="31" ref="CX311:DC311">SUM(CX308:CX310)</f>
        <v>49065</v>
      </c>
      <c r="CY311" s="101">
        <f t="shared" si="31"/>
        <v>0</v>
      </c>
      <c r="CZ311" s="101">
        <f t="shared" si="31"/>
        <v>15844</v>
      </c>
      <c r="DA311" s="101">
        <f t="shared" si="31"/>
        <v>265762</v>
      </c>
      <c r="DB311" s="101">
        <f t="shared" si="31"/>
        <v>425217</v>
      </c>
      <c r="DC311" s="101">
        <f t="shared" si="31"/>
        <v>938035</v>
      </c>
      <c r="DE311" s="100" t="s">
        <v>15</v>
      </c>
      <c r="DF311" s="101">
        <f aca="true" t="shared" si="32" ref="DF311:DK311">SUM(DF308:DF310)</f>
        <v>49013</v>
      </c>
      <c r="DG311" s="101">
        <f t="shared" si="32"/>
        <v>0</v>
      </c>
      <c r="DH311" s="101">
        <f t="shared" si="32"/>
        <v>15792</v>
      </c>
      <c r="DI311" s="101">
        <f t="shared" si="32"/>
        <v>265762</v>
      </c>
      <c r="DJ311" s="101">
        <f t="shared" si="32"/>
        <v>425217</v>
      </c>
      <c r="DK311" s="101">
        <f t="shared" si="32"/>
        <v>937982</v>
      </c>
      <c r="DM311" s="100" t="s">
        <v>15</v>
      </c>
      <c r="DN311" s="101">
        <f aca="true" t="shared" si="33" ref="DN311:DS311">SUM(DN308:DN310)</f>
        <v>48960</v>
      </c>
      <c r="DO311" s="101">
        <f t="shared" si="33"/>
        <v>0</v>
      </c>
      <c r="DP311" s="101">
        <f t="shared" si="33"/>
        <v>15739</v>
      </c>
      <c r="DQ311" s="101">
        <f t="shared" si="33"/>
        <v>265762</v>
      </c>
      <c r="DR311" s="101">
        <f t="shared" si="33"/>
        <v>425217</v>
      </c>
      <c r="DS311" s="101">
        <f t="shared" si="33"/>
        <v>937930</v>
      </c>
      <c r="DU311" s="100" t="s">
        <v>15</v>
      </c>
      <c r="DV311" s="101">
        <f aca="true" t="shared" si="34" ref="DV311:EA311">SUM(DV308:DV310)</f>
        <v>48930</v>
      </c>
      <c r="DW311" s="101">
        <f t="shared" si="34"/>
        <v>0</v>
      </c>
      <c r="DX311" s="101">
        <f t="shared" si="34"/>
        <v>15709</v>
      </c>
      <c r="DY311" s="101">
        <f t="shared" si="34"/>
        <v>265762</v>
      </c>
      <c r="DZ311" s="101">
        <f t="shared" si="34"/>
        <v>425217</v>
      </c>
      <c r="EA311" s="101">
        <f t="shared" si="34"/>
        <v>937899</v>
      </c>
      <c r="EC311" s="100" t="s">
        <v>15</v>
      </c>
      <c r="ED311" s="101">
        <f aca="true" t="shared" si="35" ref="ED311:EI311">SUM(ED308:ED310)</f>
        <v>48878</v>
      </c>
      <c r="EE311" s="101">
        <f t="shared" si="35"/>
        <v>0</v>
      </c>
      <c r="EF311" s="101">
        <f t="shared" si="35"/>
        <v>15657</v>
      </c>
      <c r="EG311" s="101">
        <f t="shared" si="35"/>
        <v>265762</v>
      </c>
      <c r="EH311" s="101">
        <f t="shared" si="35"/>
        <v>425217</v>
      </c>
      <c r="EI311" s="101">
        <f t="shared" si="35"/>
        <v>937847</v>
      </c>
      <c r="EK311" s="100" t="s">
        <v>15</v>
      </c>
      <c r="EL311" s="101">
        <f>SUM(EL308:EL310)</f>
        <v>48826</v>
      </c>
      <c r="EM311" s="101">
        <f>SUM(EM308:EM310)</f>
        <v>0</v>
      </c>
      <c r="EN311" s="101">
        <f>SUM(EN308:EN310)</f>
        <v>15605</v>
      </c>
      <c r="EO311" s="101">
        <f>SUM(EO308:EO310)</f>
        <v>265762</v>
      </c>
      <c r="EP311" s="101">
        <f>SUM(EP308:EP310)</f>
        <v>425217</v>
      </c>
      <c r="EQ311" s="101">
        <f>SUM(EQ308:EQ310)</f>
        <v>937795</v>
      </c>
    </row>
    <row r="312" spans="8:27" ht="18" customHeight="1">
      <c r="H312" s="115"/>
      <c r="R312" s="27"/>
      <c r="S312" s="27"/>
      <c r="T312" s="27"/>
      <c r="U312" s="27"/>
      <c r="V312" s="27"/>
      <c r="W312" s="27"/>
      <c r="X312" s="27"/>
      <c r="Y312" s="27"/>
      <c r="Z312" s="27"/>
      <c r="AA312" s="27"/>
    </row>
    <row r="313" spans="1:146" ht="18" customHeight="1">
      <c r="A313" s="38"/>
      <c r="H313" s="115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D313" s="3" t="s">
        <v>16</v>
      </c>
      <c r="AE313" s="18"/>
      <c r="AF313" s="4" t="s">
        <v>17</v>
      </c>
      <c r="AG313" s="18"/>
      <c r="AH313" s="5" t="s">
        <v>18</v>
      </c>
      <c r="AL313" s="3" t="s">
        <v>16</v>
      </c>
      <c r="AM313" s="18"/>
      <c r="AN313" s="4" t="s">
        <v>17</v>
      </c>
      <c r="AO313" s="18"/>
      <c r="AP313" s="5" t="s">
        <v>18</v>
      </c>
      <c r="AT313" s="3" t="s">
        <v>16</v>
      </c>
      <c r="AU313" s="18"/>
      <c r="AV313" s="4" t="s">
        <v>17</v>
      </c>
      <c r="AW313" s="18"/>
      <c r="AX313" s="5" t="s">
        <v>18</v>
      </c>
      <c r="BB313" s="3" t="s">
        <v>16</v>
      </c>
      <c r="BC313" s="18"/>
      <c r="BD313" s="4" t="s">
        <v>17</v>
      </c>
      <c r="BE313" s="18"/>
      <c r="BF313" s="5" t="s">
        <v>18</v>
      </c>
      <c r="BJ313" s="3" t="s">
        <v>16</v>
      </c>
      <c r="BK313" s="18"/>
      <c r="BL313" s="4" t="s">
        <v>17</v>
      </c>
      <c r="BM313" s="18"/>
      <c r="BN313" s="5" t="s">
        <v>18</v>
      </c>
      <c r="BR313" s="3" t="s">
        <v>16</v>
      </c>
      <c r="BS313" s="18"/>
      <c r="BT313" s="4" t="s">
        <v>17</v>
      </c>
      <c r="BU313" s="18"/>
      <c r="BV313" s="5" t="s">
        <v>18</v>
      </c>
      <c r="BZ313" s="3" t="s">
        <v>16</v>
      </c>
      <c r="CA313" s="18"/>
      <c r="CB313" s="4" t="s">
        <v>17</v>
      </c>
      <c r="CC313" s="18"/>
      <c r="CD313" s="5" t="s">
        <v>18</v>
      </c>
      <c r="CH313" s="3" t="s">
        <v>16</v>
      </c>
      <c r="CI313" s="18"/>
      <c r="CJ313" s="4" t="s">
        <v>17</v>
      </c>
      <c r="CK313" s="18"/>
      <c r="CL313" s="5" t="s">
        <v>18</v>
      </c>
      <c r="CP313" s="3" t="s">
        <v>16</v>
      </c>
      <c r="CQ313" s="18"/>
      <c r="CR313" s="4" t="s">
        <v>17</v>
      </c>
      <c r="CS313" s="18"/>
      <c r="CT313" s="5" t="s">
        <v>18</v>
      </c>
      <c r="CX313" s="3" t="s">
        <v>16</v>
      </c>
      <c r="CY313" s="18"/>
      <c r="CZ313" s="4" t="s">
        <v>17</v>
      </c>
      <c r="DA313" s="18"/>
      <c r="DB313" s="5" t="s">
        <v>18</v>
      </c>
      <c r="DF313" s="3" t="s">
        <v>16</v>
      </c>
      <c r="DG313" s="18"/>
      <c r="DH313" s="4" t="s">
        <v>17</v>
      </c>
      <c r="DI313" s="18"/>
      <c r="DJ313" s="5" t="s">
        <v>18</v>
      </c>
      <c r="DN313" s="3" t="s">
        <v>16</v>
      </c>
      <c r="DO313" s="18"/>
      <c r="DP313" s="4" t="s">
        <v>17</v>
      </c>
      <c r="DQ313" s="18"/>
      <c r="DR313" s="5" t="s">
        <v>18</v>
      </c>
      <c r="DV313" s="3" t="s">
        <v>16</v>
      </c>
      <c r="DW313" s="18"/>
      <c r="DX313" s="4" t="s">
        <v>17</v>
      </c>
      <c r="DY313" s="18"/>
      <c r="DZ313" s="5" t="s">
        <v>18</v>
      </c>
      <c r="ED313" s="3" t="s">
        <v>16</v>
      </c>
      <c r="EE313" s="18"/>
      <c r="EF313" s="4" t="s">
        <v>17</v>
      </c>
      <c r="EG313" s="18"/>
      <c r="EH313" s="5" t="s">
        <v>18</v>
      </c>
      <c r="EL313" s="3" t="s">
        <v>16</v>
      </c>
      <c r="EM313" s="18"/>
      <c r="EN313" s="4" t="s">
        <v>17</v>
      </c>
      <c r="EO313" s="18"/>
      <c r="EP313" s="5" t="s">
        <v>18</v>
      </c>
    </row>
    <row r="314" spans="1:146" ht="18" customHeight="1">
      <c r="A314" s="38"/>
      <c r="H314" s="115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D314" s="6">
        <f>-ΣH</f>
        <v>-285.1001716218185</v>
      </c>
      <c r="AE314" s="7">
        <f>AD311</f>
        <v>97448</v>
      </c>
      <c r="AF314" s="7">
        <f>AE311</f>
        <v>0</v>
      </c>
      <c r="AG314" s="7">
        <f>AF311</f>
        <v>95233</v>
      </c>
      <c r="AH314" s="19" t="s">
        <v>38</v>
      </c>
      <c r="AJ314" s="102"/>
      <c r="AL314" s="6">
        <f>-ΣH</f>
        <v>-285.1001716218185</v>
      </c>
      <c r="AM314" s="7">
        <f>AL311</f>
        <v>70423</v>
      </c>
      <c r="AN314" s="7">
        <f>AM311</f>
        <v>0</v>
      </c>
      <c r="AO314" s="7">
        <f>AN311</f>
        <v>41183</v>
      </c>
      <c r="AP314" s="19" t="s">
        <v>38</v>
      </c>
      <c r="AR314" s="102"/>
      <c r="AT314" s="6">
        <f>-ΣH</f>
        <v>-285.1001716218185</v>
      </c>
      <c r="AU314" s="7">
        <f>AT311</f>
        <v>62881</v>
      </c>
      <c r="AV314" s="7">
        <f>AU311</f>
        <v>0</v>
      </c>
      <c r="AW314" s="7">
        <f>AV311</f>
        <v>29700</v>
      </c>
      <c r="AX314" s="19" t="s">
        <v>38</v>
      </c>
      <c r="BB314" s="6">
        <f>-ΣH</f>
        <v>-285.1001716218185</v>
      </c>
      <c r="BC314" s="7">
        <f>BB311</f>
        <v>56814</v>
      </c>
      <c r="BD314" s="7">
        <f>BC311</f>
        <v>0</v>
      </c>
      <c r="BE314" s="7">
        <f>BD311</f>
        <v>23593</v>
      </c>
      <c r="BF314" s="19" t="s">
        <v>38</v>
      </c>
      <c r="BJ314" s="6">
        <f>-ΣH</f>
        <v>-285.1001716218185</v>
      </c>
      <c r="BK314" s="7">
        <f>BJ311</f>
        <v>53189</v>
      </c>
      <c r="BL314" s="7">
        <f>BK311</f>
        <v>0</v>
      </c>
      <c r="BM314" s="7">
        <f>BL311</f>
        <v>19968</v>
      </c>
      <c r="BN314" s="19" t="s">
        <v>38</v>
      </c>
      <c r="BR314" s="6">
        <f>-ΣH</f>
        <v>-285.1001716218185</v>
      </c>
      <c r="BS314" s="7">
        <f>BR311</f>
        <v>51166</v>
      </c>
      <c r="BT314" s="7">
        <f>BS311</f>
        <v>0</v>
      </c>
      <c r="BU314" s="7">
        <f>BT311</f>
        <v>17945</v>
      </c>
      <c r="BV314" s="19" t="s">
        <v>38</v>
      </c>
      <c r="BZ314" s="6">
        <f>-ΣH</f>
        <v>-285.1001716218185</v>
      </c>
      <c r="CA314" s="7">
        <f>BZ311</f>
        <v>50112</v>
      </c>
      <c r="CB314" s="7">
        <f>CA311</f>
        <v>0</v>
      </c>
      <c r="CC314" s="7">
        <f>CB311</f>
        <v>16891</v>
      </c>
      <c r="CD314" s="19" t="s">
        <v>38</v>
      </c>
      <c r="CH314" s="6">
        <f>-ΣH</f>
        <v>-285.1001716218185</v>
      </c>
      <c r="CI314" s="7">
        <f>CH311</f>
        <v>49547</v>
      </c>
      <c r="CJ314" s="7">
        <f>CI311</f>
        <v>0</v>
      </c>
      <c r="CK314" s="7">
        <f>CJ311</f>
        <v>16326</v>
      </c>
      <c r="CL314" s="19" t="s">
        <v>38</v>
      </c>
      <c r="CP314" s="6">
        <f>-ΣH</f>
        <v>-285.1001716218185</v>
      </c>
      <c r="CQ314" s="7">
        <f>CP311</f>
        <v>49166</v>
      </c>
      <c r="CR314" s="7">
        <f>CQ311</f>
        <v>0</v>
      </c>
      <c r="CS314" s="7">
        <f>CR311</f>
        <v>15945</v>
      </c>
      <c r="CT314" s="19" t="s">
        <v>38</v>
      </c>
      <c r="CX314" s="6">
        <f>-ΣH</f>
        <v>-285.1001716218185</v>
      </c>
      <c r="CY314" s="7">
        <f>CX311</f>
        <v>49065</v>
      </c>
      <c r="CZ314" s="7">
        <f>CY311</f>
        <v>0</v>
      </c>
      <c r="DA314" s="7">
        <f>CZ311</f>
        <v>15844</v>
      </c>
      <c r="DB314" s="19" t="s">
        <v>38</v>
      </c>
      <c r="DF314" s="6">
        <f>-ΣH</f>
        <v>-285.1001716218185</v>
      </c>
      <c r="DG314" s="7">
        <f>DF311</f>
        <v>49013</v>
      </c>
      <c r="DH314" s="7">
        <f>DG311</f>
        <v>0</v>
      </c>
      <c r="DI314" s="7">
        <f>DH311</f>
        <v>15792</v>
      </c>
      <c r="DJ314" s="19" t="s">
        <v>38</v>
      </c>
      <c r="DN314" s="6">
        <f>-ΣH</f>
        <v>-285.1001716218185</v>
      </c>
      <c r="DO314" s="7">
        <f>DN311</f>
        <v>48960</v>
      </c>
      <c r="DP314" s="7">
        <f>DO311</f>
        <v>0</v>
      </c>
      <c r="DQ314" s="7">
        <f>DP311</f>
        <v>15739</v>
      </c>
      <c r="DR314" s="19" t="s">
        <v>38</v>
      </c>
      <c r="DV314" s="6">
        <f>-ΣH</f>
        <v>-285.1001716218185</v>
      </c>
      <c r="DW314" s="7">
        <f>DV311</f>
        <v>48930</v>
      </c>
      <c r="DX314" s="7">
        <f>DW311</f>
        <v>0</v>
      </c>
      <c r="DY314" s="7">
        <f>DX311</f>
        <v>15709</v>
      </c>
      <c r="DZ314" s="19" t="s">
        <v>38</v>
      </c>
      <c r="ED314" s="6">
        <f>-ΣH</f>
        <v>-285.1001716218185</v>
      </c>
      <c r="EE314" s="7">
        <f>ED311</f>
        <v>48878</v>
      </c>
      <c r="EF314" s="7">
        <f>EE311</f>
        <v>0</v>
      </c>
      <c r="EG314" s="7">
        <f>EF311</f>
        <v>15657</v>
      </c>
      <c r="EH314" s="19" t="s">
        <v>38</v>
      </c>
      <c r="EL314" s="6">
        <f>-ΣH</f>
        <v>-285.1001716218185</v>
      </c>
      <c r="EM314" s="7">
        <f>EL311</f>
        <v>48826</v>
      </c>
      <c r="EN314" s="7">
        <f>EM311</f>
        <v>0</v>
      </c>
      <c r="EO314" s="7">
        <f>EN311</f>
        <v>15605</v>
      </c>
      <c r="EP314" s="19" t="s">
        <v>38</v>
      </c>
    </row>
    <row r="315" spans="1:146" ht="18" customHeight="1">
      <c r="A315" s="38"/>
      <c r="H315" s="115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D315" s="6">
        <f>ΣV</f>
        <v>728.600679892794</v>
      </c>
      <c r="AE315" s="7">
        <f>AF314</f>
        <v>0</v>
      </c>
      <c r="AF315" s="7">
        <f>AG311</f>
        <v>389784</v>
      </c>
      <c r="AG315" s="7">
        <f>AH311</f>
        <v>933706</v>
      </c>
      <c r="AH315" s="19" t="s">
        <v>39</v>
      </c>
      <c r="AJ315" s="102"/>
      <c r="AL315" s="6">
        <f>ΣV</f>
        <v>728.600679892794</v>
      </c>
      <c r="AM315" s="7">
        <f>AN314</f>
        <v>0</v>
      </c>
      <c r="AN315" s="7">
        <f>AO311</f>
        <v>355832</v>
      </c>
      <c r="AO315" s="7">
        <f>AP311</f>
        <v>777244</v>
      </c>
      <c r="AP315" s="19" t="s">
        <v>39</v>
      </c>
      <c r="AR315" s="102"/>
      <c r="AT315" s="6">
        <f>ΣV</f>
        <v>728.600679892794</v>
      </c>
      <c r="AU315" s="7">
        <f>AV314</f>
        <v>0</v>
      </c>
      <c r="AV315" s="7">
        <f>AW311</f>
        <v>311443</v>
      </c>
      <c r="AW315" s="7">
        <f>AX311</f>
        <v>592310</v>
      </c>
      <c r="AX315" s="19" t="s">
        <v>39</v>
      </c>
      <c r="BB315" s="6">
        <f>ΣV</f>
        <v>728.600679892794</v>
      </c>
      <c r="BC315" s="7">
        <f>BD314</f>
        <v>0</v>
      </c>
      <c r="BD315" s="7">
        <f>BE311</f>
        <v>285704</v>
      </c>
      <c r="BE315" s="7">
        <f>BF311</f>
        <v>495266</v>
      </c>
      <c r="BF315" s="19" t="s">
        <v>39</v>
      </c>
      <c r="BJ315" s="6">
        <f>ΣV</f>
        <v>728.600679892794</v>
      </c>
      <c r="BK315" s="7">
        <f>BL314</f>
        <v>0</v>
      </c>
      <c r="BL315" s="7">
        <f>BM311</f>
        <v>273879</v>
      </c>
      <c r="BM315" s="7">
        <f>BN311</f>
        <v>453187</v>
      </c>
      <c r="BN315" s="19" t="s">
        <v>39</v>
      </c>
      <c r="BR315" s="6">
        <f>ΣV</f>
        <v>728.600679892794</v>
      </c>
      <c r="BS315" s="7">
        <f>BT314</f>
        <v>0</v>
      </c>
      <c r="BT315" s="7">
        <f>BU311</f>
        <v>267301</v>
      </c>
      <c r="BU315" s="7">
        <f>BV311</f>
        <v>430465</v>
      </c>
      <c r="BV315" s="19" t="s">
        <v>39</v>
      </c>
      <c r="BZ315" s="6">
        <f>ΣV</f>
        <v>728.600679892794</v>
      </c>
      <c r="CA315" s="7">
        <f>CB314</f>
        <v>0</v>
      </c>
      <c r="CB315" s="7">
        <f>CC311</f>
        <v>265762</v>
      </c>
      <c r="CC315" s="7">
        <f>CD311</f>
        <v>425217</v>
      </c>
      <c r="CD315" s="19" t="s">
        <v>39</v>
      </c>
      <c r="CH315" s="6">
        <f>ΣV</f>
        <v>728.600679892794</v>
      </c>
      <c r="CI315" s="7">
        <f>CJ314</f>
        <v>0</v>
      </c>
      <c r="CJ315" s="7">
        <f>CK311</f>
        <v>265762</v>
      </c>
      <c r="CK315" s="7">
        <f>CL311</f>
        <v>425217</v>
      </c>
      <c r="CL315" s="19" t="s">
        <v>39</v>
      </c>
      <c r="CP315" s="6">
        <f>ΣV</f>
        <v>728.600679892794</v>
      </c>
      <c r="CQ315" s="7">
        <f>CR314</f>
        <v>0</v>
      </c>
      <c r="CR315" s="7">
        <f>CS311</f>
        <v>265762</v>
      </c>
      <c r="CS315" s="7">
        <f>CT311</f>
        <v>425217</v>
      </c>
      <c r="CT315" s="19" t="s">
        <v>39</v>
      </c>
      <c r="CX315" s="6">
        <f>ΣV</f>
        <v>728.600679892794</v>
      </c>
      <c r="CY315" s="7">
        <f>CZ314</f>
        <v>0</v>
      </c>
      <c r="CZ315" s="7">
        <f>DA311</f>
        <v>265762</v>
      </c>
      <c r="DA315" s="7">
        <f>DB311</f>
        <v>425217</v>
      </c>
      <c r="DB315" s="19" t="s">
        <v>39</v>
      </c>
      <c r="DF315" s="6">
        <f>ΣV</f>
        <v>728.600679892794</v>
      </c>
      <c r="DG315" s="7">
        <f>DH314</f>
        <v>0</v>
      </c>
      <c r="DH315" s="7">
        <f>DI311</f>
        <v>265762</v>
      </c>
      <c r="DI315" s="7">
        <f>DJ311</f>
        <v>425217</v>
      </c>
      <c r="DJ315" s="19" t="s">
        <v>39</v>
      </c>
      <c r="DN315" s="6">
        <f>ΣV</f>
        <v>728.600679892794</v>
      </c>
      <c r="DO315" s="7">
        <f>DP314</f>
        <v>0</v>
      </c>
      <c r="DP315" s="7">
        <f>DQ311</f>
        <v>265762</v>
      </c>
      <c r="DQ315" s="7">
        <f>DR311</f>
        <v>425217</v>
      </c>
      <c r="DR315" s="19" t="s">
        <v>39</v>
      </c>
      <c r="DV315" s="6">
        <f>ΣV</f>
        <v>728.600679892794</v>
      </c>
      <c r="DW315" s="7">
        <f>DX314</f>
        <v>0</v>
      </c>
      <c r="DX315" s="7">
        <f>DY311</f>
        <v>265762</v>
      </c>
      <c r="DY315" s="7">
        <f>DZ311</f>
        <v>425217</v>
      </c>
      <c r="DZ315" s="19" t="s">
        <v>39</v>
      </c>
      <c r="ED315" s="6">
        <f>ΣV</f>
        <v>728.600679892794</v>
      </c>
      <c r="EE315" s="7">
        <f>EF314</f>
        <v>0</v>
      </c>
      <c r="EF315" s="7">
        <f>EG311</f>
        <v>265762</v>
      </c>
      <c r="EG315" s="7">
        <f>EH311</f>
        <v>425217</v>
      </c>
      <c r="EH315" s="19" t="s">
        <v>39</v>
      </c>
      <c r="EL315" s="6">
        <f>ΣV</f>
        <v>728.600679892794</v>
      </c>
      <c r="EM315" s="7">
        <f>EN314</f>
        <v>0</v>
      </c>
      <c r="EN315" s="7">
        <f>EO311</f>
        <v>265762</v>
      </c>
      <c r="EO315" s="7">
        <f>EP311</f>
        <v>425217</v>
      </c>
      <c r="EP315" s="19" t="s">
        <v>39</v>
      </c>
    </row>
    <row r="316" spans="1:146" ht="18" customHeight="1">
      <c r="A316" s="38"/>
      <c r="H316" s="115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D316" s="6">
        <f>ΣM</f>
        <v>674.7770082226489</v>
      </c>
      <c r="AE316" s="7">
        <f>AG314</f>
        <v>95233</v>
      </c>
      <c r="AF316" s="7">
        <f>AG315</f>
        <v>933706</v>
      </c>
      <c r="AG316" s="7">
        <f>AI311</f>
        <v>3184498</v>
      </c>
      <c r="AH316" s="5" t="s">
        <v>376</v>
      </c>
      <c r="AJ316" s="102"/>
      <c r="AL316" s="6">
        <f>ΣM</f>
        <v>674.7770082226489</v>
      </c>
      <c r="AM316" s="7">
        <f>AO314</f>
        <v>41183</v>
      </c>
      <c r="AN316" s="7">
        <f>AO315</f>
        <v>777244</v>
      </c>
      <c r="AO316" s="7">
        <f>AQ311</f>
        <v>2354947</v>
      </c>
      <c r="AP316" s="5" t="s">
        <v>376</v>
      </c>
      <c r="AR316" s="102"/>
      <c r="AT316" s="6">
        <f>ΣM</f>
        <v>674.7770082226489</v>
      </c>
      <c r="AU316" s="7">
        <f>AW314</f>
        <v>29700</v>
      </c>
      <c r="AV316" s="7">
        <f>AW315</f>
        <v>592310</v>
      </c>
      <c r="AW316" s="7">
        <f>AY311</f>
        <v>1564179</v>
      </c>
      <c r="AX316" s="5" t="s">
        <v>376</v>
      </c>
      <c r="BB316" s="6">
        <f>ΣM</f>
        <v>674.7770082226489</v>
      </c>
      <c r="BC316" s="7">
        <f>BE314</f>
        <v>23593</v>
      </c>
      <c r="BD316" s="7">
        <f>BE315</f>
        <v>495266</v>
      </c>
      <c r="BE316" s="7">
        <f>BG311</f>
        <v>1191920</v>
      </c>
      <c r="BF316" s="5" t="s">
        <v>376</v>
      </c>
      <c r="BJ316" s="6">
        <f>ΣM</f>
        <v>674.7770082226489</v>
      </c>
      <c r="BK316" s="7">
        <f>BM314</f>
        <v>19968</v>
      </c>
      <c r="BL316" s="7">
        <f>BM315</f>
        <v>453187</v>
      </c>
      <c r="BM316" s="7">
        <f>BO311</f>
        <v>1038545</v>
      </c>
      <c r="BN316" s="5" t="s">
        <v>376</v>
      </c>
      <c r="BR316" s="6">
        <f>ΣM</f>
        <v>674.7770082226489</v>
      </c>
      <c r="BS316" s="7">
        <f>BU314</f>
        <v>17945</v>
      </c>
      <c r="BT316" s="7">
        <f>BU315</f>
        <v>430465</v>
      </c>
      <c r="BU316" s="7">
        <f>BW311</f>
        <v>958024</v>
      </c>
      <c r="BV316" s="5" t="s">
        <v>376</v>
      </c>
      <c r="BZ316" s="6">
        <f>ΣM</f>
        <v>674.7770082226489</v>
      </c>
      <c r="CA316" s="7">
        <f>CC314</f>
        <v>16891</v>
      </c>
      <c r="CB316" s="7">
        <f>CC315</f>
        <v>425217</v>
      </c>
      <c r="CC316" s="7">
        <f>CE311</f>
        <v>939081</v>
      </c>
      <c r="CD316" s="5" t="s">
        <v>376</v>
      </c>
      <c r="CH316" s="6">
        <f>ΣM</f>
        <v>674.7770082226489</v>
      </c>
      <c r="CI316" s="7">
        <f>CK314</f>
        <v>16326</v>
      </c>
      <c r="CJ316" s="7">
        <f>CK315</f>
        <v>425217</v>
      </c>
      <c r="CK316" s="7">
        <f>CM311</f>
        <v>938516</v>
      </c>
      <c r="CL316" s="5" t="s">
        <v>376</v>
      </c>
      <c r="CP316" s="6">
        <f>ΣM</f>
        <v>674.7770082226489</v>
      </c>
      <c r="CQ316" s="7">
        <f>CS314</f>
        <v>15945</v>
      </c>
      <c r="CR316" s="7">
        <f>CS315</f>
        <v>425217</v>
      </c>
      <c r="CS316" s="7">
        <f>CU311</f>
        <v>938135</v>
      </c>
      <c r="CT316" s="5" t="s">
        <v>376</v>
      </c>
      <c r="CX316" s="6">
        <f>ΣM</f>
        <v>674.7770082226489</v>
      </c>
      <c r="CY316" s="7">
        <f>DA314</f>
        <v>15844</v>
      </c>
      <c r="CZ316" s="7">
        <f>DA315</f>
        <v>425217</v>
      </c>
      <c r="DA316" s="7">
        <f>DC311</f>
        <v>938035</v>
      </c>
      <c r="DB316" s="5" t="s">
        <v>376</v>
      </c>
      <c r="DF316" s="6">
        <f>ΣM</f>
        <v>674.7770082226489</v>
      </c>
      <c r="DG316" s="7">
        <f>DI314</f>
        <v>15792</v>
      </c>
      <c r="DH316" s="7">
        <f>DI315</f>
        <v>425217</v>
      </c>
      <c r="DI316" s="7">
        <f>DK311</f>
        <v>937982</v>
      </c>
      <c r="DJ316" s="5" t="s">
        <v>376</v>
      </c>
      <c r="DN316" s="6">
        <f>ΣM</f>
        <v>674.7770082226489</v>
      </c>
      <c r="DO316" s="7">
        <f>DQ314</f>
        <v>15739</v>
      </c>
      <c r="DP316" s="7">
        <f>DQ315</f>
        <v>425217</v>
      </c>
      <c r="DQ316" s="7">
        <f>DS311</f>
        <v>937930</v>
      </c>
      <c r="DR316" s="5" t="s">
        <v>376</v>
      </c>
      <c r="DV316" s="6">
        <f>ΣM</f>
        <v>674.7770082226489</v>
      </c>
      <c r="DW316" s="7">
        <f>DY314</f>
        <v>15709</v>
      </c>
      <c r="DX316" s="7">
        <f>DY315</f>
        <v>425217</v>
      </c>
      <c r="DY316" s="7">
        <f>EA311</f>
        <v>937899</v>
      </c>
      <c r="DZ316" s="5" t="s">
        <v>376</v>
      </c>
      <c r="ED316" s="6">
        <f>ΣM</f>
        <v>674.7770082226489</v>
      </c>
      <c r="EE316" s="7">
        <f>EG314</f>
        <v>15657</v>
      </c>
      <c r="EF316" s="7">
        <f>EG315</f>
        <v>425217</v>
      </c>
      <c r="EG316" s="7">
        <f>EI311</f>
        <v>937847</v>
      </c>
      <c r="EH316" s="5" t="s">
        <v>376</v>
      </c>
      <c r="EL316" s="6">
        <f>ΣM</f>
        <v>674.7770082226489</v>
      </c>
      <c r="EM316" s="7">
        <f>EO314</f>
        <v>15605</v>
      </c>
      <c r="EN316" s="7">
        <f>EO315</f>
        <v>425217</v>
      </c>
      <c r="EO316" s="7">
        <f>EQ311</f>
        <v>937795</v>
      </c>
      <c r="EP316" s="5" t="s">
        <v>376</v>
      </c>
    </row>
    <row r="317" spans="1:44" ht="18" customHeight="1">
      <c r="A317" s="38"/>
      <c r="H317" s="115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J317" s="102"/>
      <c r="AR317" s="102"/>
    </row>
    <row r="318" spans="1:144" ht="18" customHeight="1">
      <c r="A318" s="38"/>
      <c r="H318" s="115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D318" s="1" t="s">
        <v>40</v>
      </c>
      <c r="AE318" s="20">
        <f>ROUND(INDEX(MMULT(MINVERSE(AE314:AG316),AD314:AD316),1),5)</f>
        <v>-0.00202</v>
      </c>
      <c r="AF318" s="11" t="s">
        <v>19</v>
      </c>
      <c r="AJ318" s="102"/>
      <c r="AL318" s="1" t="s">
        <v>40</v>
      </c>
      <c r="AM318" s="20">
        <f>ROUND(INDEX(MMULT(MINVERSE(AM314:AO316),AL314:AL316),1),5)</f>
        <v>-0.00336</v>
      </c>
      <c r="AN318" s="11" t="s">
        <v>19</v>
      </c>
      <c r="AR318" s="102"/>
      <c r="AT318" s="1" t="s">
        <v>40</v>
      </c>
      <c r="AU318" s="20">
        <f>ROUND(INDEX(MMULT(MINVERSE(AU314:AW316),AT314:AT316),1),5)</f>
        <v>-0.00389</v>
      </c>
      <c r="AV318" s="11" t="s">
        <v>19</v>
      </c>
      <c r="BB318" s="1" t="s">
        <v>40</v>
      </c>
      <c r="BC318" s="20">
        <f>ROUND(INDEX(MMULT(MINVERSE(BC314:BE316),BB314:BB316),1),5)</f>
        <v>-0.00442</v>
      </c>
      <c r="BD318" s="11" t="s">
        <v>19</v>
      </c>
      <c r="BJ318" s="1" t="s">
        <v>40</v>
      </c>
      <c r="BK318" s="20">
        <f>ROUND(INDEX(MMULT(MINVERSE(BK314:BM316),BJ314:BJ316),1),5)</f>
        <v>-0.00479</v>
      </c>
      <c r="BL318" s="11" t="s">
        <v>19</v>
      </c>
      <c r="BR318" s="1" t="s">
        <v>40</v>
      </c>
      <c r="BS318" s="20">
        <f>ROUND(INDEX(MMULT(MINVERSE(BS314:BU316),BR314:BR316),1),5)</f>
        <v>-0.00503</v>
      </c>
      <c r="BT318" s="11" t="s">
        <v>19</v>
      </c>
      <c r="BZ318" s="1" t="s">
        <v>40</v>
      </c>
      <c r="CA318" s="20">
        <f>ROUND(INDEX(MMULT(MINVERSE(CA314:CC316),BZ314:BZ316),1),5)</f>
        <v>-0.00516</v>
      </c>
      <c r="CB318" s="11" t="s">
        <v>19</v>
      </c>
      <c r="CH318" s="1" t="s">
        <v>40</v>
      </c>
      <c r="CI318" s="20">
        <f>ROUND(INDEX(MMULT(MINVERSE(CI314:CK316),CH314:CH316),1),5)</f>
        <v>-0.00524</v>
      </c>
      <c r="CJ318" s="11" t="s">
        <v>19</v>
      </c>
      <c r="CP318" s="1" t="s">
        <v>40</v>
      </c>
      <c r="CQ318" s="20">
        <f>ROUND(INDEX(MMULT(MINVERSE(CQ314:CS316),CP314:CP316),1),5)</f>
        <v>-0.00529</v>
      </c>
      <c r="CR318" s="11" t="s">
        <v>19</v>
      </c>
      <c r="CX318" s="1" t="s">
        <v>40</v>
      </c>
      <c r="CY318" s="20">
        <f>ROUND(INDEX(MMULT(MINVERSE(CY314:DA316),CX314:CX316),1),5)</f>
        <v>-0.0053</v>
      </c>
      <c r="CZ318" s="11" t="s">
        <v>19</v>
      </c>
      <c r="DF318" s="1" t="s">
        <v>40</v>
      </c>
      <c r="DG318" s="20">
        <f>ROUND(INDEX(MMULT(MINVERSE(DG314:DI316),DF314:DF316),1),5)</f>
        <v>-0.00531</v>
      </c>
      <c r="DH318" s="11" t="s">
        <v>19</v>
      </c>
      <c r="DN318" s="1" t="s">
        <v>40</v>
      </c>
      <c r="DO318" s="20">
        <f>ROUND(INDEX(MMULT(MINVERSE(DO314:DQ316),DN314:DN316),1),5)</f>
        <v>-0.00531</v>
      </c>
      <c r="DP318" s="11" t="s">
        <v>19</v>
      </c>
      <c r="DV318" s="1" t="s">
        <v>40</v>
      </c>
      <c r="DW318" s="20">
        <f>ROUND(INDEX(MMULT(MINVERSE(DW314:DY316),DV314:DV316),1),5)</f>
        <v>-0.00532</v>
      </c>
      <c r="DX318" s="11" t="s">
        <v>19</v>
      </c>
      <c r="ED318" s="1" t="s">
        <v>40</v>
      </c>
      <c r="EE318" s="20">
        <f>ROUND(INDEX(MMULT(MINVERSE(EE314:EG316),ED314:ED316),1),5)</f>
        <v>-0.00533</v>
      </c>
      <c r="EF318" s="11" t="s">
        <v>19</v>
      </c>
      <c r="EL318" s="1" t="s">
        <v>40</v>
      </c>
      <c r="EM318" s="20">
        <f>ROUND(INDEX(MMULT(MINVERSE(EM314:EO316),EL314:EL316),1),5)</f>
        <v>-0.00533</v>
      </c>
      <c r="EN318" s="11" t="s">
        <v>19</v>
      </c>
    </row>
    <row r="319" spans="1:144" ht="18" customHeight="1">
      <c r="A319" s="38"/>
      <c r="H319" s="115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D319" s="1" t="s">
        <v>41</v>
      </c>
      <c r="AE319" s="20">
        <f>ROUND(INDEX(MMULT(MINVERSE(AE314:AG316),AD314:AD316),2),5)</f>
        <v>0.00409</v>
      </c>
      <c r="AF319" s="11" t="s">
        <v>19</v>
      </c>
      <c r="AJ319" s="102"/>
      <c r="AL319" s="1" t="s">
        <v>41</v>
      </c>
      <c r="AM319" s="20">
        <f>ROUND(INDEX(MMULT(MINVERSE(AM314:AO316),AL314:AL316),2),5)</f>
        <v>0.00464</v>
      </c>
      <c r="AN319" s="11" t="s">
        <v>19</v>
      </c>
      <c r="AR319" s="102"/>
      <c r="AT319" s="1" t="s">
        <v>41</v>
      </c>
      <c r="AU319" s="20">
        <f>ROUND(INDEX(MMULT(MINVERSE(AU314:AW316),AT314:AT316),2),5)</f>
        <v>0.00493</v>
      </c>
      <c r="AV319" s="11" t="s">
        <v>19</v>
      </c>
      <c r="BB319" s="1" t="s">
        <v>41</v>
      </c>
      <c r="BC319" s="20">
        <f>ROUND(INDEX(MMULT(MINVERSE(BC314:BE316),BB314:BB316),2),5)</f>
        <v>0.00507</v>
      </c>
      <c r="BD319" s="11" t="s">
        <v>19</v>
      </c>
      <c r="BJ319" s="1" t="s">
        <v>41</v>
      </c>
      <c r="BK319" s="20">
        <f>ROUND(INDEX(MMULT(MINVERSE(BK314:BM316),BJ314:BJ316),2),5)</f>
        <v>0.00515</v>
      </c>
      <c r="BL319" s="11" t="s">
        <v>19</v>
      </c>
      <c r="BR319" s="1" t="s">
        <v>41</v>
      </c>
      <c r="BS319" s="20">
        <f>ROUND(INDEX(MMULT(MINVERSE(BS314:BU316),BR314:BR316),2),5)</f>
        <v>0.00521</v>
      </c>
      <c r="BT319" s="11" t="s">
        <v>19</v>
      </c>
      <c r="BZ319" s="1" t="s">
        <v>41</v>
      </c>
      <c r="CA319" s="20">
        <f>ROUND(INDEX(MMULT(MINVERSE(CA314:CC316),BZ314:BZ316),2),5)</f>
        <v>0.00524</v>
      </c>
      <c r="CB319" s="11" t="s">
        <v>19</v>
      </c>
      <c r="CH319" s="1" t="s">
        <v>41</v>
      </c>
      <c r="CI319" s="20">
        <f>ROUND(INDEX(MMULT(MINVERSE(CI314:CK316),CH314:CH316),2),5)</f>
        <v>0.00525</v>
      </c>
      <c r="CJ319" s="11" t="s">
        <v>19</v>
      </c>
      <c r="CP319" s="1" t="s">
        <v>41</v>
      </c>
      <c r="CQ319" s="20">
        <f>ROUND(INDEX(MMULT(MINVERSE(CQ314:CS316),CP314:CP316),2),5)</f>
        <v>0.00527</v>
      </c>
      <c r="CR319" s="11" t="s">
        <v>19</v>
      </c>
      <c r="CX319" s="1" t="s">
        <v>41</v>
      </c>
      <c r="CY319" s="20">
        <f>ROUND(INDEX(MMULT(MINVERSE(CY314:DA316),CX314:CX316),2),5)</f>
        <v>0.00527</v>
      </c>
      <c r="CZ319" s="11" t="s">
        <v>19</v>
      </c>
      <c r="DF319" s="1" t="s">
        <v>41</v>
      </c>
      <c r="DG319" s="20">
        <f>ROUND(INDEX(MMULT(MINVERSE(DG314:DI316),DF314:DF316),2),5)</f>
        <v>0.00527</v>
      </c>
      <c r="DH319" s="11" t="s">
        <v>19</v>
      </c>
      <c r="DN319" s="1" t="s">
        <v>41</v>
      </c>
      <c r="DO319" s="20">
        <f>ROUND(INDEX(MMULT(MINVERSE(DO314:DQ316),DN314:DN316),2),5)</f>
        <v>0.00527</v>
      </c>
      <c r="DP319" s="11" t="s">
        <v>19</v>
      </c>
      <c r="DV319" s="1" t="s">
        <v>41</v>
      </c>
      <c r="DW319" s="20">
        <f>ROUND(INDEX(MMULT(MINVERSE(DW314:DY316),DV314:DV316),2),5)</f>
        <v>0.00527</v>
      </c>
      <c r="DX319" s="11" t="s">
        <v>19</v>
      </c>
      <c r="ED319" s="1" t="s">
        <v>41</v>
      </c>
      <c r="EE319" s="20">
        <f>ROUND(INDEX(MMULT(MINVERSE(EE314:EG316),ED314:ED316),2),5)</f>
        <v>0.00527</v>
      </c>
      <c r="EF319" s="11" t="s">
        <v>19</v>
      </c>
      <c r="EL319" s="1" t="s">
        <v>41</v>
      </c>
      <c r="EM319" s="20">
        <f>ROUND(INDEX(MMULT(MINVERSE(EM314:EO316),EL314:EL316),2),5)</f>
        <v>0.00528</v>
      </c>
      <c r="EN319" s="11" t="s">
        <v>19</v>
      </c>
    </row>
    <row r="320" spans="1:144" ht="18" customHeight="1">
      <c r="A320" s="38"/>
      <c r="H320" s="115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D320" s="1" t="s">
        <v>42</v>
      </c>
      <c r="AE320" s="20">
        <f>ROUND(INDEX(MMULT(MINVERSE(AE314:AG316),AD314:AD316),3),6)</f>
        <v>-0.000926</v>
      </c>
      <c r="AF320" s="11" t="s">
        <v>20</v>
      </c>
      <c r="AJ320" s="102"/>
      <c r="AL320" s="1" t="s">
        <v>42</v>
      </c>
      <c r="AM320" s="20">
        <f>ROUND(INDEX(MMULT(MINVERSE(AM314:AO316),AL314:AL316),3),6)</f>
        <v>-0.001185</v>
      </c>
      <c r="AN320" s="11" t="s">
        <v>20</v>
      </c>
      <c r="AR320" s="102"/>
      <c r="AT320" s="1" t="s">
        <v>42</v>
      </c>
      <c r="AU320" s="20">
        <f>ROUND(INDEX(MMULT(MINVERSE(AU314:AW316),AT314:AT316),3),6)</f>
        <v>-0.00136</v>
      </c>
      <c r="AV320" s="11" t="s">
        <v>20</v>
      </c>
      <c r="BB320" s="1" t="s">
        <v>42</v>
      </c>
      <c r="BC320" s="20">
        <f>ROUND(INDEX(MMULT(MINVERSE(BC314:BE316),BB314:BB316),3),6)</f>
        <v>-0.001452</v>
      </c>
      <c r="BD320" s="11" t="s">
        <v>20</v>
      </c>
      <c r="BJ320" s="1" t="s">
        <v>42</v>
      </c>
      <c r="BK320" s="20">
        <f>ROUND(INDEX(MMULT(MINVERSE(BK314:BM316),BJ314:BJ316),3),6)</f>
        <v>-0.001507</v>
      </c>
      <c r="BL320" s="11" t="s">
        <v>20</v>
      </c>
      <c r="BR320" s="1" t="s">
        <v>42</v>
      </c>
      <c r="BS320" s="20">
        <f>ROUND(INDEX(MMULT(MINVERSE(BS314:BU316),BR314:BR316),3),6)</f>
        <v>-0.001542</v>
      </c>
      <c r="BT320" s="11" t="s">
        <v>20</v>
      </c>
      <c r="BZ320" s="1" t="s">
        <v>42</v>
      </c>
      <c r="CA320" s="20">
        <f>ROUND(INDEX(MMULT(MINVERSE(CA314:CC316),BZ314:BZ316),3),6)</f>
        <v>-0.001561</v>
      </c>
      <c r="CB320" s="11" t="s">
        <v>20</v>
      </c>
      <c r="CH320" s="1" t="s">
        <v>42</v>
      </c>
      <c r="CI320" s="20">
        <f>ROUND(INDEX(MMULT(MINVERSE(CI314:CK316),CH314:CH316),3),6)</f>
        <v>-0.001571</v>
      </c>
      <c r="CJ320" s="11" t="s">
        <v>20</v>
      </c>
      <c r="CP320" s="1" t="s">
        <v>42</v>
      </c>
      <c r="CQ320" s="20">
        <f>ROUND(INDEX(MMULT(MINVERSE(CQ314:CS316),CP314:CP316),3),6)</f>
        <v>-0.001578</v>
      </c>
      <c r="CR320" s="11" t="s">
        <v>20</v>
      </c>
      <c r="CX320" s="1" t="s">
        <v>42</v>
      </c>
      <c r="CY320" s="20">
        <f>ROUND(INDEX(MMULT(MINVERSE(CY314:DA316),CX314:CX316),3),6)</f>
        <v>-0.001579</v>
      </c>
      <c r="CZ320" s="11" t="s">
        <v>20</v>
      </c>
      <c r="DF320" s="1" t="s">
        <v>42</v>
      </c>
      <c r="DG320" s="20">
        <f>ROUND(INDEX(MMULT(MINVERSE(DG314:DI316),DF314:DF316),3),6)</f>
        <v>-0.00158</v>
      </c>
      <c r="DH320" s="11" t="s">
        <v>20</v>
      </c>
      <c r="DN320" s="1" t="s">
        <v>42</v>
      </c>
      <c r="DO320" s="20">
        <f>ROUND(INDEX(MMULT(MINVERSE(DO314:DQ316),DN314:DN316),3),6)</f>
        <v>-0.001581</v>
      </c>
      <c r="DP320" s="11" t="s">
        <v>20</v>
      </c>
      <c r="DV320" s="1" t="s">
        <v>42</v>
      </c>
      <c r="DW320" s="20">
        <f>ROUND(INDEX(MMULT(MINVERSE(DW314:DY316),DV314:DV316),3),6)</f>
        <v>-0.001582</v>
      </c>
      <c r="DX320" s="11" t="s">
        <v>20</v>
      </c>
      <c r="ED320" s="1" t="s">
        <v>42</v>
      </c>
      <c r="EE320" s="20">
        <f>ROUND(INDEX(MMULT(MINVERSE(EE314:EG316),ED314:ED316),3),6)</f>
        <v>-0.001583</v>
      </c>
      <c r="EF320" s="11" t="s">
        <v>20</v>
      </c>
      <c r="EL320" s="1" t="s">
        <v>42</v>
      </c>
      <c r="EM320" s="20">
        <f>ROUND(INDEX(MMULT(MINVERSE(EM314:EO316),EL314:EL316),3),6)</f>
        <v>-0.001584</v>
      </c>
      <c r="EN320" s="11" t="s">
        <v>20</v>
      </c>
    </row>
    <row r="321" spans="1:148" ht="18" customHeight="1">
      <c r="A321" s="38"/>
      <c r="H321" s="115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C321" s="209" t="s">
        <v>4</v>
      </c>
      <c r="AD321" s="212" t="s">
        <v>379</v>
      </c>
      <c r="AE321" s="204" t="s">
        <v>21</v>
      </c>
      <c r="AF321" s="216"/>
      <c r="AG321" s="216"/>
      <c r="AH321" s="217"/>
      <c r="AI321" s="218" t="s">
        <v>22</v>
      </c>
      <c r="AJ321" s="216"/>
      <c r="AK321" s="209" t="s">
        <v>4</v>
      </c>
      <c r="AL321" s="212" t="s">
        <v>379</v>
      </c>
      <c r="AM321" s="204" t="s">
        <v>21</v>
      </c>
      <c r="AN321" s="216"/>
      <c r="AO321" s="216"/>
      <c r="AP321" s="217"/>
      <c r="AQ321" s="218" t="s">
        <v>22</v>
      </c>
      <c r="AR321" s="216"/>
      <c r="AS321" s="209" t="s">
        <v>4</v>
      </c>
      <c r="AT321" s="212" t="s">
        <v>379</v>
      </c>
      <c r="AU321" s="204" t="s">
        <v>21</v>
      </c>
      <c r="AV321" s="216"/>
      <c r="AW321" s="216"/>
      <c r="AX321" s="217"/>
      <c r="AY321" s="218" t="s">
        <v>22</v>
      </c>
      <c r="AZ321" s="216"/>
      <c r="BA321" s="209" t="s">
        <v>4</v>
      </c>
      <c r="BB321" s="212" t="s">
        <v>379</v>
      </c>
      <c r="BC321" s="204" t="s">
        <v>21</v>
      </c>
      <c r="BD321" s="216"/>
      <c r="BE321" s="216"/>
      <c r="BF321" s="217"/>
      <c r="BG321" s="218" t="s">
        <v>22</v>
      </c>
      <c r="BH321" s="216"/>
      <c r="BI321" s="209" t="s">
        <v>4</v>
      </c>
      <c r="BJ321" s="212" t="s">
        <v>379</v>
      </c>
      <c r="BK321" s="204" t="s">
        <v>21</v>
      </c>
      <c r="BL321" s="216"/>
      <c r="BM321" s="216"/>
      <c r="BN321" s="217"/>
      <c r="BO321" s="218" t="s">
        <v>22</v>
      </c>
      <c r="BP321" s="216"/>
      <c r="BQ321" s="209" t="s">
        <v>4</v>
      </c>
      <c r="BR321" s="212" t="s">
        <v>379</v>
      </c>
      <c r="BS321" s="204" t="s">
        <v>21</v>
      </c>
      <c r="BT321" s="216"/>
      <c r="BU321" s="216"/>
      <c r="BV321" s="217"/>
      <c r="BW321" s="218" t="s">
        <v>22</v>
      </c>
      <c r="BX321" s="216"/>
      <c r="BY321" s="209" t="s">
        <v>4</v>
      </c>
      <c r="BZ321" s="212" t="s">
        <v>379</v>
      </c>
      <c r="CA321" s="204" t="s">
        <v>21</v>
      </c>
      <c r="CB321" s="216"/>
      <c r="CC321" s="216"/>
      <c r="CD321" s="217"/>
      <c r="CE321" s="218" t="s">
        <v>22</v>
      </c>
      <c r="CF321" s="216"/>
      <c r="CG321" s="209" t="s">
        <v>4</v>
      </c>
      <c r="CH321" s="212" t="s">
        <v>379</v>
      </c>
      <c r="CI321" s="204" t="s">
        <v>21</v>
      </c>
      <c r="CJ321" s="216"/>
      <c r="CK321" s="216"/>
      <c r="CL321" s="217"/>
      <c r="CM321" s="218" t="s">
        <v>22</v>
      </c>
      <c r="CN321" s="216"/>
      <c r="CO321" s="209" t="s">
        <v>4</v>
      </c>
      <c r="CP321" s="212" t="s">
        <v>379</v>
      </c>
      <c r="CQ321" s="204" t="s">
        <v>21</v>
      </c>
      <c r="CR321" s="216"/>
      <c r="CS321" s="216"/>
      <c r="CT321" s="217"/>
      <c r="CU321" s="218" t="s">
        <v>22</v>
      </c>
      <c r="CV321" s="216"/>
      <c r="CW321" s="209" t="s">
        <v>4</v>
      </c>
      <c r="CX321" s="212" t="s">
        <v>379</v>
      </c>
      <c r="CY321" s="204" t="s">
        <v>21</v>
      </c>
      <c r="CZ321" s="216"/>
      <c r="DA321" s="216"/>
      <c r="DB321" s="217"/>
      <c r="DC321" s="218" t="s">
        <v>22</v>
      </c>
      <c r="DD321" s="216"/>
      <c r="DE321" s="209" t="s">
        <v>4</v>
      </c>
      <c r="DF321" s="212" t="s">
        <v>379</v>
      </c>
      <c r="DG321" s="204" t="s">
        <v>21</v>
      </c>
      <c r="DH321" s="216"/>
      <c r="DI321" s="216"/>
      <c r="DJ321" s="217"/>
      <c r="DK321" s="218" t="s">
        <v>22</v>
      </c>
      <c r="DL321" s="216"/>
      <c r="DM321" s="209" t="s">
        <v>4</v>
      </c>
      <c r="DN321" s="212" t="s">
        <v>379</v>
      </c>
      <c r="DO321" s="204" t="s">
        <v>21</v>
      </c>
      <c r="DP321" s="216"/>
      <c r="DQ321" s="216"/>
      <c r="DR321" s="217"/>
      <c r="DS321" s="218" t="s">
        <v>22</v>
      </c>
      <c r="DT321" s="216"/>
      <c r="DU321" s="209" t="s">
        <v>4</v>
      </c>
      <c r="DV321" s="212" t="s">
        <v>379</v>
      </c>
      <c r="DW321" s="204" t="s">
        <v>21</v>
      </c>
      <c r="DX321" s="216"/>
      <c r="DY321" s="216"/>
      <c r="DZ321" s="217"/>
      <c r="EA321" s="218" t="s">
        <v>22</v>
      </c>
      <c r="EB321" s="216"/>
      <c r="EC321" s="209" t="s">
        <v>4</v>
      </c>
      <c r="ED321" s="212" t="s">
        <v>379</v>
      </c>
      <c r="EE321" s="204" t="s">
        <v>21</v>
      </c>
      <c r="EF321" s="216"/>
      <c r="EG321" s="216"/>
      <c r="EH321" s="217"/>
      <c r="EI321" s="218" t="s">
        <v>22</v>
      </c>
      <c r="EJ321" s="216"/>
      <c r="EK321" s="209" t="s">
        <v>4</v>
      </c>
      <c r="EL321" s="212" t="s">
        <v>379</v>
      </c>
      <c r="EM321" s="204" t="s">
        <v>21</v>
      </c>
      <c r="EN321" s="216"/>
      <c r="EO321" s="216"/>
      <c r="EP321" s="217"/>
      <c r="EQ321" s="218" t="s">
        <v>22</v>
      </c>
      <c r="ER321" s="216"/>
    </row>
    <row r="322" spans="1:148" ht="18" customHeight="1">
      <c r="A322" s="38"/>
      <c r="H322" s="115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C322" s="210"/>
      <c r="AD322" s="213"/>
      <c r="AE322" s="103" t="s">
        <v>218</v>
      </c>
      <c r="AF322" s="103" t="s">
        <v>219</v>
      </c>
      <c r="AG322" s="103" t="s">
        <v>23</v>
      </c>
      <c r="AH322" s="8" t="s">
        <v>24</v>
      </c>
      <c r="AI322" s="35" t="s">
        <v>25</v>
      </c>
      <c r="AJ322" s="103" t="s">
        <v>23</v>
      </c>
      <c r="AK322" s="210"/>
      <c r="AL322" s="213"/>
      <c r="AM322" s="103" t="s">
        <v>218</v>
      </c>
      <c r="AN322" s="103" t="s">
        <v>219</v>
      </c>
      <c r="AO322" s="103" t="s">
        <v>23</v>
      </c>
      <c r="AP322" s="8" t="s">
        <v>24</v>
      </c>
      <c r="AQ322" s="35" t="s">
        <v>25</v>
      </c>
      <c r="AR322" s="103" t="s">
        <v>23</v>
      </c>
      <c r="AS322" s="210"/>
      <c r="AT322" s="213"/>
      <c r="AU322" s="103" t="s">
        <v>218</v>
      </c>
      <c r="AV322" s="103" t="s">
        <v>219</v>
      </c>
      <c r="AW322" s="103" t="s">
        <v>23</v>
      </c>
      <c r="AX322" s="8" t="s">
        <v>24</v>
      </c>
      <c r="AY322" s="35" t="s">
        <v>25</v>
      </c>
      <c r="AZ322" s="103" t="s">
        <v>23</v>
      </c>
      <c r="BA322" s="210"/>
      <c r="BB322" s="213"/>
      <c r="BC322" s="103" t="s">
        <v>218</v>
      </c>
      <c r="BD322" s="103" t="s">
        <v>219</v>
      </c>
      <c r="BE322" s="103" t="s">
        <v>23</v>
      </c>
      <c r="BF322" s="8" t="s">
        <v>24</v>
      </c>
      <c r="BG322" s="35" t="s">
        <v>25</v>
      </c>
      <c r="BH322" s="103" t="s">
        <v>23</v>
      </c>
      <c r="BI322" s="210"/>
      <c r="BJ322" s="213"/>
      <c r="BK322" s="103" t="s">
        <v>218</v>
      </c>
      <c r="BL322" s="103" t="s">
        <v>219</v>
      </c>
      <c r="BM322" s="103" t="s">
        <v>23</v>
      </c>
      <c r="BN322" s="8" t="s">
        <v>24</v>
      </c>
      <c r="BO322" s="35" t="s">
        <v>25</v>
      </c>
      <c r="BP322" s="103" t="s">
        <v>23</v>
      </c>
      <c r="BQ322" s="210"/>
      <c r="BR322" s="213"/>
      <c r="BS322" s="103" t="s">
        <v>218</v>
      </c>
      <c r="BT322" s="103" t="s">
        <v>219</v>
      </c>
      <c r="BU322" s="103" t="s">
        <v>23</v>
      </c>
      <c r="BV322" s="8" t="s">
        <v>24</v>
      </c>
      <c r="BW322" s="35" t="s">
        <v>25</v>
      </c>
      <c r="BX322" s="103" t="s">
        <v>23</v>
      </c>
      <c r="BY322" s="210"/>
      <c r="BZ322" s="213"/>
      <c r="CA322" s="103" t="s">
        <v>218</v>
      </c>
      <c r="CB322" s="103" t="s">
        <v>219</v>
      </c>
      <c r="CC322" s="103" t="s">
        <v>23</v>
      </c>
      <c r="CD322" s="8" t="s">
        <v>24</v>
      </c>
      <c r="CE322" s="35" t="s">
        <v>25</v>
      </c>
      <c r="CF322" s="103" t="s">
        <v>23</v>
      </c>
      <c r="CG322" s="210"/>
      <c r="CH322" s="213"/>
      <c r="CI322" s="103" t="s">
        <v>218</v>
      </c>
      <c r="CJ322" s="103" t="s">
        <v>219</v>
      </c>
      <c r="CK322" s="103" t="s">
        <v>23</v>
      </c>
      <c r="CL322" s="8" t="s">
        <v>24</v>
      </c>
      <c r="CM322" s="35" t="s">
        <v>25</v>
      </c>
      <c r="CN322" s="103" t="s">
        <v>23</v>
      </c>
      <c r="CO322" s="210"/>
      <c r="CP322" s="213"/>
      <c r="CQ322" s="103" t="s">
        <v>218</v>
      </c>
      <c r="CR322" s="103" t="s">
        <v>219</v>
      </c>
      <c r="CS322" s="103" t="s">
        <v>23</v>
      </c>
      <c r="CT322" s="8" t="s">
        <v>24</v>
      </c>
      <c r="CU322" s="35" t="s">
        <v>25</v>
      </c>
      <c r="CV322" s="103" t="s">
        <v>23</v>
      </c>
      <c r="CW322" s="210"/>
      <c r="CX322" s="213"/>
      <c r="CY322" s="103" t="s">
        <v>218</v>
      </c>
      <c r="CZ322" s="103" t="s">
        <v>219</v>
      </c>
      <c r="DA322" s="103" t="s">
        <v>23</v>
      </c>
      <c r="DB322" s="8" t="s">
        <v>24</v>
      </c>
      <c r="DC322" s="35" t="s">
        <v>25</v>
      </c>
      <c r="DD322" s="103" t="s">
        <v>23</v>
      </c>
      <c r="DE322" s="210"/>
      <c r="DF322" s="213"/>
      <c r="DG322" s="103" t="s">
        <v>218</v>
      </c>
      <c r="DH322" s="103" t="s">
        <v>219</v>
      </c>
      <c r="DI322" s="103" t="s">
        <v>23</v>
      </c>
      <c r="DJ322" s="8" t="s">
        <v>24</v>
      </c>
      <c r="DK322" s="35" t="s">
        <v>25</v>
      </c>
      <c r="DL322" s="103" t="s">
        <v>23</v>
      </c>
      <c r="DM322" s="210"/>
      <c r="DN322" s="213"/>
      <c r="DO322" s="103" t="s">
        <v>218</v>
      </c>
      <c r="DP322" s="103" t="s">
        <v>219</v>
      </c>
      <c r="DQ322" s="103" t="s">
        <v>23</v>
      </c>
      <c r="DR322" s="8" t="s">
        <v>24</v>
      </c>
      <c r="DS322" s="35" t="s">
        <v>25</v>
      </c>
      <c r="DT322" s="103" t="s">
        <v>23</v>
      </c>
      <c r="DU322" s="210"/>
      <c r="DV322" s="213"/>
      <c r="DW322" s="103" t="s">
        <v>218</v>
      </c>
      <c r="DX322" s="103" t="s">
        <v>219</v>
      </c>
      <c r="DY322" s="103" t="s">
        <v>23</v>
      </c>
      <c r="DZ322" s="8" t="s">
        <v>24</v>
      </c>
      <c r="EA322" s="35" t="s">
        <v>25</v>
      </c>
      <c r="EB322" s="103" t="s">
        <v>23</v>
      </c>
      <c r="EC322" s="210"/>
      <c r="ED322" s="213"/>
      <c r="EE322" s="103" t="s">
        <v>218</v>
      </c>
      <c r="EF322" s="103" t="s">
        <v>219</v>
      </c>
      <c r="EG322" s="103" t="s">
        <v>23</v>
      </c>
      <c r="EH322" s="8" t="s">
        <v>24</v>
      </c>
      <c r="EI322" s="35" t="s">
        <v>25</v>
      </c>
      <c r="EJ322" s="103" t="s">
        <v>23</v>
      </c>
      <c r="EK322" s="210"/>
      <c r="EL322" s="213"/>
      <c r="EM322" s="103" t="s">
        <v>218</v>
      </c>
      <c r="EN322" s="103" t="s">
        <v>219</v>
      </c>
      <c r="EO322" s="103" t="s">
        <v>23</v>
      </c>
      <c r="EP322" s="8" t="s">
        <v>24</v>
      </c>
      <c r="EQ322" s="35" t="s">
        <v>25</v>
      </c>
      <c r="ER322" s="103" t="s">
        <v>23</v>
      </c>
    </row>
    <row r="323" spans="1:148" ht="18" customHeight="1">
      <c r="A323" s="38"/>
      <c r="H323" s="115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C323" s="211"/>
      <c r="AD323" s="214"/>
      <c r="AE323" s="104" t="s">
        <v>26</v>
      </c>
      <c r="AF323" s="104" t="s">
        <v>27</v>
      </c>
      <c r="AG323" s="105" t="s">
        <v>28</v>
      </c>
      <c r="AH323" s="105" t="s">
        <v>29</v>
      </c>
      <c r="AI323" s="104" t="s">
        <v>30</v>
      </c>
      <c r="AJ323" s="105" t="s">
        <v>31</v>
      </c>
      <c r="AK323" s="211"/>
      <c r="AL323" s="214"/>
      <c r="AM323" s="104" t="s">
        <v>26</v>
      </c>
      <c r="AN323" s="104" t="s">
        <v>27</v>
      </c>
      <c r="AO323" s="105" t="s">
        <v>28</v>
      </c>
      <c r="AP323" s="105" t="s">
        <v>29</v>
      </c>
      <c r="AQ323" s="104" t="s">
        <v>30</v>
      </c>
      <c r="AR323" s="105" t="s">
        <v>31</v>
      </c>
      <c r="AS323" s="211"/>
      <c r="AT323" s="214"/>
      <c r="AU323" s="104" t="s">
        <v>26</v>
      </c>
      <c r="AV323" s="104" t="s">
        <v>27</v>
      </c>
      <c r="AW323" s="105" t="s">
        <v>28</v>
      </c>
      <c r="AX323" s="105" t="s">
        <v>29</v>
      </c>
      <c r="AY323" s="104" t="s">
        <v>30</v>
      </c>
      <c r="AZ323" s="105" t="s">
        <v>31</v>
      </c>
      <c r="BA323" s="211"/>
      <c r="BB323" s="214"/>
      <c r="BC323" s="104" t="s">
        <v>26</v>
      </c>
      <c r="BD323" s="104" t="s">
        <v>27</v>
      </c>
      <c r="BE323" s="105" t="s">
        <v>28</v>
      </c>
      <c r="BF323" s="105" t="s">
        <v>29</v>
      </c>
      <c r="BG323" s="104" t="s">
        <v>30</v>
      </c>
      <c r="BH323" s="105" t="s">
        <v>31</v>
      </c>
      <c r="BI323" s="211"/>
      <c r="BJ323" s="214"/>
      <c r="BK323" s="104" t="s">
        <v>26</v>
      </c>
      <c r="BL323" s="104" t="s">
        <v>27</v>
      </c>
      <c r="BM323" s="105" t="s">
        <v>28</v>
      </c>
      <c r="BN323" s="105" t="s">
        <v>29</v>
      </c>
      <c r="BO323" s="104" t="s">
        <v>30</v>
      </c>
      <c r="BP323" s="105" t="s">
        <v>31</v>
      </c>
      <c r="BQ323" s="211"/>
      <c r="BR323" s="214"/>
      <c r="BS323" s="104" t="s">
        <v>26</v>
      </c>
      <c r="BT323" s="104" t="s">
        <v>27</v>
      </c>
      <c r="BU323" s="105" t="s">
        <v>28</v>
      </c>
      <c r="BV323" s="105" t="s">
        <v>29</v>
      </c>
      <c r="BW323" s="104" t="s">
        <v>30</v>
      </c>
      <c r="BX323" s="105" t="s">
        <v>31</v>
      </c>
      <c r="BY323" s="211"/>
      <c r="BZ323" s="214"/>
      <c r="CA323" s="104" t="s">
        <v>26</v>
      </c>
      <c r="CB323" s="104" t="s">
        <v>27</v>
      </c>
      <c r="CC323" s="105" t="s">
        <v>28</v>
      </c>
      <c r="CD323" s="105" t="s">
        <v>29</v>
      </c>
      <c r="CE323" s="104" t="s">
        <v>30</v>
      </c>
      <c r="CF323" s="105" t="s">
        <v>31</v>
      </c>
      <c r="CG323" s="211"/>
      <c r="CH323" s="214"/>
      <c r="CI323" s="104" t="s">
        <v>26</v>
      </c>
      <c r="CJ323" s="104" t="s">
        <v>27</v>
      </c>
      <c r="CK323" s="105" t="s">
        <v>28</v>
      </c>
      <c r="CL323" s="105" t="s">
        <v>29</v>
      </c>
      <c r="CM323" s="104" t="s">
        <v>30</v>
      </c>
      <c r="CN323" s="105" t="s">
        <v>31</v>
      </c>
      <c r="CO323" s="211"/>
      <c r="CP323" s="214"/>
      <c r="CQ323" s="104" t="s">
        <v>26</v>
      </c>
      <c r="CR323" s="104" t="s">
        <v>27</v>
      </c>
      <c r="CS323" s="105" t="s">
        <v>28</v>
      </c>
      <c r="CT323" s="105" t="s">
        <v>29</v>
      </c>
      <c r="CU323" s="104" t="s">
        <v>30</v>
      </c>
      <c r="CV323" s="105" t="s">
        <v>31</v>
      </c>
      <c r="CW323" s="211"/>
      <c r="CX323" s="214"/>
      <c r="CY323" s="104" t="s">
        <v>26</v>
      </c>
      <c r="CZ323" s="104" t="s">
        <v>27</v>
      </c>
      <c r="DA323" s="105" t="s">
        <v>28</v>
      </c>
      <c r="DB323" s="105" t="s">
        <v>29</v>
      </c>
      <c r="DC323" s="104" t="s">
        <v>30</v>
      </c>
      <c r="DD323" s="105" t="s">
        <v>31</v>
      </c>
      <c r="DE323" s="211"/>
      <c r="DF323" s="214"/>
      <c r="DG323" s="104" t="s">
        <v>26</v>
      </c>
      <c r="DH323" s="104" t="s">
        <v>27</v>
      </c>
      <c r="DI323" s="105" t="s">
        <v>28</v>
      </c>
      <c r="DJ323" s="105" t="s">
        <v>29</v>
      </c>
      <c r="DK323" s="104" t="s">
        <v>30</v>
      </c>
      <c r="DL323" s="105" t="s">
        <v>31</v>
      </c>
      <c r="DM323" s="211"/>
      <c r="DN323" s="214"/>
      <c r="DO323" s="104" t="s">
        <v>26</v>
      </c>
      <c r="DP323" s="104" t="s">
        <v>27</v>
      </c>
      <c r="DQ323" s="105" t="s">
        <v>28</v>
      </c>
      <c r="DR323" s="105" t="s">
        <v>29</v>
      </c>
      <c r="DS323" s="104" t="s">
        <v>30</v>
      </c>
      <c r="DT323" s="105" t="s">
        <v>31</v>
      </c>
      <c r="DU323" s="211"/>
      <c r="DV323" s="214"/>
      <c r="DW323" s="104" t="s">
        <v>26</v>
      </c>
      <c r="DX323" s="104" t="s">
        <v>27</v>
      </c>
      <c r="DY323" s="105" t="s">
        <v>28</v>
      </c>
      <c r="DZ323" s="105" t="s">
        <v>29</v>
      </c>
      <c r="EA323" s="104" t="s">
        <v>30</v>
      </c>
      <c r="EB323" s="105" t="s">
        <v>31</v>
      </c>
      <c r="EC323" s="211"/>
      <c r="ED323" s="214"/>
      <c r="EE323" s="104" t="s">
        <v>26</v>
      </c>
      <c r="EF323" s="104" t="s">
        <v>27</v>
      </c>
      <c r="EG323" s="105" t="s">
        <v>28</v>
      </c>
      <c r="EH323" s="105" t="s">
        <v>29</v>
      </c>
      <c r="EI323" s="104" t="s">
        <v>30</v>
      </c>
      <c r="EJ323" s="105" t="s">
        <v>31</v>
      </c>
      <c r="EK323" s="211"/>
      <c r="EL323" s="214"/>
      <c r="EM323" s="104" t="s">
        <v>26</v>
      </c>
      <c r="EN323" s="104" t="s">
        <v>27</v>
      </c>
      <c r="EO323" s="105" t="s">
        <v>28</v>
      </c>
      <c r="EP323" s="105" t="s">
        <v>29</v>
      </c>
      <c r="EQ323" s="104" t="s">
        <v>30</v>
      </c>
      <c r="ER323" s="105" t="s">
        <v>31</v>
      </c>
    </row>
    <row r="324" spans="1:148" ht="18" customHeight="1">
      <c r="A324" s="38"/>
      <c r="H324" s="115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C324" s="90" t="s">
        <v>35</v>
      </c>
      <c r="AD324" s="71">
        <f>AE303-AD303</f>
        <v>1.5</v>
      </c>
      <c r="AE324" s="71">
        <f>ROUND(AH303*(AE319+AD303*AE320),2)</f>
        <v>362.32</v>
      </c>
      <c r="AF324" s="71">
        <f>ROUND(AH303*(AE319+AE303*AE320),2)</f>
        <v>239.27</v>
      </c>
      <c r="AG324" s="71">
        <f>ROUND(0.5*(AE324+AF324)*AD324,2)</f>
        <v>451.19</v>
      </c>
      <c r="AH324" s="71">
        <f>ROUND(AD303+AD324/3*(AE324+2*AF324)/(AE324+AF324),2)</f>
        <v>0.7</v>
      </c>
      <c r="AI324" s="71">
        <f>ROUND(AI303*(AE318+AF303*AE320),2)</f>
        <v>-44.74</v>
      </c>
      <c r="AJ324" s="71">
        <f>ROUND(AI324*(AD324),2)</f>
        <v>-67.11</v>
      </c>
      <c r="AK324" s="90" t="s">
        <v>35</v>
      </c>
      <c r="AL324" s="71">
        <f>AM303-AL303</f>
        <v>1.5</v>
      </c>
      <c r="AM324" s="71">
        <f>ROUND(AP303*(AM319+AL303*AM320),2)</f>
        <v>411.04</v>
      </c>
      <c r="AN324" s="71">
        <f>ROUND(AP303*(AM319+AM303*AM320),2)</f>
        <v>253.58</v>
      </c>
      <c r="AO324" s="71">
        <f>ROUND(0.5*(AM324+AN324)*AL324,2)</f>
        <v>498.47</v>
      </c>
      <c r="AP324" s="71">
        <f>ROUND(AL303+AL324/3*(AM324+2*AN324)/(AM324+AN324),2)</f>
        <v>0.69</v>
      </c>
      <c r="AQ324" s="71">
        <f>ROUND(AQ303*(AM318+AN303*AM320),2)</f>
        <v>-74.41</v>
      </c>
      <c r="AR324" s="71">
        <f>ROUND(AQ324*(AL324),2)</f>
        <v>-111.62</v>
      </c>
      <c r="AS324" s="90" t="s">
        <v>35</v>
      </c>
      <c r="AT324" s="71">
        <f>AU303-AT303</f>
        <v>1.5</v>
      </c>
      <c r="AU324" s="71">
        <f>ROUND(AX303*(AU319+AT303*AU320),2)</f>
        <v>436.73</v>
      </c>
      <c r="AV324" s="71">
        <f>ROUND(AX303*(AU319+AU303*AU320),2)</f>
        <v>256.02</v>
      </c>
      <c r="AW324" s="71">
        <f>ROUND(0.5*(AU324+AV324)*AT324,2)</f>
        <v>519.56</v>
      </c>
      <c r="AX324" s="71">
        <f>ROUND(AT303+AT324/3*(AU324+2*AV324)/(AU324+AV324),2)</f>
        <v>0.68</v>
      </c>
      <c r="AY324" s="71">
        <f>ROUND(AY303*(AU318+AV303*AU320),2)</f>
        <v>-86.15</v>
      </c>
      <c r="AZ324" s="71">
        <f>ROUND(AY324*(AT324),2)</f>
        <v>-129.23</v>
      </c>
      <c r="BA324" s="90" t="s">
        <v>35</v>
      </c>
      <c r="BB324" s="71">
        <f>BC303-BB303</f>
        <v>1.5</v>
      </c>
      <c r="BC324" s="71">
        <f>ROUND(BF303*(BC319+BB303*BC320),2)</f>
        <v>449.14</v>
      </c>
      <c r="BD324" s="71">
        <f>ROUND(BF303*(BC319+BC303*BC320),2)</f>
        <v>256.19</v>
      </c>
      <c r="BE324" s="71">
        <f>ROUND(0.5*(BC324+BD324)*BB324,2)</f>
        <v>529</v>
      </c>
      <c r="BF324" s="71">
        <f>ROUND(BB303+BB324/3*(BC324+2*BD324)/(BC324+BD324),2)</f>
        <v>0.68</v>
      </c>
      <c r="BG324" s="71">
        <f>ROUND(BG303*(BC318+BD303*BC320),2)</f>
        <v>-97.89</v>
      </c>
      <c r="BH324" s="71">
        <f>ROUND(BG324*(BB324),2)</f>
        <v>-146.84</v>
      </c>
      <c r="BI324" s="90" t="s">
        <v>35</v>
      </c>
      <c r="BJ324" s="71">
        <f>BK303-BJ303</f>
        <v>1.5</v>
      </c>
      <c r="BK324" s="71">
        <f>ROUND(BN303*(BK319+BJ303*BK320),2)</f>
        <v>456.22</v>
      </c>
      <c r="BL324" s="71">
        <f>ROUND(BN303*(BK319+BK303*BK320),2)</f>
        <v>255.97</v>
      </c>
      <c r="BM324" s="71">
        <f>ROUND(0.5*(BK324+BL324)*BJ324,2)</f>
        <v>534.14</v>
      </c>
      <c r="BN324" s="71">
        <f>ROUND(BJ303+BJ324/3*(BK324+2*BL324)/(BK324+BL324),2)</f>
        <v>0.68</v>
      </c>
      <c r="BO324" s="71">
        <f>ROUND(BO303*(BK318+BL303*BK320),2)</f>
        <v>-106.08</v>
      </c>
      <c r="BP324" s="71">
        <f>ROUND(BO324*(BJ324),2)</f>
        <v>-159.12</v>
      </c>
      <c r="BQ324" s="90" t="s">
        <v>35</v>
      </c>
      <c r="BR324" s="71">
        <f>BS303-BR303</f>
        <v>1.5</v>
      </c>
      <c r="BS324" s="71">
        <f>ROUND(BV303*(BS319+BR303*BS320),2)</f>
        <v>461.54</v>
      </c>
      <c r="BT324" s="71">
        <f>ROUND(BV303*(BS319+BS303*BS320),2)</f>
        <v>256.64</v>
      </c>
      <c r="BU324" s="71">
        <f>ROUND(0.5*(BS324+BT324)*BR324,2)</f>
        <v>538.64</v>
      </c>
      <c r="BV324" s="71">
        <f>ROUND(BR303+BR324/3*(BS324+2*BT324)/(BS324+BT324),2)</f>
        <v>0.68</v>
      </c>
      <c r="BW324" s="71">
        <f>ROUND(BW303*(BS318+BT303*BS320),2)</f>
        <v>-111.4</v>
      </c>
      <c r="BX324" s="71">
        <f>ROUND(BW324*(BR324),2)</f>
        <v>-167.1</v>
      </c>
      <c r="BY324" s="90" t="s">
        <v>35</v>
      </c>
      <c r="BZ324" s="71">
        <f>CA303-BZ303</f>
        <v>1.5</v>
      </c>
      <c r="CA324" s="71">
        <f>ROUND(CD303*(CA319+BZ303*CA320),2)</f>
        <v>464.2</v>
      </c>
      <c r="CB324" s="71">
        <f>ROUND(CD303*(CA319+CA303*CA320),2)</f>
        <v>256.77</v>
      </c>
      <c r="CC324" s="71">
        <f>ROUND(0.5*(CA324+CB324)*BZ324,2)</f>
        <v>540.73</v>
      </c>
      <c r="CD324" s="71">
        <f>ROUND(BZ303+BZ324/3*(CA324+2*CB324)/(CA324+CB324),2)</f>
        <v>0.68</v>
      </c>
      <c r="CE324" s="71">
        <f>ROUND(CE303*(CA318+CB303*CA320),2)</f>
        <v>-114.28</v>
      </c>
      <c r="CF324" s="71">
        <f>ROUND(CE324*(BZ324),2)</f>
        <v>-171.42</v>
      </c>
      <c r="CG324" s="90" t="s">
        <v>35</v>
      </c>
      <c r="CH324" s="71">
        <f>CI303-CH303</f>
        <v>1.5</v>
      </c>
      <c r="CI324" s="71">
        <f>ROUND(CL303*(CI319+CH303*CI320),2)</f>
        <v>465.08</v>
      </c>
      <c r="CJ324" s="71">
        <f>ROUND(CL303*(CI319+CI303*CI320),2)</f>
        <v>256.33</v>
      </c>
      <c r="CK324" s="71">
        <f>ROUND(0.5*(CI324+CJ324)*CH324,2)</f>
        <v>541.06</v>
      </c>
      <c r="CL324" s="71">
        <f>ROUND(CH303+CH324/3*(CI324+2*CJ324)/(CI324+CJ324),2)</f>
        <v>0.68</v>
      </c>
      <c r="CM324" s="71">
        <f>ROUND(CM303*(CI318+CJ303*CI320),2)</f>
        <v>-116.05</v>
      </c>
      <c r="CN324" s="71">
        <f>ROUND(CM324*(CH324),2)</f>
        <v>-174.08</v>
      </c>
      <c r="CO324" s="90" t="s">
        <v>35</v>
      </c>
      <c r="CP324" s="71">
        <f>CQ303-CP303</f>
        <v>1.5</v>
      </c>
      <c r="CQ324" s="71">
        <f>ROUND(CT303*(CQ319+CP303*CQ320),2)</f>
        <v>466.85</v>
      </c>
      <c r="CR324" s="71">
        <f>ROUND(CT303*(CQ319+CQ303*CQ320),2)</f>
        <v>257.17</v>
      </c>
      <c r="CS324" s="71">
        <f>ROUND(0.5*(CQ324+CR324)*CP324,2)</f>
        <v>543.02</v>
      </c>
      <c r="CT324" s="71">
        <f>ROUND(CP303+CP324/3*(CQ324+2*CR324)/(CQ324+CR324),2)</f>
        <v>0.68</v>
      </c>
      <c r="CU324" s="71">
        <f>ROUND(CU303*(CQ318+CR303*CQ320),2)</f>
        <v>-117.16</v>
      </c>
      <c r="CV324" s="71">
        <f>ROUND(CU324*(CP324),2)</f>
        <v>-175.74</v>
      </c>
      <c r="CW324" s="90" t="s">
        <v>35</v>
      </c>
      <c r="CX324" s="71">
        <f>CY303-CX303</f>
        <v>1.5</v>
      </c>
      <c r="CY324" s="71">
        <f>ROUND(DB303*(CY319+CX303*CY320),2)</f>
        <v>466.85</v>
      </c>
      <c r="CZ324" s="71">
        <f>ROUND(DB303*(CY319+CY303*CY320),2)</f>
        <v>257.04</v>
      </c>
      <c r="DA324" s="71">
        <f>ROUND(0.5*(CY324+CZ324)*CX324,2)</f>
        <v>542.92</v>
      </c>
      <c r="DB324" s="71">
        <f>ROUND(CX303+CX324/3*(CY324+2*CZ324)/(CY324+CZ324),2)</f>
        <v>0.68</v>
      </c>
      <c r="DC324" s="71">
        <f>ROUND(DC303*(CY318+CZ303*CY320),2)</f>
        <v>-117.38</v>
      </c>
      <c r="DD324" s="71">
        <f>ROUND(DC324*(CX324),2)</f>
        <v>-176.07</v>
      </c>
      <c r="DE324" s="90" t="s">
        <v>35</v>
      </c>
      <c r="DF324" s="71">
        <f>DG303-DF303</f>
        <v>1.5</v>
      </c>
      <c r="DG324" s="71">
        <f>ROUND(DJ303*(DG319+DF303*DG320),2)</f>
        <v>466.85</v>
      </c>
      <c r="DH324" s="71">
        <f>ROUND(DJ303*(DG319+DG303*DG320),2)</f>
        <v>256.9</v>
      </c>
      <c r="DI324" s="71">
        <f>ROUND(0.5*(DG324+DH324)*DF324,2)</f>
        <v>542.81</v>
      </c>
      <c r="DJ324" s="71">
        <f>ROUND(DF303+DF324/3*(DG324+2*DH324)/(DG324+DH324),2)</f>
        <v>0.68</v>
      </c>
      <c r="DK324" s="71">
        <f>ROUND(DK303*(DG318+DH303*DG320),2)</f>
        <v>-117.6</v>
      </c>
      <c r="DL324" s="71">
        <f>ROUND(DK324*(DF324),2)</f>
        <v>-176.4</v>
      </c>
      <c r="DM324" s="90" t="s">
        <v>35</v>
      </c>
      <c r="DN324" s="71">
        <f>DO303-DN303</f>
        <v>1.5</v>
      </c>
      <c r="DO324" s="71">
        <f>ROUND(DR303*(DO319+DN303*DO320),2)</f>
        <v>466.85</v>
      </c>
      <c r="DP324" s="71">
        <f>ROUND(DR303*(DO319+DO303*DO320),2)</f>
        <v>256.77</v>
      </c>
      <c r="DQ324" s="71">
        <f>ROUND(0.5*(DO324+DP324)*DN324,2)</f>
        <v>542.72</v>
      </c>
      <c r="DR324" s="71">
        <f>ROUND(DN303+DN324/3*(DO324+2*DP324)/(DO324+DP324),2)</f>
        <v>0.68</v>
      </c>
      <c r="DS324" s="71">
        <f>ROUND(DS303*(DO318+DP303*DO320),2)</f>
        <v>-117.6</v>
      </c>
      <c r="DT324" s="71">
        <f>ROUND(DS324*(DN324),2)</f>
        <v>-176.4</v>
      </c>
      <c r="DU324" s="90" t="s">
        <v>35</v>
      </c>
      <c r="DV324" s="71">
        <f>DW303-DV303</f>
        <v>1.5</v>
      </c>
      <c r="DW324" s="71">
        <f>ROUND(DZ303*(DW319+DV303*DW320),2)</f>
        <v>466.85</v>
      </c>
      <c r="DX324" s="71">
        <f>ROUND(DZ303*(DW319+DW303*DW320),2)</f>
        <v>256.64</v>
      </c>
      <c r="DY324" s="71">
        <f>ROUND(0.5*(DW324+DX324)*DV324,2)</f>
        <v>542.62</v>
      </c>
      <c r="DZ324" s="71">
        <f>ROUND(DV303+DV324/3*(DW324+2*DX324)/(DW324+DX324),2)</f>
        <v>0.68</v>
      </c>
      <c r="EA324" s="71">
        <f>ROUND(EA303*(DW318+DX303*DW320),2)</f>
        <v>-117.82</v>
      </c>
      <c r="EB324" s="71">
        <f>ROUND(EA324*(DV324),2)</f>
        <v>-176.73</v>
      </c>
      <c r="EC324" s="90" t="s">
        <v>35</v>
      </c>
      <c r="ED324" s="71">
        <f>EE303-ED303</f>
        <v>1.5</v>
      </c>
      <c r="EE324" s="71">
        <f>ROUND(EH303*(EE319+ED303*EE320),2)</f>
        <v>466.85</v>
      </c>
      <c r="EF324" s="71">
        <f>ROUND(EH303*(EE319+EE303*EE320),2)</f>
        <v>256.5</v>
      </c>
      <c r="EG324" s="71">
        <f>ROUND(0.5*(EE324+EF324)*ED324,2)</f>
        <v>542.51</v>
      </c>
      <c r="EH324" s="71">
        <f>ROUND(ED303+ED324/3*(EE324+2*EF324)/(EE324+EF324),2)</f>
        <v>0.68</v>
      </c>
      <c r="EI324" s="71">
        <f>ROUND(EI303*(EE318+EF303*EE320),2)</f>
        <v>-118.04</v>
      </c>
      <c r="EJ324" s="71">
        <f>ROUND(EI324*(ED324),2)</f>
        <v>-177.06</v>
      </c>
      <c r="EK324" s="90" t="s">
        <v>35</v>
      </c>
      <c r="EL324" s="71">
        <f>EM303-EL303</f>
        <v>1.5</v>
      </c>
      <c r="EM324" s="71">
        <f>ROUND(EP303*(EM319+EL303*EM320),2)</f>
        <v>467.74</v>
      </c>
      <c r="EN324" s="71">
        <f>ROUND(EP303*(EM319+EM303*EM320),2)</f>
        <v>257.26</v>
      </c>
      <c r="EO324" s="71">
        <f>ROUND(0.5*(EM324+EN324)*EL324,2)</f>
        <v>543.75</v>
      </c>
      <c r="EP324" s="71">
        <f>ROUND(EL303+EL324/3*(EM324+2*EN324)/(EM324+EN324),2)</f>
        <v>0.68</v>
      </c>
      <c r="EQ324" s="71">
        <f>ROUND(EQ303*(EM318+EN303*EM320),2)</f>
        <v>-118.04</v>
      </c>
      <c r="ER324" s="71">
        <f>ROUND(EQ324*(EL324),2)</f>
        <v>-177.06</v>
      </c>
    </row>
    <row r="325" spans="1:148" ht="18" customHeight="1">
      <c r="A325" s="38"/>
      <c r="D325" s="32" t="s">
        <v>236</v>
      </c>
      <c r="H325" s="115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C325" s="90" t="s">
        <v>36</v>
      </c>
      <c r="AD325" s="71">
        <f>AE304-AD304</f>
        <v>1.5000000000000002</v>
      </c>
      <c r="AE325" s="71">
        <f>ROUND(AH304*(AE319+AD304*AE320),2)</f>
        <v>222.87</v>
      </c>
      <c r="AF325" s="71">
        <f>ROUND(AH304*(AE319+AE304*AE320),2)</f>
        <v>99.82</v>
      </c>
      <c r="AG325" s="71">
        <f>MAX(0,ROUND(0.5*(AE325+AF325)*AD325,2))</f>
        <v>242.02</v>
      </c>
      <c r="AH325" s="71">
        <f>ROUND(AD304+AD325/3*(AE325+2*AF325)/(AE325+AF325),2)</f>
        <v>2.35</v>
      </c>
      <c r="AI325" s="71">
        <f>ROUND(AI304*(AE318+AF304*AE320),2)</f>
        <v>-65.25</v>
      </c>
      <c r="AJ325" s="71">
        <f>ROUND(AI325*(AD325),2)</f>
        <v>-97.88</v>
      </c>
      <c r="AK325" s="90" t="s">
        <v>36</v>
      </c>
      <c r="AL325" s="71">
        <f>AM304-AL304</f>
        <v>1.5000000000000002</v>
      </c>
      <c r="AM325" s="71">
        <f>ROUND(AP304*(AM319+AL304*AM320),2)</f>
        <v>232.59</v>
      </c>
      <c r="AN325" s="71">
        <f>ROUND(AP304*(AM319+AM304*AM320),2)</f>
        <v>75.12</v>
      </c>
      <c r="AO325" s="71">
        <f>MAX(0,ROUND(0.5*(AM325+AN325)*AL325,2))</f>
        <v>230.78</v>
      </c>
      <c r="AP325" s="71">
        <f>ROUND(AL304+AL325/3*(AM325+2*AN325)/(AM325+AN325),2)</f>
        <v>2.32</v>
      </c>
      <c r="AQ325" s="71">
        <f>ROUND(AQ304*(AM318+AN304*AM320),2)</f>
        <v>-100.66</v>
      </c>
      <c r="AR325" s="71">
        <f>ROUND(AQ325*(AL325),2)</f>
        <v>-150.99</v>
      </c>
      <c r="AS325" s="90" t="s">
        <v>36</v>
      </c>
      <c r="AT325" s="71">
        <f>AU304-AT304</f>
        <v>1.5000000000000002</v>
      </c>
      <c r="AU325" s="71">
        <f>ROUND(AX304*(AU319+AT304*AU320),2)</f>
        <v>231.92</v>
      </c>
      <c r="AV325" s="71">
        <f>ROUND(AX304*(AU319+AU304*AU320),2)</f>
        <v>51.2</v>
      </c>
      <c r="AW325" s="71">
        <f>MAX(0,ROUND(0.5*(AU325+AV325)*AT325,2))</f>
        <v>212.34</v>
      </c>
      <c r="AX325" s="71">
        <f>ROUND(AT304+AT325/3*(AU325+2*AV325)/(AU325+AV325),2)</f>
        <v>2.29</v>
      </c>
      <c r="AY325" s="71">
        <f>ROUND(AY304*(AU318+AV304*AU320),2)</f>
        <v>-103.67</v>
      </c>
      <c r="AZ325" s="71">
        <f>ROUND(AY325*(AT325),2)</f>
        <v>-155.51</v>
      </c>
      <c r="BA325" s="90" t="s">
        <v>36</v>
      </c>
      <c r="BB325" s="71">
        <f>BC304-BB304</f>
        <v>1.5000000000000002</v>
      </c>
      <c r="BC325" s="71">
        <f>ROUND(BF304*(BC319+BB304*BC320),2)</f>
        <v>230.47</v>
      </c>
      <c r="BD325" s="71">
        <f>ROUND(BF304*(BC319+BC304*BC320),2)</f>
        <v>37.53</v>
      </c>
      <c r="BE325" s="71">
        <f>MAX(0,ROUND(0.5*(BC325+BD325)*BB325,2))</f>
        <v>201</v>
      </c>
      <c r="BF325" s="71">
        <f>ROUND(BB304+BB325/3*(BC325+2*BD325)/(BC325+BD325),2)</f>
        <v>2.27</v>
      </c>
      <c r="BG325" s="71">
        <f>ROUND(BG304*(BC318+BD304*BC320),2)</f>
        <v>-92.36</v>
      </c>
      <c r="BH325" s="71">
        <f>ROUND(BG325*(BB325),2)</f>
        <v>-138.54</v>
      </c>
      <c r="BI325" s="90" t="s">
        <v>36</v>
      </c>
      <c r="BJ325" s="71">
        <f>BK304-BJ304</f>
        <v>1.5000000000000002</v>
      </c>
      <c r="BK325" s="71">
        <f>ROUND(BN304*(BK319+BJ304*BK320),2)</f>
        <v>229.27</v>
      </c>
      <c r="BL325" s="71">
        <f>ROUND(BN304*(BK319+BK304*BK320),2)</f>
        <v>29.02</v>
      </c>
      <c r="BM325" s="71">
        <f>MAX(0,ROUND(0.5*(BK325+BL325)*BJ325,2))</f>
        <v>193.72</v>
      </c>
      <c r="BN325" s="71">
        <f>ROUND(BJ304+BJ325/3*(BK325+2*BL325)/(BK325+BL325),2)</f>
        <v>2.26</v>
      </c>
      <c r="BO325" s="71">
        <f>ROUND(BO304*(BK318+BL304*BK320),2)</f>
        <v>-83.82</v>
      </c>
      <c r="BP325" s="71">
        <f>ROUND(BO325*(BJ325),2)</f>
        <v>-125.73</v>
      </c>
      <c r="BQ325" s="90" t="s">
        <v>36</v>
      </c>
      <c r="BR325" s="71">
        <f>BS304-BR304</f>
        <v>1.5000000000000002</v>
      </c>
      <c r="BS325" s="71">
        <f>ROUND(BV304*(BS319+BR304*BS320),2)</f>
        <v>229.32</v>
      </c>
      <c r="BT325" s="71">
        <f>ROUND(BV304*(BS319+BS304*BS320),2)</f>
        <v>24.41</v>
      </c>
      <c r="BU325" s="71">
        <f>MAX(0,ROUND(0.5*(BS325+BT325)*BR325,2))</f>
        <v>190.3</v>
      </c>
      <c r="BV325" s="71">
        <f>ROUND(BR304+BR325/3*(BS325+2*BT325)/(BS325+BT325),2)</f>
        <v>2.25</v>
      </c>
      <c r="BW325" s="71">
        <f>ROUND(BW304*(BS318+BT304*BS320),2)</f>
        <v>-78.62</v>
      </c>
      <c r="BX325" s="71">
        <f>ROUND(BW325*(BR325),2)</f>
        <v>-117.93</v>
      </c>
      <c r="BY325" s="90" t="s">
        <v>36</v>
      </c>
      <c r="BZ325" s="71">
        <f>CA304-BZ304</f>
        <v>1.5000000000000002</v>
      </c>
      <c r="CA325" s="71">
        <f>ROUND(CD304*(CA319+BZ304*CA320),2)</f>
        <v>229.11</v>
      </c>
      <c r="CB325" s="71">
        <f>ROUND(CD304*(CA319+CA304*CA320),2)</f>
        <v>21.69</v>
      </c>
      <c r="CC325" s="71">
        <f>MAX(0,ROUND(0.5*(CA325+CB325)*BZ325,2))</f>
        <v>188.1</v>
      </c>
      <c r="CD325" s="71">
        <f>ROUND(BZ304+BZ325/3*(CA325+2*CB325)/(CA325+CB325),2)</f>
        <v>2.24</v>
      </c>
      <c r="CE325" s="71">
        <f>ROUND(CE304*(CA318+CB304*CA320),2)</f>
        <v>-75.68</v>
      </c>
      <c r="CF325" s="71">
        <f>ROUND(CE325*(BZ325),2)</f>
        <v>-113.52</v>
      </c>
      <c r="CG325" s="90" t="s">
        <v>36</v>
      </c>
      <c r="CH325" s="71">
        <f>CI304-CH304</f>
        <v>1.5000000000000002</v>
      </c>
      <c r="CI325" s="71">
        <f>ROUND(CL304*(CI319+CH304*CI320),2)</f>
        <v>228.49</v>
      </c>
      <c r="CJ325" s="71">
        <f>ROUND(CL304*(CI319+CI304*CI320),2)</f>
        <v>19.74</v>
      </c>
      <c r="CK325" s="71">
        <f>MAX(0,ROUND(0.5*(CI325+CJ325)*CH325,2))</f>
        <v>186.17</v>
      </c>
      <c r="CL325" s="71">
        <f>ROUND(CH304+CH325/3*(CI325+2*CJ325)/(CI325+CJ325),2)</f>
        <v>2.24</v>
      </c>
      <c r="CM325" s="71">
        <f>ROUND(CM304*(CI318+CJ304*CI320),2)</f>
        <v>-74.13</v>
      </c>
      <c r="CN325" s="71">
        <f>ROUND(CM325*(CH325),2)</f>
        <v>-111.2</v>
      </c>
      <c r="CO325" s="90" t="s">
        <v>36</v>
      </c>
      <c r="CP325" s="71">
        <f>CQ304-CP304</f>
        <v>1.5000000000000002</v>
      </c>
      <c r="CQ325" s="71">
        <f>ROUND(CT304*(CQ319+CP304*CQ320),2)</f>
        <v>229.21</v>
      </c>
      <c r="CR325" s="71">
        <f>ROUND(CT304*(CQ319+CQ304*CQ320),2)</f>
        <v>19.52</v>
      </c>
      <c r="CS325" s="71">
        <f>MAX(0,ROUND(0.5*(CQ325+CR325)*CP325,2))</f>
        <v>186.55</v>
      </c>
      <c r="CT325" s="71">
        <f>ROUND(CP304+CP325/3*(CQ325+2*CR325)/(CQ325+CR325),2)</f>
        <v>2.24</v>
      </c>
      <c r="CU325" s="71">
        <f>ROUND(CU304*(CQ318+CR304*CQ320),2)</f>
        <v>-73.01</v>
      </c>
      <c r="CV325" s="71">
        <f>ROUND(CU325*(CP325),2)</f>
        <v>-109.52</v>
      </c>
      <c r="CW325" s="90" t="s">
        <v>36</v>
      </c>
      <c r="CX325" s="71">
        <f>CY304-CX304</f>
        <v>1.5000000000000002</v>
      </c>
      <c r="CY325" s="71">
        <f>ROUND(DB304*(CY319+CX304*CY320),2)</f>
        <v>229.06</v>
      </c>
      <c r="CZ325" s="71">
        <f>ROUND(DB304*(CY319+CY304*CY320),2)</f>
        <v>19.24</v>
      </c>
      <c r="DA325" s="71">
        <f>MAX(0,ROUND(0.5*(CY325+CZ325)*CX325,2))</f>
        <v>186.23</v>
      </c>
      <c r="DB325" s="71">
        <f>ROUND(CX304+CX325/3*(CY325+2*CZ325)/(CY325+CZ325),2)</f>
        <v>2.24</v>
      </c>
      <c r="DC325" s="71">
        <f>ROUND(DC304*(CY318+CZ304*CY320),2)</f>
        <v>-72.66</v>
      </c>
      <c r="DD325" s="71">
        <f>ROUND(DC325*(CX325),2)</f>
        <v>-108.99</v>
      </c>
      <c r="DE325" s="90" t="s">
        <v>36</v>
      </c>
      <c r="DF325" s="71">
        <f>DG304-DF304</f>
        <v>1.5000000000000002</v>
      </c>
      <c r="DG325" s="71">
        <f>ROUND(DJ304*(DG319+DF304*DG320),2)</f>
        <v>228.91</v>
      </c>
      <c r="DH325" s="71">
        <f>ROUND(DJ304*(DG319+DG304*DG320),2)</f>
        <v>18.96</v>
      </c>
      <c r="DI325" s="71">
        <f>MAX(0,ROUND(0.5*(DG325+DH325)*DF325,2))</f>
        <v>185.9</v>
      </c>
      <c r="DJ325" s="71">
        <f>ROUND(DF304+DF325/3*(DG325+2*DH325)/(DG325+DH325),2)</f>
        <v>2.24</v>
      </c>
      <c r="DK325" s="71">
        <f>ROUND(DK304*(DG318+DH304*DG320),2)</f>
        <v>-72.54</v>
      </c>
      <c r="DL325" s="71">
        <f>ROUND(DK325*(DF325),2)</f>
        <v>-108.81</v>
      </c>
      <c r="DM325" s="90" t="s">
        <v>36</v>
      </c>
      <c r="DN325" s="71">
        <f>DO304-DN304</f>
        <v>1.5000000000000002</v>
      </c>
      <c r="DO325" s="71">
        <f>ROUND(DR304*(DO319+DN304*DO320),2)</f>
        <v>228.76</v>
      </c>
      <c r="DP325" s="71">
        <f>ROUND(DR304*(DO319+DO304*DO320),2)</f>
        <v>18.67</v>
      </c>
      <c r="DQ325" s="71">
        <f>MAX(0,ROUND(0.5*(DO325+DP325)*DN325,2))</f>
        <v>185.57</v>
      </c>
      <c r="DR325" s="71">
        <f>ROUND(DN304+DN325/3*(DO325+2*DP325)/(DO325+DP325),2)</f>
        <v>2.24</v>
      </c>
      <c r="DS325" s="71">
        <f>ROUND(DS304*(DO318+DP304*DO320),2)</f>
        <v>-72.31</v>
      </c>
      <c r="DT325" s="71">
        <f>ROUND(DS325*(DN325),2)</f>
        <v>-108.47</v>
      </c>
      <c r="DU325" s="90" t="s">
        <v>36</v>
      </c>
      <c r="DV325" s="71">
        <f>DW304-DV304</f>
        <v>1.5000000000000002</v>
      </c>
      <c r="DW325" s="71">
        <f>ROUND(DZ304*(DW319+DV304*DW320),2)</f>
        <v>228.61</v>
      </c>
      <c r="DX325" s="71">
        <f>ROUND(DZ304*(DW319+DW304*DW320),2)</f>
        <v>18.39</v>
      </c>
      <c r="DY325" s="71">
        <f>MAX(0,ROUND(0.5*(DW325+DX325)*DV325,2))</f>
        <v>185.25</v>
      </c>
      <c r="DZ325" s="71">
        <f>ROUND(DV304+DV325/3*(DW325+2*DX325)/(DW325+DX325),2)</f>
        <v>2.24</v>
      </c>
      <c r="EA325" s="71">
        <f>ROUND(EA304*(DW318+DX304*DW320),2)</f>
        <v>-72.28</v>
      </c>
      <c r="EB325" s="71">
        <f>ROUND(EA325*(DV325),2)</f>
        <v>-108.42</v>
      </c>
      <c r="EC325" s="90" t="s">
        <v>36</v>
      </c>
      <c r="ED325" s="71">
        <f>EE304-ED304</f>
        <v>1.5000000000000002</v>
      </c>
      <c r="EE325" s="71">
        <f>ROUND(EH304*(EE319+ED304*EE320),2)</f>
        <v>228.46</v>
      </c>
      <c r="EF325" s="71">
        <f>ROUND(EH304*(EE319+EE304*EE320),2)</f>
        <v>18.11</v>
      </c>
      <c r="EG325" s="71">
        <f>MAX(0,ROUND(0.5*(EE325+EF325)*ED325,2))</f>
        <v>184.93</v>
      </c>
      <c r="EH325" s="71">
        <f>ROUND(ED304+ED325/3*(EE325+2*EF325)/(EE325+EF325),2)</f>
        <v>2.24</v>
      </c>
      <c r="EI325" s="71">
        <f>ROUND(EI304*(EE318+EF304*EE320),2)</f>
        <v>-72.16</v>
      </c>
      <c r="EJ325" s="71">
        <f>ROUND(EI325*(ED325),2)</f>
        <v>-108.24</v>
      </c>
      <c r="EK325" s="90" t="s">
        <v>36</v>
      </c>
      <c r="EL325" s="71">
        <f>EM304-EL304</f>
        <v>1.5000000000000002</v>
      </c>
      <c r="EM325" s="71">
        <f>ROUND(EP304*(EM319+EL304*EM320),2)</f>
        <v>229.19</v>
      </c>
      <c r="EN325" s="71">
        <f>ROUND(EP304*(EM319+EM304*EM320),2)</f>
        <v>18.71</v>
      </c>
      <c r="EO325" s="71">
        <f>MAX(0,ROUND(0.5*(EM325+EN325)*EL325,2))</f>
        <v>185.93</v>
      </c>
      <c r="EP325" s="71">
        <f>ROUND(EL304+EL325/3*(EM325+2*EN325)/(EM325+EN325),2)</f>
        <v>2.24</v>
      </c>
      <c r="EQ325" s="71">
        <f>ROUND(EQ304*(EM318+EN304*EM320),2)</f>
        <v>-71.93</v>
      </c>
      <c r="ER325" s="71">
        <f>ROUND(EQ325*(EL325),2)</f>
        <v>-107.9</v>
      </c>
    </row>
    <row r="326" spans="1:148" ht="18" customHeight="1">
      <c r="A326" s="38" t="s">
        <v>457</v>
      </c>
      <c r="H326" s="115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C326" s="93" t="s">
        <v>37</v>
      </c>
      <c r="AD326" s="71">
        <f>AE305-AD305</f>
        <v>1.3999999999999995</v>
      </c>
      <c r="AE326" s="71">
        <f>ROUND(AH305*(AE319+AD305*AE320),2)</f>
        <v>83.41</v>
      </c>
      <c r="AF326" s="71">
        <f>ROUND(AH305*(AE319+AE305*AE320),2)</f>
        <v>-31.43</v>
      </c>
      <c r="AG326" s="71">
        <f>MAX(0,ROUND(0.5*(AE326+AF326)*AD326,2))</f>
        <v>36.39</v>
      </c>
      <c r="AH326" s="73">
        <f>IF(AE326&lt;=0,0,ROUND(AD305+AD326/3*(AE326+2*AF326)/(AE326+AF326),2))</f>
        <v>3.58</v>
      </c>
      <c r="AI326" s="73">
        <f>ROUND(AI305*(AE318+AF305*AE320),2)</f>
        <v>-85.75</v>
      </c>
      <c r="AJ326" s="71">
        <f>ROUND(AI326*(AD326),2)</f>
        <v>-120.05</v>
      </c>
      <c r="AK326" s="93" t="s">
        <v>37</v>
      </c>
      <c r="AL326" s="71">
        <f>AM305-AL305</f>
        <v>1.0167411621292164</v>
      </c>
      <c r="AM326" s="71">
        <f>ROUND(AP305*(AM319+AL305*AM320),2)</f>
        <v>54.13</v>
      </c>
      <c r="AN326" s="71">
        <f>ROUND(AP305*(AM319+AM305*AM320),2)</f>
        <v>-52.61</v>
      </c>
      <c r="AO326" s="71">
        <f>MAX(0,ROUND(0.5*(AM326+AN326)*AL326,2))</f>
        <v>0.77</v>
      </c>
      <c r="AP326" s="73">
        <f>IF(AM326&lt;=0,0,ROUND(AL305+AL326/3*(AM326+2*AN326)/(AM326+AN326),2))</f>
        <v>-7.99</v>
      </c>
      <c r="AQ326" s="73">
        <f>ROUND(AQ305*(AM318+AN305*AM320),2)</f>
        <v>-22.44</v>
      </c>
      <c r="AR326" s="71">
        <f>ROUND(AQ326*(AL326),2)</f>
        <v>-22.82</v>
      </c>
      <c r="AS326" s="93" t="s">
        <v>37</v>
      </c>
      <c r="AT326" s="71">
        <f>AU305-AT305</f>
        <v>0.5156611202845167</v>
      </c>
      <c r="AU326" s="71">
        <f>ROUND(AX305*(AU319+AT305*AU320),2)</f>
        <v>27.11</v>
      </c>
      <c r="AV326" s="71">
        <f>ROUND(AX305*(AU319+AU305*AU320),2)</f>
        <v>-35.02</v>
      </c>
      <c r="AW326" s="71">
        <f>MAX(0,ROUND(0.5*(AU326+AV326)*AT326,2))</f>
        <v>0</v>
      </c>
      <c r="AX326" s="73">
        <f>IF(AU326&lt;=0,0,ROUND(AT305+AT326/3*(AU326+2*AV326)/(AU326+AV326),2))</f>
        <v>4.33</v>
      </c>
      <c r="AY326" s="73">
        <f>ROUND(AY305*(AU318+AV305*AU320),2)</f>
        <v>-0.51</v>
      </c>
      <c r="AZ326" s="71">
        <f>ROUND(AY326*(AT326),2)</f>
        <v>-0.26</v>
      </c>
      <c r="BA326" s="93" t="s">
        <v>37</v>
      </c>
      <c r="BB326" s="71">
        <f>BC305-BB305</f>
        <v>0.225117591721542</v>
      </c>
      <c r="BC326" s="71">
        <f>ROUND(BF305*(BC319+BB305*BC320),2)</f>
        <v>11.8</v>
      </c>
      <c r="BD326" s="71">
        <f>ROUND(BF305*(BC319+BC305*BC320),2)</f>
        <v>-17.16</v>
      </c>
      <c r="BE326" s="71">
        <f>MAX(0,ROUND(0.5*(BC326+BD326)*BB326,2))</f>
        <v>0</v>
      </c>
      <c r="BF326" s="73">
        <f>IF(BC326&lt;=0,0,ROUND(BB305+BB326/3*(BC326+2*BD326)/(BC326+BD326),2))</f>
        <v>3.72</v>
      </c>
      <c r="BG326" s="73">
        <f>ROUND(BG305*(BC318+BD305*BC320),2)</f>
        <v>0</v>
      </c>
      <c r="BH326" s="71">
        <f>ROUND(BG326*(BB326),2)</f>
        <v>0</v>
      </c>
      <c r="BI326" s="93" t="s">
        <v>37</v>
      </c>
      <c r="BJ326" s="71">
        <f>BK305-BJ305</f>
        <v>0.09162995594713674</v>
      </c>
      <c r="BK326" s="71">
        <f>ROUND(BN305*(BK319+BJ305*BK320),2)</f>
        <v>2.32</v>
      </c>
      <c r="BL326" s="71">
        <f>ROUND(BN305*(BK319+BK305*BK320),2)</f>
        <v>-9.91</v>
      </c>
      <c r="BM326" s="71">
        <f>MAX(0,ROUND(0.5*(BK326+BL326)*BJ326,2))</f>
        <v>0</v>
      </c>
      <c r="BN326" s="73">
        <f>IF(BK326&lt;=0,0,ROUND(BJ305+BJ326/3*(BK326+2*BL326)/(BK326+BL326),2))</f>
        <v>3.47</v>
      </c>
      <c r="BO326" s="73">
        <f>ROUND(BO305*(BK318+BL305*BK320),2)</f>
        <v>0</v>
      </c>
      <c r="BP326" s="71">
        <f>ROUND(BO326*(BJ326),2)</f>
        <v>0</v>
      </c>
      <c r="BQ326" s="93" t="s">
        <v>37</v>
      </c>
      <c r="BR326" s="71">
        <f>BS305-BR305</f>
        <v>0.01737827715355733</v>
      </c>
      <c r="BS326" s="71">
        <f>ROUND(BV305*(BS319+BR305*BS320),2)</f>
        <v>-2.91</v>
      </c>
      <c r="BT326" s="71">
        <f>ROUND(BV305*(BS319+BS305*BS320),2)</f>
        <v>-5.28</v>
      </c>
      <c r="BU326" s="71">
        <f>MAX(0,ROUND(0.5*(BS326+BT326)*BR326,2))</f>
        <v>0</v>
      </c>
      <c r="BV326" s="73">
        <f>IF(BS326&lt;=0,0,ROUND(BR305+BR326/3*(BS326+2*BT326)/(BS326+BT326),2))</f>
        <v>0</v>
      </c>
      <c r="BW326" s="73">
        <f>ROUND(BW305*(BS318+BT305*BS320),2)</f>
        <v>0</v>
      </c>
      <c r="BX326" s="71">
        <f>ROUND(BW326*(BR326),2)</f>
        <v>0</v>
      </c>
      <c r="BY326" s="93" t="s">
        <v>37</v>
      </c>
      <c r="BZ326" s="71">
        <f>CA305-BZ305</f>
        <v>0</v>
      </c>
      <c r="CA326" s="71">
        <f>ROUND(CD305*(CA319+BZ305*CA320),2)</f>
        <v>0</v>
      </c>
      <c r="CB326" s="71">
        <f>ROUND(CD305*(CA319+CA305*CA320),2)</f>
        <v>0</v>
      </c>
      <c r="CC326" s="71">
        <f>MAX(0,ROUND(0.5*(CA326+CB326)*BZ326,2))</f>
        <v>0</v>
      </c>
      <c r="CD326" s="73">
        <f>IF(CA326&lt;=0,0,ROUND(BZ305+BZ326/3*(CA326+2*CB326)/(CA326+CB326),2))</f>
        <v>0</v>
      </c>
      <c r="CE326" s="73">
        <f>ROUND(CE305*(CA318+CB305*CA320),2)</f>
        <v>0</v>
      </c>
      <c r="CF326" s="71">
        <f>ROUND(CE326*(BZ326),2)</f>
        <v>0</v>
      </c>
      <c r="CG326" s="93" t="s">
        <v>37</v>
      </c>
      <c r="CH326" s="71">
        <f>CI305-CH305</f>
        <v>0</v>
      </c>
      <c r="CI326" s="71">
        <f>ROUND(CL305*(CI319+CH305*CI320),2)</f>
        <v>0</v>
      </c>
      <c r="CJ326" s="71">
        <f>ROUND(CL305*(CI319+CI305*CI320),2)</f>
        <v>0</v>
      </c>
      <c r="CK326" s="71">
        <f>MAX(0,ROUND(0.5*(CI326+CJ326)*CH326,2))</f>
        <v>0</v>
      </c>
      <c r="CL326" s="73">
        <f>IF(CI326&lt;=0,0,ROUND(CH305+CH326/3*(CI326+2*CJ326)/(CI326+CJ326),2))</f>
        <v>0</v>
      </c>
      <c r="CM326" s="73">
        <f>ROUND(CM305*(CI318+CJ305*CI320),2)</f>
        <v>0</v>
      </c>
      <c r="CN326" s="71">
        <f>ROUND(CM326*(CH326),2)</f>
        <v>0</v>
      </c>
      <c r="CO326" s="93" t="s">
        <v>37</v>
      </c>
      <c r="CP326" s="71">
        <f>CQ305-CP305</f>
        <v>0</v>
      </c>
      <c r="CQ326" s="71">
        <f>ROUND(CT305*(CQ319+CP305*CQ320),2)</f>
        <v>0</v>
      </c>
      <c r="CR326" s="71">
        <f>ROUND(CT305*(CQ319+CQ305*CQ320),2)</f>
        <v>0</v>
      </c>
      <c r="CS326" s="71">
        <f>MAX(0,ROUND(0.5*(CQ326+CR326)*CP326,2))</f>
        <v>0</v>
      </c>
      <c r="CT326" s="73">
        <f>IF(CQ326&lt;=0,0,ROUND(CP305+CP326/3*(CQ326+2*CR326)/(CQ326+CR326),2))</f>
        <v>0</v>
      </c>
      <c r="CU326" s="73">
        <f>ROUND(CU305*(CQ318+CR305*CQ320),2)</f>
        <v>0</v>
      </c>
      <c r="CV326" s="71">
        <f>ROUND(CU326*(CP326),2)</f>
        <v>0</v>
      </c>
      <c r="CW326" s="93" t="s">
        <v>37</v>
      </c>
      <c r="CX326" s="71">
        <f>CY305-CX305</f>
        <v>0</v>
      </c>
      <c r="CY326" s="71">
        <f>ROUND(DB305*(CY319+CX305*CY320),2)</f>
        <v>0</v>
      </c>
      <c r="CZ326" s="71">
        <f>ROUND(DB305*(CY319+CY305*CY320),2)</f>
        <v>0</v>
      </c>
      <c r="DA326" s="71">
        <f>MAX(0,ROUND(0.5*(CY326+CZ326)*CX326,2))</f>
        <v>0</v>
      </c>
      <c r="DB326" s="73">
        <f>IF(CY326&lt;=0,0,ROUND(CX305+CX326/3*(CY326+2*CZ326)/(CY326+CZ326),2))</f>
        <v>0</v>
      </c>
      <c r="DC326" s="73">
        <f>ROUND(DC305*(CY318+CZ305*CY320),2)</f>
        <v>0</v>
      </c>
      <c r="DD326" s="71">
        <f>ROUND(DC326*(CX326),2)</f>
        <v>0</v>
      </c>
      <c r="DE326" s="93" t="s">
        <v>37</v>
      </c>
      <c r="DF326" s="71">
        <f>DG305-DF305</f>
        <v>0</v>
      </c>
      <c r="DG326" s="71">
        <f>ROUND(DJ305*(DG319+DF305*DG320),2)</f>
        <v>0</v>
      </c>
      <c r="DH326" s="71">
        <f>ROUND(DJ305*(DG319+DG305*DG320),2)</f>
        <v>0</v>
      </c>
      <c r="DI326" s="71">
        <f>MAX(0,ROUND(0.5*(DG326+DH326)*DF326,2))</f>
        <v>0</v>
      </c>
      <c r="DJ326" s="73">
        <f>IF(DG326&lt;=0,0,ROUND(DF305+DF326/3*(DG326+2*DH326)/(DG326+DH326),2))</f>
        <v>0</v>
      </c>
      <c r="DK326" s="73">
        <f>ROUND(DK305*(DG318+DH305*DG320),2)</f>
        <v>0</v>
      </c>
      <c r="DL326" s="71">
        <f>ROUND(DK326*(DF326),2)</f>
        <v>0</v>
      </c>
      <c r="DM326" s="93" t="s">
        <v>37</v>
      </c>
      <c r="DN326" s="71">
        <f>DO305-DN305</f>
        <v>0</v>
      </c>
      <c r="DO326" s="71">
        <f>ROUND(DR305*(DO319+DN305*DO320),2)</f>
        <v>0</v>
      </c>
      <c r="DP326" s="71">
        <f>ROUND(DR305*(DO319+DO305*DO320),2)</f>
        <v>0</v>
      </c>
      <c r="DQ326" s="71">
        <f>MAX(0,ROUND(0.5*(DO326+DP326)*DN326,2))</f>
        <v>0</v>
      </c>
      <c r="DR326" s="73">
        <f>IF(DO326&lt;=0,0,ROUND(DN305+DN326/3*(DO326+2*DP326)/(DO326+DP326),2))</f>
        <v>0</v>
      </c>
      <c r="DS326" s="73">
        <f>ROUND(DS305*(DO318+DP305*DO320),2)</f>
        <v>0</v>
      </c>
      <c r="DT326" s="71">
        <f>ROUND(DS326*(DN326),2)</f>
        <v>0</v>
      </c>
      <c r="DU326" s="93" t="s">
        <v>37</v>
      </c>
      <c r="DV326" s="71">
        <f>DW305-DV305</f>
        <v>0</v>
      </c>
      <c r="DW326" s="71">
        <f>ROUND(DZ305*(DW319+DV305*DW320),2)</f>
        <v>0</v>
      </c>
      <c r="DX326" s="71">
        <f>ROUND(DZ305*(DW319+DW305*DW320),2)</f>
        <v>0</v>
      </c>
      <c r="DY326" s="71">
        <f>MAX(0,ROUND(0.5*(DW326+DX326)*DV326,2))</f>
        <v>0</v>
      </c>
      <c r="DZ326" s="73">
        <f>IF(DW326&lt;=0,0,ROUND(DV305+DV326/3*(DW326+2*DX326)/(DW326+DX326),2))</f>
        <v>0</v>
      </c>
      <c r="EA326" s="73">
        <f>ROUND(EA305*(DW318+DX305*DW320),2)</f>
        <v>0</v>
      </c>
      <c r="EB326" s="71">
        <f>ROUND(EA326*(DV326),2)</f>
        <v>0</v>
      </c>
      <c r="EC326" s="93" t="s">
        <v>37</v>
      </c>
      <c r="ED326" s="71">
        <f>EE305-ED305</f>
        <v>0</v>
      </c>
      <c r="EE326" s="71">
        <f>ROUND(EH305*(EE319+ED305*EE320),2)</f>
        <v>0</v>
      </c>
      <c r="EF326" s="71">
        <f>ROUND(EH305*(EE319+EE305*EE320),2)</f>
        <v>0</v>
      </c>
      <c r="EG326" s="71">
        <f>MAX(0,ROUND(0.5*(EE326+EF326)*ED326,2))</f>
        <v>0</v>
      </c>
      <c r="EH326" s="73">
        <f>IF(EE326&lt;=0,0,ROUND(ED305+ED326/3*(EE326+2*EF326)/(EE326+EF326),2))</f>
        <v>0</v>
      </c>
      <c r="EI326" s="73">
        <f>ROUND(EI305*(EE318+EF305*EE320),2)</f>
        <v>0</v>
      </c>
      <c r="EJ326" s="71">
        <f>ROUND(EI326*(ED326),2)</f>
        <v>0</v>
      </c>
      <c r="EK326" s="93" t="s">
        <v>37</v>
      </c>
      <c r="EL326" s="71">
        <f>EM305-EL305</f>
        <v>0</v>
      </c>
      <c r="EM326" s="71">
        <f>ROUND(EP305*(EM319+EL305*EM320),2)</f>
        <v>0</v>
      </c>
      <c r="EN326" s="71">
        <f>ROUND(EP305*(EM319+EM305*EM320),2)</f>
        <v>0</v>
      </c>
      <c r="EO326" s="71">
        <f>MAX(0,ROUND(0.5*(EM326+EN326)*EL326,2))</f>
        <v>0</v>
      </c>
      <c r="EP326" s="73">
        <f>IF(EM326&lt;=0,0,ROUND(EL305+EL326/3*(EM326+2*EN326)/(EM326+EN326),2))</f>
        <v>0</v>
      </c>
      <c r="EQ326" s="73">
        <f>ROUND(EQ305*(EM318+EN305*EM320),2)</f>
        <v>0</v>
      </c>
      <c r="ER326" s="71">
        <f>ROUND(EQ326*(EL326),2)</f>
        <v>0</v>
      </c>
    </row>
    <row r="327" spans="1:148" ht="18" customHeight="1">
      <c r="A327" s="128" t="s">
        <v>458</v>
      </c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C327" s="106"/>
      <c r="AD327" s="107"/>
      <c r="AE327" s="108"/>
      <c r="AF327" s="109" t="s">
        <v>43</v>
      </c>
      <c r="AG327" s="107">
        <f>SUM(AG324:AG326)</f>
        <v>729.6</v>
      </c>
      <c r="AH327" s="110"/>
      <c r="AI327" s="109" t="s">
        <v>44</v>
      </c>
      <c r="AJ327" s="107">
        <f>SUM(AJ324:AJ326)</f>
        <v>-285.04</v>
      </c>
      <c r="AK327" s="106"/>
      <c r="AL327" s="107"/>
      <c r="AM327" s="108"/>
      <c r="AN327" s="109" t="s">
        <v>43</v>
      </c>
      <c r="AO327" s="107">
        <f>SUM(AO324:AO326)</f>
        <v>730.02</v>
      </c>
      <c r="AP327" s="110"/>
      <c r="AQ327" s="109" t="s">
        <v>44</v>
      </c>
      <c r="AR327" s="107">
        <f>SUM(AR324:AR326)</f>
        <v>-285.43</v>
      </c>
      <c r="AS327" s="106"/>
      <c r="AT327" s="107"/>
      <c r="AU327" s="108"/>
      <c r="AV327" s="109" t="s">
        <v>43</v>
      </c>
      <c r="AW327" s="107">
        <f>SUM(AW324:AW326)</f>
        <v>731.9</v>
      </c>
      <c r="AX327" s="110"/>
      <c r="AY327" s="109" t="s">
        <v>44</v>
      </c>
      <c r="AZ327" s="107">
        <f>SUM(AZ324:AZ326)</f>
        <v>-285</v>
      </c>
      <c r="BA327" s="106"/>
      <c r="BB327" s="107"/>
      <c r="BC327" s="108"/>
      <c r="BD327" s="109" t="s">
        <v>43</v>
      </c>
      <c r="BE327" s="107">
        <f>SUM(BE324:BE326)</f>
        <v>730</v>
      </c>
      <c r="BF327" s="110"/>
      <c r="BG327" s="109" t="s">
        <v>44</v>
      </c>
      <c r="BH327" s="107">
        <f>SUM(BH324:BH326)</f>
        <v>-285.38</v>
      </c>
      <c r="BI327" s="106"/>
      <c r="BJ327" s="107"/>
      <c r="BK327" s="108"/>
      <c r="BL327" s="109" t="s">
        <v>43</v>
      </c>
      <c r="BM327" s="107">
        <f>SUM(BM324:BM326)</f>
        <v>727.86</v>
      </c>
      <c r="BN327" s="110"/>
      <c r="BO327" s="109" t="s">
        <v>44</v>
      </c>
      <c r="BP327" s="107">
        <f>SUM(BP324:BP326)</f>
        <v>-284.85</v>
      </c>
      <c r="BQ327" s="106"/>
      <c r="BR327" s="107"/>
      <c r="BS327" s="108"/>
      <c r="BT327" s="109" t="s">
        <v>43</v>
      </c>
      <c r="BU327" s="107">
        <f>SUM(BU324:BU326)</f>
        <v>728.94</v>
      </c>
      <c r="BV327" s="110"/>
      <c r="BW327" s="109" t="s">
        <v>44</v>
      </c>
      <c r="BX327" s="107">
        <f>SUM(BX324:BX326)</f>
        <v>-285.03</v>
      </c>
      <c r="BY327" s="106"/>
      <c r="BZ327" s="107"/>
      <c r="CA327" s="108"/>
      <c r="CB327" s="109" t="s">
        <v>43</v>
      </c>
      <c r="CC327" s="107">
        <f>SUM(CC324:CC326)</f>
        <v>728.83</v>
      </c>
      <c r="CD327" s="110"/>
      <c r="CE327" s="109" t="s">
        <v>44</v>
      </c>
      <c r="CF327" s="107">
        <f>SUM(CF324:CF326)</f>
        <v>-284.94</v>
      </c>
      <c r="CG327" s="106"/>
      <c r="CH327" s="107"/>
      <c r="CI327" s="108"/>
      <c r="CJ327" s="109" t="s">
        <v>43</v>
      </c>
      <c r="CK327" s="107">
        <f>SUM(CK324:CK326)</f>
        <v>727.2299999999999</v>
      </c>
      <c r="CL327" s="110"/>
      <c r="CM327" s="109" t="s">
        <v>44</v>
      </c>
      <c r="CN327" s="107">
        <f>SUM(CN324:CN326)</f>
        <v>-285.28000000000003</v>
      </c>
      <c r="CO327" s="106"/>
      <c r="CP327" s="107"/>
      <c r="CQ327" s="108"/>
      <c r="CR327" s="109" t="s">
        <v>43</v>
      </c>
      <c r="CS327" s="107">
        <f>SUM(CS324:CS326)</f>
        <v>729.5699999999999</v>
      </c>
      <c r="CT327" s="110"/>
      <c r="CU327" s="109" t="s">
        <v>44</v>
      </c>
      <c r="CV327" s="107">
        <f>SUM(CV324:CV326)</f>
        <v>-285.26</v>
      </c>
      <c r="CW327" s="106"/>
      <c r="CX327" s="107"/>
      <c r="CY327" s="108"/>
      <c r="CZ327" s="109" t="s">
        <v>43</v>
      </c>
      <c r="DA327" s="107">
        <f>SUM(DA324:DA326)</f>
        <v>729.15</v>
      </c>
      <c r="DB327" s="110"/>
      <c r="DC327" s="109" t="s">
        <v>44</v>
      </c>
      <c r="DD327" s="107">
        <f>SUM(DD324:DD326)</f>
        <v>-285.06</v>
      </c>
      <c r="DE327" s="106"/>
      <c r="DF327" s="107"/>
      <c r="DG327" s="108"/>
      <c r="DH327" s="109" t="s">
        <v>43</v>
      </c>
      <c r="DI327" s="107">
        <f>SUM(DI324:DI326)</f>
        <v>728.7099999999999</v>
      </c>
      <c r="DJ327" s="110"/>
      <c r="DK327" s="109" t="s">
        <v>44</v>
      </c>
      <c r="DL327" s="107">
        <f>SUM(DL324:DL326)</f>
        <v>-285.21000000000004</v>
      </c>
      <c r="DM327" s="106"/>
      <c r="DN327" s="107"/>
      <c r="DO327" s="108"/>
      <c r="DP327" s="109" t="s">
        <v>43</v>
      </c>
      <c r="DQ327" s="107">
        <f>SUM(DQ324:DQ326)</f>
        <v>728.29</v>
      </c>
      <c r="DR327" s="110"/>
      <c r="DS327" s="109" t="s">
        <v>44</v>
      </c>
      <c r="DT327" s="107">
        <f>SUM(DT324:DT326)</f>
        <v>-284.87</v>
      </c>
      <c r="DU327" s="106"/>
      <c r="DV327" s="107"/>
      <c r="DW327" s="108"/>
      <c r="DX327" s="109" t="s">
        <v>43</v>
      </c>
      <c r="DY327" s="107">
        <f>SUM(DY324:DY326)</f>
        <v>727.87</v>
      </c>
      <c r="DZ327" s="110"/>
      <c r="EA327" s="109" t="s">
        <v>44</v>
      </c>
      <c r="EB327" s="107">
        <f>SUM(EB324:EB326)</f>
        <v>-285.15</v>
      </c>
      <c r="EC327" s="106"/>
      <c r="ED327" s="107"/>
      <c r="EE327" s="108"/>
      <c r="EF327" s="109" t="s">
        <v>43</v>
      </c>
      <c r="EG327" s="107">
        <f>SUM(EG324:EG326)</f>
        <v>727.44</v>
      </c>
      <c r="EH327" s="110"/>
      <c r="EI327" s="109" t="s">
        <v>44</v>
      </c>
      <c r="EJ327" s="107">
        <f>SUM(EJ324:EJ326)</f>
        <v>-285.3</v>
      </c>
      <c r="EK327" s="106"/>
      <c r="EL327" s="107"/>
      <c r="EM327" s="108"/>
      <c r="EN327" s="109" t="s">
        <v>43</v>
      </c>
      <c r="EO327" s="107">
        <f>SUM(EO324:EO326)</f>
        <v>729.6800000000001</v>
      </c>
      <c r="EP327" s="110"/>
      <c r="EQ327" s="109" t="s">
        <v>44</v>
      </c>
      <c r="ER327" s="107">
        <f>SUM(ER324:ER326)</f>
        <v>-284.96000000000004</v>
      </c>
    </row>
    <row r="328" spans="2:29" ht="18" customHeight="1">
      <c r="B328" s="32" t="s">
        <v>237</v>
      </c>
      <c r="C328" s="31" t="s">
        <v>383</v>
      </c>
      <c r="D328" s="116">
        <f>B</f>
        <v>4.8</v>
      </c>
      <c r="E328" s="22" t="s">
        <v>3</v>
      </c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C328" s="102"/>
    </row>
    <row r="329" spans="3:147" ht="18" customHeight="1">
      <c r="C329" s="27"/>
      <c r="D329" s="26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C329" s="102"/>
      <c r="AD329" s="102"/>
      <c r="AE329" s="102" t="s">
        <v>221</v>
      </c>
      <c r="AF329" s="22">
        <f>(AG324*AH324+AG325*AH325+AG326*AH326)/AG327</f>
        <v>1.3909761513157894</v>
      </c>
      <c r="AG329" s="22" t="s">
        <v>222</v>
      </c>
      <c r="AH329" s="22" t="s">
        <v>467</v>
      </c>
      <c r="AI329" s="22">
        <f>AE324*AD324/(AE324-AF324)</f>
        <v>4.416741162129217</v>
      </c>
      <c r="AM329" s="102" t="s">
        <v>221</v>
      </c>
      <c r="AN329" s="22">
        <f>(AO324*AP324+AO325*AP325+AO326*AP326)/AO327</f>
        <v>1.1961338045532999</v>
      </c>
      <c r="AO329" s="22" t="s">
        <v>222</v>
      </c>
      <c r="AP329" s="22" t="s">
        <v>467</v>
      </c>
      <c r="AQ329" s="22">
        <f>AM324*AL324/(AM324-AN324)</f>
        <v>3.915661120284517</v>
      </c>
      <c r="AU329" s="102" t="s">
        <v>221</v>
      </c>
      <c r="AV329" s="22">
        <f>(AW324*AX324+AW325*AX325+AW326*AX326)/AW327</f>
        <v>1.1470957781117639</v>
      </c>
      <c r="AW329" s="22" t="s">
        <v>222</v>
      </c>
      <c r="AX329" s="22" t="s">
        <v>467</v>
      </c>
      <c r="AY329" s="22">
        <f>AU324*AT324/(AU324-AV324)</f>
        <v>3.6251175917215424</v>
      </c>
      <c r="BC329" s="102" t="s">
        <v>221</v>
      </c>
      <c r="BD329" s="22">
        <f>(BE324*BF324+BE325*BF325+BE326*BF326)/BE327</f>
        <v>1.1177945205479451</v>
      </c>
      <c r="BE329" s="22" t="s">
        <v>222</v>
      </c>
      <c r="BF329" s="22" t="s">
        <v>467</v>
      </c>
      <c r="BG329" s="22">
        <f>BC324*BB324/(BC324-BD324)</f>
        <v>3.491629955947137</v>
      </c>
      <c r="BK329" s="102" t="s">
        <v>221</v>
      </c>
      <c r="BL329" s="22">
        <f>(BM324*BN324+BM325*BN325+BM326*BN326)/BM327</f>
        <v>1.1005171324155745</v>
      </c>
      <c r="BM329" s="22" t="s">
        <v>222</v>
      </c>
      <c r="BN329" s="22" t="s">
        <v>467</v>
      </c>
      <c r="BO329" s="22">
        <f>BK324*BJ324/(BK324-BL324)</f>
        <v>3.4173782771535577</v>
      </c>
      <c r="BS329" s="102" t="s">
        <v>221</v>
      </c>
      <c r="BT329" s="22">
        <f>(BU324*BV324+BU325*BV325+BU326*BV326)/BU327</f>
        <v>1.089870496885889</v>
      </c>
      <c r="BU329" s="22" t="s">
        <v>222</v>
      </c>
      <c r="BV329" s="22" t="s">
        <v>467</v>
      </c>
      <c r="BW329" s="22">
        <f>BS324*BR324/(BS324-BT324)</f>
        <v>3.3787701317715957</v>
      </c>
      <c r="CA329" s="102" t="s">
        <v>221</v>
      </c>
      <c r="CB329" s="22">
        <f>(CC324*CD324+CC325*CD325+CC326*CD326)/CC327</f>
        <v>1.0826124061852558</v>
      </c>
      <c r="CC329" s="22" t="s">
        <v>222</v>
      </c>
      <c r="CD329" s="22" t="s">
        <v>467</v>
      </c>
      <c r="CE329" s="22">
        <f>CA324*BZ324/(CA324-CB324)</f>
        <v>3.35679506339488</v>
      </c>
      <c r="CI329" s="102" t="s">
        <v>221</v>
      </c>
      <c r="CJ329" s="22">
        <f>(CK324*CL324+CK325*CL325+CK326*CL326)/CK327</f>
        <v>1.0793581122890972</v>
      </c>
      <c r="CK329" s="22" t="s">
        <v>222</v>
      </c>
      <c r="CL329" s="22" t="s">
        <v>467</v>
      </c>
      <c r="CM329" s="22">
        <f>CI324*CH324/(CI324-CJ324)</f>
        <v>3.3418922155688624</v>
      </c>
      <c r="CQ329" s="102" t="s">
        <v>221</v>
      </c>
      <c r="CR329" s="22">
        <f>(CS324*CT324+CS325*CT325+CS326*CT326)/CS327</f>
        <v>1.0788897569801392</v>
      </c>
      <c r="CS329" s="22" t="s">
        <v>222</v>
      </c>
      <c r="CT329" s="22" t="s">
        <v>467</v>
      </c>
      <c r="CU329" s="22">
        <f>CQ324*CP324/(CQ324-CR324)</f>
        <v>3.3397319725295693</v>
      </c>
      <c r="CY329" s="102" t="s">
        <v>221</v>
      </c>
      <c r="CZ329" s="22">
        <f>(DA324*DB324+DA325*DB325+DA326*DB326)/DA327</f>
        <v>1.0784348899403415</v>
      </c>
      <c r="DA329" s="22" t="s">
        <v>222</v>
      </c>
      <c r="DB329" s="22" t="s">
        <v>467</v>
      </c>
      <c r="DC329" s="22">
        <f>CY324*CX324/(CY324-CZ324)</f>
        <v>3.337662647156952</v>
      </c>
      <c r="DG329" s="102" t="s">
        <v>221</v>
      </c>
      <c r="DH329" s="22">
        <f>(DI324*DJ324+DI325*DJ325+DI326*DJ326)/DI327</f>
        <v>1.0779690137366034</v>
      </c>
      <c r="DI329" s="22" t="s">
        <v>222</v>
      </c>
      <c r="DJ329" s="22" t="s">
        <v>467</v>
      </c>
      <c r="DK329" s="22">
        <f>DG324*DF324/(DG324-DH324)</f>
        <v>3.3354370088116214</v>
      </c>
      <c r="DO329" s="102" t="s">
        <v>221</v>
      </c>
      <c r="DP329" s="22">
        <f>(DQ324*DR324+DQ325*DR325+DQ326*DR326)/DQ327</f>
        <v>1.0774916585426135</v>
      </c>
      <c r="DQ329" s="22" t="s">
        <v>222</v>
      </c>
      <c r="DR329" s="22" t="s">
        <v>467</v>
      </c>
      <c r="DS329" s="22">
        <f>DO324*DN324/(DO324-DP324)</f>
        <v>3.3333730007616142</v>
      </c>
      <c r="DW329" s="102" t="s">
        <v>221</v>
      </c>
      <c r="DX329" s="22">
        <f>(DY324*DZ324+DY325*DZ325+DY326*DZ326)/DY327</f>
        <v>1.0770351848544384</v>
      </c>
      <c r="DY329" s="22" t="s">
        <v>222</v>
      </c>
      <c r="DZ329" s="22" t="s">
        <v>467</v>
      </c>
      <c r="EA329" s="22">
        <f>DW324*DV324/(DW324-DX324)</f>
        <v>3.3313115455972597</v>
      </c>
      <c r="EE329" s="102" t="s">
        <v>221</v>
      </c>
      <c r="EF329" s="22">
        <f>(EG324*EH324+EG325*EH325+EG326*EH326)/EG327</f>
        <v>1.0765836357637744</v>
      </c>
      <c r="EG329" s="22" t="s">
        <v>222</v>
      </c>
      <c r="EH329" s="22" t="s">
        <v>467</v>
      </c>
      <c r="EI329" s="22">
        <f>EE324*ED324/(EE324-EF324)</f>
        <v>3.3290943665319706</v>
      </c>
      <c r="EM329" s="102" t="s">
        <v>221</v>
      </c>
      <c r="EN329" s="22">
        <f>(EO324*EP324+EO325*EP325+EO326*EP326)/EO327</f>
        <v>1.0775041113912949</v>
      </c>
      <c r="EO329" s="22" t="s">
        <v>222</v>
      </c>
      <c r="EP329" s="22" t="s">
        <v>467</v>
      </c>
      <c r="EQ329" s="22">
        <f>EM324*EL324/(EM324-EN324)</f>
        <v>3.3333808437856325</v>
      </c>
    </row>
    <row r="330" spans="2:146" ht="18" customHeight="1">
      <c r="B330" s="32" t="s">
        <v>24</v>
      </c>
      <c r="C330" s="27"/>
      <c r="D330" s="26"/>
      <c r="E330" s="171">
        <f>(F305*G305+F306*G306+F307*G307)/F308</f>
        <v>1.0775041113912949</v>
      </c>
      <c r="F330" s="22" t="s">
        <v>238</v>
      </c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C330" s="102"/>
      <c r="AD330" s="102"/>
      <c r="AE330" s="102" t="s">
        <v>223</v>
      </c>
      <c r="AF330" s="22">
        <f>AG324*μ/ABS(AJ324)</f>
        <v>4.706198778125465</v>
      </c>
      <c r="AG330" s="22" t="s">
        <v>224</v>
      </c>
      <c r="AH330" s="22">
        <f>MIN(AI303,0.5*(AE324+AF324)*μ/AF333/ABS(AE318+AF303*AE320))</f>
        <v>22147</v>
      </c>
      <c r="AM330" s="102" t="s">
        <v>223</v>
      </c>
      <c r="AN330" s="22">
        <f>AO324*μ/ABS(AR324)</f>
        <v>3.1260437197634827</v>
      </c>
      <c r="AO330" s="22" t="s">
        <v>224</v>
      </c>
      <c r="AP330" s="22">
        <f>MIN(AQ303,0.5*(AM324+AN324)*μ/AN333/ABS(AM318+AN303*AM320))</f>
        <v>22147</v>
      </c>
      <c r="AU330" s="102" t="s">
        <v>223</v>
      </c>
      <c r="AV330" s="22">
        <f>AW324*μ/ABS(AZ324)</f>
        <v>2.8143000851195543</v>
      </c>
      <c r="AW330" s="22" t="s">
        <v>224</v>
      </c>
      <c r="AX330" s="22">
        <f>MIN(AY303,0.5*(AU324+AV324)*μ/AV333/ABS(AU318+AV303*AU320))</f>
        <v>22147</v>
      </c>
      <c r="BC330" s="102" t="s">
        <v>223</v>
      </c>
      <c r="BD330" s="22">
        <f>BE324*μ/ABS(BH324)</f>
        <v>2.5217924271315715</v>
      </c>
      <c r="BE330" s="22" t="s">
        <v>224</v>
      </c>
      <c r="BF330" s="22">
        <f>MIN(BG303,0.5*(BC324+BD324)*μ/BD333/ABS(BC318+BD303*BC320))</f>
        <v>22147</v>
      </c>
      <c r="BK330" s="102" t="s">
        <v>223</v>
      </c>
      <c r="BL330" s="22">
        <f>BM324*μ/ABS(BP324)</f>
        <v>2.3497863247863244</v>
      </c>
      <c r="BM330" s="22" t="s">
        <v>224</v>
      </c>
      <c r="BN330" s="22">
        <f>MIN(BO303,0.5*(BK324+BL324)*μ/BL333/ABS(BK318+BL303*BK320))</f>
        <v>22147</v>
      </c>
      <c r="BS330" s="102" t="s">
        <v>223</v>
      </c>
      <c r="BT330" s="22">
        <f>BU324*μ/ABS(BX324)</f>
        <v>2.256421304608019</v>
      </c>
      <c r="BU330" s="22" t="s">
        <v>224</v>
      </c>
      <c r="BV330" s="22">
        <f>MIN(BW303,0.5*(BS324+BT324)*μ/BT333/ABS(BS318+BT303*BS320))</f>
        <v>22147</v>
      </c>
      <c r="CA330" s="102" t="s">
        <v>223</v>
      </c>
      <c r="CB330" s="22">
        <f>CC324*μ/ABS(CF324)</f>
        <v>2.208091237895228</v>
      </c>
      <c r="CC330" s="22" t="s">
        <v>224</v>
      </c>
      <c r="CD330" s="22">
        <f>MIN(CE303,0.5*(CA324+CB324)*μ/CB333/ABS(CA318+CB303*CA320))</f>
        <v>22147</v>
      </c>
      <c r="CI330" s="102" t="s">
        <v>223</v>
      </c>
      <c r="CJ330" s="22">
        <f>CK324*μ/ABS(CN324)</f>
        <v>2.1756778492647055</v>
      </c>
      <c r="CK330" s="22" t="s">
        <v>224</v>
      </c>
      <c r="CL330" s="22">
        <f>MIN(CM303,0.5*(CI324+CJ324)*μ/CJ333/ABS(CI318+CJ303*CI320))</f>
        <v>22147</v>
      </c>
      <c r="CQ330" s="102" t="s">
        <v>223</v>
      </c>
      <c r="CR330" s="22">
        <f>CS324*μ/ABS(CV324)</f>
        <v>2.162933879594856</v>
      </c>
      <c r="CS330" s="22" t="s">
        <v>224</v>
      </c>
      <c r="CT330" s="22">
        <f>MIN(CU303,0.5*(CQ324+CR324)*μ/CR333/ABS(CQ318+CR303*CQ320))</f>
        <v>22147</v>
      </c>
      <c r="CY330" s="102" t="s">
        <v>223</v>
      </c>
      <c r="CZ330" s="22">
        <f>DA324*μ/ABS(DD324)</f>
        <v>2.1584824217640706</v>
      </c>
      <c r="DA330" s="22" t="s">
        <v>224</v>
      </c>
      <c r="DB330" s="22">
        <f>MIN(DC303,0.5*(CY324+CZ324)*μ/CZ333/ABS(CY318+CZ303*CY320))</f>
        <v>22147</v>
      </c>
      <c r="DG330" s="102" t="s">
        <v>223</v>
      </c>
      <c r="DH330" s="22">
        <f>DI324*μ/ABS(DL324)</f>
        <v>2.154007936507936</v>
      </c>
      <c r="DI330" s="22" t="s">
        <v>224</v>
      </c>
      <c r="DJ330" s="22">
        <f>MIN(DK303,0.5*(DG324+DH324)*μ/DH333/ABS(DG318+DH303*DG320))</f>
        <v>22147</v>
      </c>
      <c r="DO330" s="102" t="s">
        <v>223</v>
      </c>
      <c r="DP330" s="22">
        <f>DQ324*μ/ABS(DT324)</f>
        <v>2.1536507936507934</v>
      </c>
      <c r="DQ330" s="22" t="s">
        <v>224</v>
      </c>
      <c r="DR330" s="22">
        <f>MIN(DS303,0.5*(DO324+DP324)*μ/DP333/ABS(DO318+DP303*DO320))</f>
        <v>22147</v>
      </c>
      <c r="DW330" s="102" t="s">
        <v>223</v>
      </c>
      <c r="DX330" s="22">
        <f>DY324*μ/ABS(EB324)</f>
        <v>2.1492332937248912</v>
      </c>
      <c r="DY330" s="22" t="s">
        <v>224</v>
      </c>
      <c r="DZ330" s="22">
        <f>MIN(EA303,0.5*(DW324+DX324)*μ/DX333/ABS(DW318+DX303*DW320))</f>
        <v>22147</v>
      </c>
      <c r="EE330" s="102" t="s">
        <v>223</v>
      </c>
      <c r="EF330" s="22">
        <f>EG324*μ/ABS(EJ324)</f>
        <v>2.14479272562973</v>
      </c>
      <c r="EG330" s="22" t="s">
        <v>224</v>
      </c>
      <c r="EH330" s="22">
        <f>MIN(EI303,0.5*(EE324+EF324)*μ/EF333/ABS(EE318+EF303*EE320))</f>
        <v>22147</v>
      </c>
      <c r="EM330" s="102" t="s">
        <v>223</v>
      </c>
      <c r="EN330" s="22">
        <f>EO324*μ/ABS(ER324)</f>
        <v>2.14969501863775</v>
      </c>
      <c r="EO330" s="22" t="s">
        <v>224</v>
      </c>
      <c r="EP330" s="22">
        <f>MIN(EQ303,0.5*(EM324+EN324)*μ/EN333/ABS(EM318+EN303*EM320))</f>
        <v>22147</v>
      </c>
    </row>
    <row r="331" spans="3:146" ht="18" customHeight="1">
      <c r="C331" s="27"/>
      <c r="D331" s="26"/>
      <c r="E331" s="81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C331" s="102"/>
      <c r="AD331" s="102"/>
      <c r="AE331" s="102" t="s">
        <v>63</v>
      </c>
      <c r="AF331" s="22">
        <f>AG325*μ/ABS(AJ325)</f>
        <v>1.7308336738863914</v>
      </c>
      <c r="AG331" s="22" t="s">
        <v>64</v>
      </c>
      <c r="AH331" s="22">
        <f>MAX(0,MIN(AI304,0.5*(AE325+AF325)*μ/$AF$333/ABS(AE318+AF304*AE320)))</f>
        <v>22147</v>
      </c>
      <c r="AM331" s="102" t="s">
        <v>63</v>
      </c>
      <c r="AN331" s="22">
        <f>AO325*μ/ABS(AR325)</f>
        <v>1.0699119146963374</v>
      </c>
      <c r="AO331" s="22" t="s">
        <v>64</v>
      </c>
      <c r="AP331" s="22">
        <f>MAX(0,MIN(AQ304,0.5*(AM325+AN325)*μ/$AF$333/ABS(AM318+AN304*AM320)))</f>
        <v>19746.699669966998</v>
      </c>
      <c r="AU331" s="102" t="s">
        <v>63</v>
      </c>
      <c r="AV331" s="22">
        <f>AW325*μ/ABS(AZ325)</f>
        <v>0.9558099157610443</v>
      </c>
      <c r="AW331" s="22" t="s">
        <v>64</v>
      </c>
      <c r="AX331" s="22">
        <f>MAX(0,MIN(AY304,0.5*(AU325+AV325)*μ/$AF$333/ABS(AU318+AV304*AU320)))</f>
        <v>15728.88888888889</v>
      </c>
      <c r="BC331" s="102" t="s">
        <v>63</v>
      </c>
      <c r="BD331" s="22">
        <f>BE325*μ/ABS(BH325)</f>
        <v>1.0155911650064964</v>
      </c>
      <c r="BE331" s="22" t="s">
        <v>64</v>
      </c>
      <c r="BF331" s="22">
        <f>MAX(0,MIN(BG304,0.5*(BC325+BD325)*μ/$AF$333/ABS(BC318+BD304*BC320)))</f>
        <v>13311.762034514079</v>
      </c>
      <c r="BK331" s="102" t="s">
        <v>63</v>
      </c>
      <c r="BL331" s="22">
        <f>BM325*μ/ABS(BP325)</f>
        <v>1.0785333651475382</v>
      </c>
      <c r="BM331" s="22" t="s">
        <v>64</v>
      </c>
      <c r="BN331" s="22">
        <f>MAX(0,MIN(BO304,0.5*(BK325+BL325)*μ/$AF$333/ABS(BK318+BL304*BK320)))</f>
        <v>11963.567307183315</v>
      </c>
      <c r="BS331" s="102" t="s">
        <v>63</v>
      </c>
      <c r="BT331" s="22">
        <f>BU325*μ/ABS(BX325)</f>
        <v>1.1295683880267955</v>
      </c>
      <c r="BU331" s="22" t="s">
        <v>64</v>
      </c>
      <c r="BV331" s="22">
        <f>MAX(0,MIN(BW304,0.5*(BS325+BT325)*μ/$AF$333/ABS(BS318+BT304*BS320)))</f>
        <v>11260.587847433557</v>
      </c>
      <c r="CA331" s="102" t="s">
        <v>63</v>
      </c>
      <c r="CB331" s="22">
        <f>CC325*μ/ABS(CF325)</f>
        <v>1.1598837209302324</v>
      </c>
      <c r="CC331" s="22" t="s">
        <v>64</v>
      </c>
      <c r="CD331" s="22">
        <f>MAX(0,MIN(CE304,0.5*(CA325+CB325)*μ/$AF$333/ABS(CA318+CB304*CA320)))</f>
        <v>10883.797054009821</v>
      </c>
      <c r="CI331" s="102" t="s">
        <v>63</v>
      </c>
      <c r="CJ331" s="22">
        <f>CK325*μ/ABS(CN325)</f>
        <v>1.17193345323741</v>
      </c>
      <c r="CK331" s="22" t="s">
        <v>64</v>
      </c>
      <c r="CL331" s="22">
        <f>MAX(0,MIN(CM304,0.5*(CI325+CJ325)*μ/$AF$333/ABS(CI318+CJ304*CI320)))</f>
        <v>10629.924631723195</v>
      </c>
      <c r="CQ331" s="102" t="s">
        <v>63</v>
      </c>
      <c r="CR331" s="22">
        <f>CS325*μ/ABS(CV325)</f>
        <v>1.1923392987582178</v>
      </c>
      <c r="CS331" s="22" t="s">
        <v>64</v>
      </c>
      <c r="CT331" s="22">
        <f>MAX(0,MIN(CU304,0.5*(CQ325+CR325)*μ/$AF$333/ABS(CQ318+CR304*CQ320)))</f>
        <v>10562.93680838672</v>
      </c>
      <c r="CY331" s="102" t="s">
        <v>63</v>
      </c>
      <c r="CZ331" s="22">
        <f>DA325*μ/ABS(DD325)</f>
        <v>1.196082209377007</v>
      </c>
      <c r="DA331" s="22" t="s">
        <v>64</v>
      </c>
      <c r="DB331" s="22">
        <f>MAX(0,MIN(DC304,0.5*(CY325+CZ325)*μ/$AF$333/ABS(CY318+CZ304*CY320)))</f>
        <v>10527.814120269419</v>
      </c>
      <c r="DG331" s="102" t="s">
        <v>63</v>
      </c>
      <c r="DH331" s="22">
        <f>DI325*μ/ABS(DL325)</f>
        <v>1.1959378733572281</v>
      </c>
      <c r="DI331" s="22" t="s">
        <v>64</v>
      </c>
      <c r="DJ331" s="22">
        <f>MAX(0,MIN(DK304,0.5*(DG325+DH325)*μ/$AF$333/ABS(DG318+DH304*DG320)))</f>
        <v>10492.803580067732</v>
      </c>
      <c r="DO331" s="102" t="s">
        <v>63</v>
      </c>
      <c r="DP331" s="22">
        <f>DQ325*μ/ABS(DT325)</f>
        <v>1.1975569281829077</v>
      </c>
      <c r="DQ331" s="22" t="s">
        <v>64</v>
      </c>
      <c r="DR331" s="22">
        <f>MAX(0,MIN(DS304,0.5*(DO325+DP325)*μ/$AF$333/ABS(DO318+DP304*DO320)))</f>
        <v>10472.657572679342</v>
      </c>
      <c r="DW331" s="102" t="s">
        <v>63</v>
      </c>
      <c r="DX331" s="22">
        <f>DY325*μ/ABS(EB325)</f>
        <v>1.1960431654676258</v>
      </c>
      <c r="DY331" s="22" t="s">
        <v>64</v>
      </c>
      <c r="DZ331" s="22">
        <f>MAX(0,MIN(EA304,0.5*(DW325+DX325)*μ/$AF$333/ABS(DW318+DX304*DW320)))</f>
        <v>10437.795807978362</v>
      </c>
      <c r="EE331" s="102" t="s">
        <v>63</v>
      </c>
      <c r="EF331" s="22">
        <f>EG325*μ/ABS(EJ325)</f>
        <v>1.1959626755358463</v>
      </c>
      <c r="EG331" s="22" t="s">
        <v>64</v>
      </c>
      <c r="EH331" s="22">
        <f>MAX(0,MIN(EI304,0.5*(EE325+EF325)*μ/$AF$333/ABS(EE318+EF304*EE320)))</f>
        <v>10403.044987704327</v>
      </c>
      <c r="EM331" s="102" t="s">
        <v>63</v>
      </c>
      <c r="EN331" s="22">
        <f>EO325*μ/ABS(ER325)</f>
        <v>1.2062187210379982</v>
      </c>
      <c r="EO331" s="22" t="s">
        <v>64</v>
      </c>
      <c r="EP331" s="22">
        <f>MAX(0,MIN(EQ304,0.5*(EM325+EN325)*μ/$AF$333/ABS(EM318+EN304*EM320)))</f>
        <v>10403.044987704327</v>
      </c>
    </row>
    <row r="332" spans="2:146" ht="18" customHeight="1">
      <c r="B332" s="32" t="s">
        <v>384</v>
      </c>
      <c r="D332" s="27"/>
      <c r="E332" s="171">
        <f>B/2-E330</f>
        <v>1.322495888608705</v>
      </c>
      <c r="F332" s="22" t="s">
        <v>97</v>
      </c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C332" s="102"/>
      <c r="AD332" s="102"/>
      <c r="AE332" s="102" t="s">
        <v>61</v>
      </c>
      <c r="AF332" s="22">
        <f>IF(AG326=0,0,AG326*μ/ABS(AJ326))</f>
        <v>0.21218658892128278</v>
      </c>
      <c r="AG332" s="22" t="s">
        <v>62</v>
      </c>
      <c r="AH332" s="22">
        <f>MAX(0,MIN(AI305,0.5*(AE326+AF326)*μ/$AF$333/ABS(AE318+AF305*AE320)))</f>
        <v>3915.504476584022</v>
      </c>
      <c r="AM332" s="102" t="s">
        <v>61</v>
      </c>
      <c r="AN332" s="22">
        <f>IF(AO326=0,0,AO326*μ/ABS(AR326))</f>
        <v>0.023619631901840486</v>
      </c>
      <c r="AO332" s="22" t="s">
        <v>62</v>
      </c>
      <c r="AP332" s="22">
        <f>MAX(0,MIN(AQ305,0.5*(AM326+AN326)*μ/$AF$333/ABS(AM318+AN305*AM320)))</f>
        <v>77.37056428155918</v>
      </c>
      <c r="AU332" s="102" t="s">
        <v>61</v>
      </c>
      <c r="AV332" s="22">
        <f>IF(AW326=0,0,AW326*μ/ABS(AZ326))</f>
        <v>0</v>
      </c>
      <c r="AW332" s="22" t="s">
        <v>62</v>
      </c>
      <c r="AX332" s="22">
        <f>MAX(0,MIN(AY305,0.5*(AU326+AV326)*μ/$AF$333/ABS(AU318+AV305*AU320)))</f>
        <v>0</v>
      </c>
      <c r="BC332" s="102" t="s">
        <v>61</v>
      </c>
      <c r="BD332" s="22">
        <f>IF(BE326=0,0,BE326*μ/ABS(BH326))</f>
        <v>0</v>
      </c>
      <c r="BE332" s="22" t="s">
        <v>62</v>
      </c>
      <c r="BF332" s="22">
        <f>MAX(0,MIN(BG305,0.5*(BC326+BD326)*μ/$AF$333/ABS(BC318+BD305*BC320)))</f>
        <v>0</v>
      </c>
      <c r="BK332" s="102" t="s">
        <v>61</v>
      </c>
      <c r="BL332" s="22">
        <f>IF(BM326=0,0,BM326*μ/ABS(BP326))</f>
        <v>0</v>
      </c>
      <c r="BM332" s="22" t="s">
        <v>62</v>
      </c>
      <c r="BN332" s="22">
        <f>MAX(0,MIN(BO305,0.5*(BK326+BL326)*μ/$AF$333/ABS(BK318+BL305*BK320)))</f>
        <v>0</v>
      </c>
      <c r="BS332" s="102" t="s">
        <v>61</v>
      </c>
      <c r="BT332" s="22">
        <f>IF(BU326=0,0,BU326*μ/ABS(BX326))</f>
        <v>0</v>
      </c>
      <c r="BU332" s="22" t="s">
        <v>62</v>
      </c>
      <c r="BV332" s="22">
        <f>MAX(0,MIN(BW305,0.5*(BS326+BT326)*μ/$AF$333/ABS(BS318+BT305*BS320)))</f>
        <v>0</v>
      </c>
      <c r="CA332" s="102" t="s">
        <v>61</v>
      </c>
      <c r="CB332" s="22">
        <f>IF(CC326=0,0,CC326*μ/ABS(CF326))</f>
        <v>0</v>
      </c>
      <c r="CC332" s="22" t="s">
        <v>62</v>
      </c>
      <c r="CD332" s="22">
        <f>MAX(0,MIN(CE305,0.5*(CA326+CB326)*μ/$AF$333/ABS(CA318+CB305*CA320)))</f>
        <v>0</v>
      </c>
      <c r="CI332" s="102" t="s">
        <v>61</v>
      </c>
      <c r="CJ332" s="22">
        <f>IF(CK326=0,0,CK326*μ/ABS(CN326))</f>
        <v>0</v>
      </c>
      <c r="CK332" s="22" t="s">
        <v>62</v>
      </c>
      <c r="CL332" s="22">
        <f>MAX(0,MIN(CM305,0.5*(CI326+CJ326)*μ/$AF$333/ABS(CI318+CJ305*CI320)))</f>
        <v>0</v>
      </c>
      <c r="CQ332" s="102" t="s">
        <v>61</v>
      </c>
      <c r="CR332" s="22">
        <f>IF(CS326=0,0,CS326*μ/ABS(CV326))</f>
        <v>0</v>
      </c>
      <c r="CS332" s="22" t="s">
        <v>62</v>
      </c>
      <c r="CT332" s="22">
        <f>MAX(0,MIN(CU305,0.5*(CQ326+CR326)*μ/$AF$333/ABS(CQ318+CR305*CQ320)))</f>
        <v>0</v>
      </c>
      <c r="CY332" s="102" t="s">
        <v>61</v>
      </c>
      <c r="CZ332" s="22">
        <f>IF(DA326=0,0,DA326*μ/ABS(DD326))</f>
        <v>0</v>
      </c>
      <c r="DA332" s="22" t="s">
        <v>62</v>
      </c>
      <c r="DB332" s="22">
        <f>MAX(0,MIN(DC305,0.5*(CY326+CZ326)*μ/$AF$333/ABS(CY318+CZ305*CY320)))</f>
        <v>0</v>
      </c>
      <c r="DG332" s="102" t="s">
        <v>61</v>
      </c>
      <c r="DH332" s="22">
        <f>IF(DI326=0,0,DI326*μ/ABS(DL326))</f>
        <v>0</v>
      </c>
      <c r="DI332" s="22" t="s">
        <v>62</v>
      </c>
      <c r="DJ332" s="22">
        <f>MAX(0,MIN(DK305,0.5*(DG326+DH326)*μ/$AF$333/ABS(DG318+DH305*DG320)))</f>
        <v>0</v>
      </c>
      <c r="DO332" s="102" t="s">
        <v>61</v>
      </c>
      <c r="DP332" s="22">
        <f>IF(DQ326=0,0,DQ326*μ/ABS(DT326))</f>
        <v>0</v>
      </c>
      <c r="DQ332" s="22" t="s">
        <v>62</v>
      </c>
      <c r="DR332" s="22">
        <f>MAX(0,MIN(DS305,0.5*(DO326+DP326)*μ/$AF$333/ABS(DO318+DP305*DO320)))</f>
        <v>0</v>
      </c>
      <c r="DW332" s="102" t="s">
        <v>61</v>
      </c>
      <c r="DX332" s="22">
        <f>IF(DY326=0,0,DY326*μ/ABS(EB326))</f>
        <v>0</v>
      </c>
      <c r="DY332" s="22" t="s">
        <v>62</v>
      </c>
      <c r="DZ332" s="22">
        <f>MAX(0,MIN(EA305,0.5*(DW326+DX326)*μ/$AF$333/ABS(DW318+DX305*DW320)))</f>
        <v>0</v>
      </c>
      <c r="EE332" s="102" t="s">
        <v>61</v>
      </c>
      <c r="EF332" s="22">
        <f>IF(EG326=0,0,EG326*μ/ABS(EJ326))</f>
        <v>0</v>
      </c>
      <c r="EG332" s="22" t="s">
        <v>62</v>
      </c>
      <c r="EH332" s="22">
        <f>MAX(0,MIN(EI305,0.5*(EE326+EF326)*μ/$AF$333/ABS(EE318+EF305*EE320)))</f>
        <v>0</v>
      </c>
      <c r="EM332" s="102" t="s">
        <v>61</v>
      </c>
      <c r="EN332" s="22">
        <f>IF(EO326=0,0,EO326*μ/ABS(ER326))</f>
        <v>0</v>
      </c>
      <c r="EO332" s="22" t="s">
        <v>62</v>
      </c>
      <c r="EP332" s="22">
        <f>MAX(0,MIN(EQ305,0.5*(EM326+EN326)*μ/$AF$333/ABS(EM318+EN305*EM320)))</f>
        <v>0</v>
      </c>
    </row>
    <row r="333" spans="18:144" ht="18" customHeight="1"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E333" s="102" t="s">
        <v>227</v>
      </c>
      <c r="AF333" s="22">
        <f>IF(kH=0,1.5,1.2)</f>
        <v>1.2</v>
      </c>
      <c r="AM333" s="102" t="s">
        <v>227</v>
      </c>
      <c r="AN333" s="22">
        <f>IF(kH=0,1.5,1.2)</f>
        <v>1.2</v>
      </c>
      <c r="AU333" s="102" t="s">
        <v>227</v>
      </c>
      <c r="AV333" s="22">
        <f>IF(kH=0,1.5,1.2)</f>
        <v>1.2</v>
      </c>
      <c r="BC333" s="102" t="s">
        <v>227</v>
      </c>
      <c r="BD333" s="22">
        <f>IF(kH=0,1.5,1.2)</f>
        <v>1.2</v>
      </c>
      <c r="BK333" s="102" t="s">
        <v>227</v>
      </c>
      <c r="BL333" s="22">
        <f>IF(kH=0,1.5,1.2)</f>
        <v>1.2</v>
      </c>
      <c r="BS333" s="102" t="s">
        <v>227</v>
      </c>
      <c r="BT333" s="22">
        <f>IF(kH=0,1.5,1.2)</f>
        <v>1.2</v>
      </c>
      <c r="CA333" s="102" t="s">
        <v>227</v>
      </c>
      <c r="CB333" s="22">
        <f>IF(kH=0,1.5,1.2)</f>
        <v>1.2</v>
      </c>
      <c r="CI333" s="102" t="s">
        <v>227</v>
      </c>
      <c r="CJ333" s="22">
        <f>IF(kH=0,1.5,1.2)</f>
        <v>1.2</v>
      </c>
      <c r="CQ333" s="102" t="s">
        <v>227</v>
      </c>
      <c r="CR333" s="22">
        <f>IF(kH=0,1.5,1.2)</f>
        <v>1.2</v>
      </c>
      <c r="CY333" s="102" t="s">
        <v>227</v>
      </c>
      <c r="CZ333" s="22">
        <f>IF(kH=0,1.5,1.2)</f>
        <v>1.2</v>
      </c>
      <c r="DG333" s="102" t="s">
        <v>227</v>
      </c>
      <c r="DH333" s="22">
        <f>IF(kH=0,1.5,1.2)</f>
        <v>1.2</v>
      </c>
      <c r="DO333" s="102" t="s">
        <v>227</v>
      </c>
      <c r="DP333" s="22">
        <f>IF(kH=0,1.5,1.2)</f>
        <v>1.2</v>
      </c>
      <c r="DW333" s="102" t="s">
        <v>227</v>
      </c>
      <c r="DX333" s="22">
        <f>IF(kH=0,1.5,1.2)</f>
        <v>1.2</v>
      </c>
      <c r="EE333" s="102" t="s">
        <v>227</v>
      </c>
      <c r="EF333" s="22">
        <f>IF(kH=0,1.5,1.2)</f>
        <v>1.2</v>
      </c>
      <c r="EM333" s="102" t="s">
        <v>227</v>
      </c>
      <c r="EN333" s="22">
        <f>IF(kH=0,1.5,1.2)</f>
        <v>1.2</v>
      </c>
    </row>
    <row r="334" spans="2:31" ht="18" customHeight="1">
      <c r="B334" s="32" t="s">
        <v>32</v>
      </c>
      <c r="C334" s="27"/>
      <c r="D334" s="116">
        <f>ROUND(B/ABS(2*E332),2)</f>
        <v>1.81</v>
      </c>
      <c r="E334" s="81" t="str">
        <f>IF(D334&gt;=F334,"&gt;","&lt;")</f>
        <v>&gt;</v>
      </c>
      <c r="F334" s="116">
        <f>IF(kH=0,3,1.5)</f>
        <v>1.5</v>
      </c>
      <c r="G334" s="81" t="str">
        <f>IF(D334&gt;=F334,"SAFE","OUT.")</f>
        <v>SAFE</v>
      </c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E334" s="102"/>
    </row>
    <row r="335" spans="4:31" ht="18" customHeight="1">
      <c r="D335" s="81"/>
      <c r="F335" s="81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C335" s="26"/>
      <c r="AE335" s="81"/>
    </row>
    <row r="336" spans="4:30" ht="18" customHeight="1">
      <c r="D336" s="81"/>
      <c r="F336" s="81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C336" s="21"/>
      <c r="AD336" s="26"/>
    </row>
    <row r="337" spans="2:30" ht="18" customHeight="1">
      <c r="B337" s="32" t="s">
        <v>239</v>
      </c>
      <c r="D337" s="171">
        <f>C339/C340</f>
        <v>1.4643442720747721</v>
      </c>
      <c r="E337" s="81" t="str">
        <f>IF(D337&gt;=F337,"&gt;","&lt;")</f>
        <v>&gt;</v>
      </c>
      <c r="F337" s="116">
        <f>IF(kH=0,1.5,1.2)</f>
        <v>1.2</v>
      </c>
      <c r="G337" s="81" t="str">
        <f>IF(D337&gt;=F337,"SAFE","OUT.")</f>
        <v>SAFE</v>
      </c>
      <c r="S337" s="27"/>
      <c r="T337" s="27"/>
      <c r="U337" s="27"/>
      <c r="V337" s="27"/>
      <c r="W337" s="27"/>
      <c r="X337" s="27"/>
      <c r="Y337" s="27"/>
      <c r="Z337" s="27"/>
      <c r="AA337" s="27"/>
      <c r="AB337" s="23" t="s">
        <v>228</v>
      </c>
      <c r="AC337" s="22">
        <f>ΣV/ΣH*μ</f>
        <v>1.7889167622160922</v>
      </c>
      <c r="AD337" s="26"/>
    </row>
    <row r="338" spans="26:27" ht="18" customHeight="1">
      <c r="Z338" s="27"/>
      <c r="AA338" s="27"/>
    </row>
    <row r="339" spans="2:27" ht="18" customHeight="1">
      <c r="B339" s="23" t="s">
        <v>385</v>
      </c>
      <c r="C339" s="26">
        <f>G166</f>
        <v>2127.959590205681</v>
      </c>
      <c r="D339" s="22" t="s">
        <v>240</v>
      </c>
      <c r="E339" s="22" t="s">
        <v>386</v>
      </c>
      <c r="AA339" s="27"/>
    </row>
    <row r="340" spans="2:5" ht="18" customHeight="1">
      <c r="B340" s="23" t="s">
        <v>387</v>
      </c>
      <c r="C340" s="26">
        <f>H166</f>
        <v>1453.182581983032</v>
      </c>
      <c r="D340" s="22" t="s">
        <v>241</v>
      </c>
      <c r="E340" s="22" t="s">
        <v>388</v>
      </c>
    </row>
    <row r="341" spans="1:28" ht="18" customHeight="1">
      <c r="A341" s="128" t="s">
        <v>459</v>
      </c>
      <c r="AB341" s="21"/>
    </row>
    <row r="342" spans="2:28" ht="18" customHeight="1">
      <c r="B342" s="32" t="s">
        <v>242</v>
      </c>
      <c r="AB342" s="21"/>
    </row>
    <row r="344" ht="18" customHeight="1">
      <c r="B344" s="32" t="s">
        <v>243</v>
      </c>
    </row>
    <row r="346" spans="2:7" ht="18" customHeight="1">
      <c r="B346" s="32" t="s">
        <v>33</v>
      </c>
      <c r="C346" s="23" t="s">
        <v>45</v>
      </c>
      <c r="D346" s="81">
        <f>μ</f>
        <v>0.7</v>
      </c>
      <c r="E346" s="81"/>
      <c r="F346" s="81"/>
      <c r="G346" s="81"/>
    </row>
    <row r="347" spans="2:7" ht="18" customHeight="1">
      <c r="B347" s="32" t="s">
        <v>34</v>
      </c>
      <c r="C347" s="27" t="s">
        <v>389</v>
      </c>
      <c r="D347" s="81">
        <f>ROUND(F305/ABS(I305)*$D$346,2)</f>
        <v>2.15</v>
      </c>
      <c r="E347" s="81" t="str">
        <f>IF(D347&gt;=F347,"&gt;","&lt;")</f>
        <v>&gt;</v>
      </c>
      <c r="F347" s="116">
        <f>IF(kH=0,1.5,1.2)</f>
        <v>1.2</v>
      </c>
      <c r="G347" s="81" t="str">
        <f>IF(D347&gt;=F347,"SAFE","OUT.")</f>
        <v>SAFE</v>
      </c>
    </row>
    <row r="348" spans="3:7" ht="18" customHeight="1">
      <c r="C348" s="27" t="s">
        <v>390</v>
      </c>
      <c r="D348" s="81">
        <f>IF(F306=0,"***",ROUND(F306/ABS(I306)*$D$346,2))</f>
        <v>1.21</v>
      </c>
      <c r="E348" s="81" t="str">
        <f>IF(F306=0,"***",IF(D348&gt;=F348,"&gt;","&lt;"))</f>
        <v>&gt;</v>
      </c>
      <c r="F348" s="116">
        <f>IF(F306=0,"***",IF(kH=0,1.5,1.2))</f>
        <v>1.2</v>
      </c>
      <c r="G348" s="81" t="str">
        <f>IF(F306=0,"***",IF(D348&gt;=F348,"SAFE","OUT."))</f>
        <v>SAFE</v>
      </c>
    </row>
    <row r="349" spans="3:7" ht="18" customHeight="1">
      <c r="C349" s="27" t="s">
        <v>391</v>
      </c>
      <c r="D349" s="81" t="str">
        <f>IF(F307=0,"***",ROUND(F307/ABS(I307)*$D$346,2))</f>
        <v>***</v>
      </c>
      <c r="E349" s="81" t="str">
        <f>IF(F307=0,"***",IF(D349&gt;=F349,"&gt;","&lt;"))</f>
        <v>***</v>
      </c>
      <c r="F349" s="116" t="str">
        <f>IF(F307=0,"***",IF(kH=0,1.5,1.2))</f>
        <v>***</v>
      </c>
      <c r="G349" s="81" t="str">
        <f>IF(F307=0,"***",IF(D349&gt;=F349,"SAFE","OUT."))</f>
        <v>***</v>
      </c>
    </row>
    <row r="350" spans="3:7" ht="18" customHeight="1">
      <c r="C350" s="23" t="s">
        <v>392</v>
      </c>
      <c r="D350" s="81">
        <f>ROUND(ΣV/ABS(ΣH)*μ,2)</f>
        <v>1.79</v>
      </c>
      <c r="E350" s="81" t="str">
        <f>IF(F308=0,"***",IF(D350&gt;=F350,"&gt;","&lt;"))</f>
        <v>&gt;</v>
      </c>
      <c r="F350" s="116">
        <f>IF(F308=0,"***",IF(kH=0,1.5,1.2))</f>
        <v>1.2</v>
      </c>
      <c r="G350" s="81" t="str">
        <f>IF(F308=0,"***",IF(D350&gt;=F350,"SAFE","OUT."))</f>
        <v>SAFE</v>
      </c>
    </row>
    <row r="351" spans="1:3" ht="18" customHeight="1">
      <c r="A351" s="128" t="s">
        <v>460</v>
      </c>
      <c r="C351" s="27"/>
    </row>
    <row r="352" spans="2:7" ht="18" customHeight="1">
      <c r="B352" s="32" t="s">
        <v>244</v>
      </c>
      <c r="C352" s="27"/>
      <c r="D352" s="117" t="s">
        <v>393</v>
      </c>
      <c r="E352" s="81">
        <f>qd</f>
        <v>1800</v>
      </c>
      <c r="F352" s="27" t="s">
        <v>153</v>
      </c>
      <c r="G352" s="26"/>
    </row>
    <row r="353" spans="2:6" ht="18" customHeight="1">
      <c r="B353" s="32" t="s">
        <v>245</v>
      </c>
      <c r="C353" s="27"/>
      <c r="D353" s="117" t="s">
        <v>394</v>
      </c>
      <c r="E353" s="116">
        <f>MAX(D305:E307)</f>
        <v>467.74</v>
      </c>
      <c r="F353" s="27" t="s">
        <v>395</v>
      </c>
    </row>
    <row r="354" ht="18" customHeight="1">
      <c r="E354" s="81"/>
    </row>
    <row r="355" spans="2:8" ht="18" customHeight="1">
      <c r="B355" s="32" t="s">
        <v>246</v>
      </c>
      <c r="C355" s="27"/>
      <c r="D355" s="44"/>
      <c r="E355" s="171">
        <f>E352/E353</f>
        <v>3.848291786034977</v>
      </c>
      <c r="F355" s="81" t="str">
        <f>IF(E355&gt;=G355,"&gt;","&lt;")</f>
        <v>&gt;</v>
      </c>
      <c r="G355" s="116">
        <f>IF(kH=0,3,2)</f>
        <v>2</v>
      </c>
      <c r="H355" s="81" t="str">
        <f>IF(E355&gt;=G355,"SAFE","OUT.")</f>
        <v>SAFE</v>
      </c>
    </row>
    <row r="357" ht="18" customHeight="1">
      <c r="A357" s="128" t="s">
        <v>461</v>
      </c>
    </row>
    <row r="358" ht="18" customHeight="1">
      <c r="A358" s="128" t="s">
        <v>462</v>
      </c>
    </row>
    <row r="365" spans="6:21" ht="18" customHeight="1">
      <c r="F365" s="32" t="s">
        <v>247</v>
      </c>
      <c r="T365" s="22" t="s">
        <v>231</v>
      </c>
      <c r="U365" s="22">
        <f>AD16</f>
        <v>1.7</v>
      </c>
    </row>
    <row r="366" spans="20:21" ht="18" customHeight="1">
      <c r="T366" s="22" t="s">
        <v>233</v>
      </c>
      <c r="U366" s="22">
        <f>3*d</f>
        <v>2.778382014364584</v>
      </c>
    </row>
    <row r="369" spans="2:18" ht="18" customHeight="1">
      <c r="B369" s="32" t="s">
        <v>248</v>
      </c>
      <c r="R369" s="102"/>
    </row>
    <row r="370" spans="3:25" ht="18" customHeight="1">
      <c r="C370" s="48"/>
      <c r="D370" s="49" t="s">
        <v>396</v>
      </c>
      <c r="E370" s="49" t="s">
        <v>397</v>
      </c>
      <c r="F370" s="50" t="s">
        <v>46</v>
      </c>
      <c r="G370" s="50" t="s">
        <v>47</v>
      </c>
      <c r="H370" s="51" t="s">
        <v>48</v>
      </c>
      <c r="R370" s="102"/>
      <c r="S370" s="102"/>
      <c r="T370" s="102"/>
      <c r="U370" s="102"/>
      <c r="V370" s="102"/>
      <c r="W370" s="102"/>
      <c r="X370" s="102"/>
      <c r="Y370" s="102"/>
    </row>
    <row r="371" spans="3:26" ht="18" customHeight="1">
      <c r="C371" s="52">
        <v>0</v>
      </c>
      <c r="D371" s="53">
        <v>0</v>
      </c>
      <c r="E371" s="53">
        <v>0</v>
      </c>
      <c r="F371" s="54">
        <f aca="true" t="shared" si="36" ref="F371:F376">(D372*E371-D371*E372)/2</f>
        <v>0</v>
      </c>
      <c r="G371" s="54">
        <f aca="true" t="shared" si="37" ref="G371:G376">(E372-E371)*(D371^2+1/3*(D372-D371)*(D372+2*D371))*(-1/2)</f>
        <v>-0.006666666666666667</v>
      </c>
      <c r="H371" s="55">
        <f aca="true" t="shared" si="38" ref="H371:H376">(D372-D371)*(E371^2+1/3*(E372-E371)*(E372+2*E371))/2</f>
        <v>0.03333333333333333</v>
      </c>
      <c r="R371" s="102"/>
      <c r="S371" s="102"/>
      <c r="T371" s="102"/>
      <c r="U371" s="102"/>
      <c r="V371" s="102"/>
      <c r="W371" s="102"/>
      <c r="X371" s="102"/>
      <c r="Y371" s="102"/>
      <c r="Z371" s="102"/>
    </row>
    <row r="372" spans="3:27" ht="18" customHeight="1">
      <c r="C372" s="52">
        <f>C371+1</f>
        <v>1</v>
      </c>
      <c r="D372" s="53">
        <f>E372*nf</f>
        <v>0.2</v>
      </c>
      <c r="E372" s="53">
        <f>MIN(Hfa,Hf)</f>
        <v>1</v>
      </c>
      <c r="F372" s="54">
        <f t="shared" si="36"/>
        <v>0</v>
      </c>
      <c r="G372" s="54">
        <f t="shared" si="37"/>
        <v>0</v>
      </c>
      <c r="H372" s="55">
        <f t="shared" si="38"/>
        <v>0</v>
      </c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</row>
    <row r="373" spans="3:27" ht="18" customHeight="1">
      <c r="C373" s="52">
        <v>2</v>
      </c>
      <c r="D373" s="53">
        <f>IF(Hf&gt;Hfa,D372,D372+bs)</f>
        <v>0.2</v>
      </c>
      <c r="E373" s="53">
        <f>E372</f>
        <v>1</v>
      </c>
      <c r="F373" s="54">
        <f t="shared" si="36"/>
        <v>0</v>
      </c>
      <c r="G373" s="54">
        <f t="shared" si="37"/>
        <v>0</v>
      </c>
      <c r="H373" s="55">
        <f t="shared" si="38"/>
        <v>0</v>
      </c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</row>
    <row r="374" spans="3:27" ht="18" customHeight="1">
      <c r="C374" s="52">
        <v>3</v>
      </c>
      <c r="D374" s="53">
        <f>MAX((Hfa-Hf)*nf+D373,D373)</f>
        <v>0.2</v>
      </c>
      <c r="E374" s="53">
        <f>Hfa</f>
        <v>1</v>
      </c>
      <c r="F374" s="54">
        <f t="shared" si="36"/>
        <v>0.75</v>
      </c>
      <c r="G374" s="54">
        <f t="shared" si="37"/>
        <v>0</v>
      </c>
      <c r="H374" s="55">
        <f t="shared" si="38"/>
        <v>0.75</v>
      </c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</row>
    <row r="375" spans="3:27" ht="18" customHeight="1">
      <c r="C375" s="52">
        <v>4</v>
      </c>
      <c r="D375" s="53">
        <f>D376+nb*Hfa</f>
        <v>1.7</v>
      </c>
      <c r="E375" s="53">
        <f>Hfa</f>
        <v>1</v>
      </c>
      <c r="F375" s="54">
        <f t="shared" si="36"/>
        <v>0.75</v>
      </c>
      <c r="G375" s="54">
        <f t="shared" si="37"/>
        <v>1.2816666666666665</v>
      </c>
      <c r="H375" s="55">
        <f t="shared" si="38"/>
        <v>-0.03333333333333333</v>
      </c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</row>
    <row r="376" spans="3:27" ht="18" customHeight="1">
      <c r="C376" s="52">
        <v>5</v>
      </c>
      <c r="D376" s="53">
        <f>Bfa</f>
        <v>1.5</v>
      </c>
      <c r="E376" s="53">
        <v>0</v>
      </c>
      <c r="F376" s="54">
        <f t="shared" si="36"/>
        <v>0</v>
      </c>
      <c r="G376" s="54">
        <f t="shared" si="37"/>
        <v>0</v>
      </c>
      <c r="H376" s="55">
        <f t="shared" si="38"/>
        <v>0</v>
      </c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</row>
    <row r="377" spans="3:27" ht="18" customHeight="1">
      <c r="C377" s="52">
        <v>0</v>
      </c>
      <c r="D377" s="53">
        <v>0</v>
      </c>
      <c r="E377" s="53">
        <v>0</v>
      </c>
      <c r="F377" s="54">
        <v>0</v>
      </c>
      <c r="G377" s="54">
        <v>0</v>
      </c>
      <c r="H377" s="55">
        <v>0</v>
      </c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</row>
    <row r="378" spans="3:27" ht="18" customHeight="1">
      <c r="C378" s="29" t="s">
        <v>249</v>
      </c>
      <c r="D378" s="168" t="s">
        <v>435</v>
      </c>
      <c r="E378" s="168" t="s">
        <v>436</v>
      </c>
      <c r="F378" s="56">
        <f>SUM(F371:F377)</f>
        <v>1.5</v>
      </c>
      <c r="G378" s="56">
        <f>SUM(G371:G377)</f>
        <v>1.275</v>
      </c>
      <c r="H378" s="57">
        <f>SUM(H371:H377)</f>
        <v>0.75</v>
      </c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</row>
    <row r="379" spans="4:27" ht="18" customHeight="1">
      <c r="D379" s="58" t="s">
        <v>250</v>
      </c>
      <c r="E379" s="59" t="s">
        <v>398</v>
      </c>
      <c r="F379" s="32" t="s">
        <v>399</v>
      </c>
      <c r="G379" s="173">
        <f>F378*γc</f>
        <v>34.5</v>
      </c>
      <c r="H379" s="61" t="s">
        <v>251</v>
      </c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</row>
    <row r="380" spans="4:27" ht="18" customHeight="1">
      <c r="D380" s="62" t="s">
        <v>252</v>
      </c>
      <c r="E380" s="59" t="s">
        <v>400</v>
      </c>
      <c r="F380" s="63" t="s">
        <v>401</v>
      </c>
      <c r="G380" s="173">
        <f>G379*kH</f>
        <v>3.45</v>
      </c>
      <c r="H380" s="61" t="s">
        <v>251</v>
      </c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</row>
    <row r="381" spans="4:27" ht="18" customHeight="1">
      <c r="D381" s="58" t="s">
        <v>253</v>
      </c>
      <c r="E381" s="59" t="s">
        <v>402</v>
      </c>
      <c r="F381" s="172">
        <f>G378/F378</f>
        <v>0.85</v>
      </c>
      <c r="G381" s="64" t="s">
        <v>3</v>
      </c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</row>
    <row r="382" spans="4:27" ht="18" customHeight="1">
      <c r="D382" s="125"/>
      <c r="E382" s="59" t="s">
        <v>403</v>
      </c>
      <c r="F382" s="172">
        <f>H378/F378</f>
        <v>0.5</v>
      </c>
      <c r="G382" s="64" t="s">
        <v>3</v>
      </c>
      <c r="R382" s="113"/>
      <c r="S382" s="102"/>
      <c r="T382" s="102"/>
      <c r="U382" s="102"/>
      <c r="V382" s="102"/>
      <c r="W382" s="102"/>
      <c r="X382" s="102"/>
      <c r="Y382" s="102"/>
      <c r="Z382" s="102"/>
      <c r="AA382" s="102"/>
    </row>
    <row r="383" spans="2:27" ht="18" customHeight="1">
      <c r="B383" s="32" t="s">
        <v>65</v>
      </c>
      <c r="S383" s="113"/>
      <c r="T383" s="113"/>
      <c r="U383" s="113"/>
      <c r="V383" s="113"/>
      <c r="W383" s="113"/>
      <c r="X383" s="113"/>
      <c r="Y383" s="113"/>
      <c r="Z383" s="102"/>
      <c r="AA383" s="102"/>
    </row>
    <row r="384" spans="2:27" ht="18" customHeight="1">
      <c r="B384" s="221" t="s">
        <v>0</v>
      </c>
      <c r="C384" s="75" t="s">
        <v>254</v>
      </c>
      <c r="D384" s="75" t="s">
        <v>56</v>
      </c>
      <c r="E384" s="223" t="s">
        <v>348</v>
      </c>
      <c r="F384" s="224"/>
      <c r="G384" s="219" t="s">
        <v>349</v>
      </c>
      <c r="H384" s="220"/>
      <c r="Z384" s="113"/>
      <c r="AA384" s="102"/>
    </row>
    <row r="385" spans="2:27" ht="18" customHeight="1">
      <c r="B385" s="222"/>
      <c r="C385" s="76" t="s">
        <v>350</v>
      </c>
      <c r="D385" s="76" t="s">
        <v>351</v>
      </c>
      <c r="E385" s="76" t="s">
        <v>197</v>
      </c>
      <c r="F385" s="76" t="s">
        <v>198</v>
      </c>
      <c r="G385" s="76" t="s">
        <v>199</v>
      </c>
      <c r="H385" s="77" t="s">
        <v>200</v>
      </c>
      <c r="AA385" s="113"/>
    </row>
    <row r="386" spans="2:8" ht="18" customHeight="1">
      <c r="B386" s="30" t="s">
        <v>255</v>
      </c>
      <c r="C386" s="70">
        <f>-G379</f>
        <v>-34.5</v>
      </c>
      <c r="D386" s="70">
        <f>-G380</f>
        <v>-3.45</v>
      </c>
      <c r="E386" s="70">
        <f>F381</f>
        <v>0.85</v>
      </c>
      <c r="F386" s="70">
        <f>F382</f>
        <v>0.5</v>
      </c>
      <c r="G386" s="70">
        <f>C386*E386</f>
        <v>-29.325</v>
      </c>
      <c r="H386" s="71">
        <f>D386*F386</f>
        <v>-1.725</v>
      </c>
    </row>
    <row r="387" spans="2:18" ht="18" customHeight="1">
      <c r="B387" s="30" t="s">
        <v>94</v>
      </c>
      <c r="C387" s="70">
        <f>F305</f>
        <v>543.75</v>
      </c>
      <c r="D387" s="70">
        <f>-I305</f>
        <v>177.06</v>
      </c>
      <c r="E387" s="78">
        <f>G305</f>
        <v>0.68</v>
      </c>
      <c r="F387" s="70">
        <v>0</v>
      </c>
      <c r="G387" s="70">
        <f>C387*E387</f>
        <v>369.75</v>
      </c>
      <c r="H387" s="71">
        <f>D387*F387</f>
        <v>0</v>
      </c>
      <c r="R387" s="111"/>
    </row>
    <row r="388" spans="2:25" ht="18" customHeight="1">
      <c r="B388" s="29" t="s">
        <v>249</v>
      </c>
      <c r="C388" s="39">
        <f>SUM(C386:C387)</f>
        <v>509.25</v>
      </c>
      <c r="D388" s="39">
        <f>SUM(D386:D387)</f>
        <v>173.61</v>
      </c>
      <c r="E388" s="167" t="s">
        <v>434</v>
      </c>
      <c r="F388" s="167" t="s">
        <v>434</v>
      </c>
      <c r="G388" s="39">
        <f>SUM(G386:G387)</f>
        <v>340.425</v>
      </c>
      <c r="H388" s="79">
        <f>SUM(H386:H387)</f>
        <v>-1.725</v>
      </c>
      <c r="R388" s="21"/>
      <c r="S388" s="111"/>
      <c r="T388" s="111"/>
      <c r="U388" s="111"/>
      <c r="V388" s="111"/>
      <c r="W388" s="111"/>
      <c r="X388" s="111"/>
      <c r="Y388" s="111"/>
    </row>
    <row r="389" spans="3:26" ht="18" customHeight="1">
      <c r="C389" s="23" t="s">
        <v>256</v>
      </c>
      <c r="D389" s="31" t="s">
        <v>404</v>
      </c>
      <c r="E389" s="116">
        <f>(D374+D375)/2</f>
        <v>0.95</v>
      </c>
      <c r="F389" s="22" t="s">
        <v>257</v>
      </c>
      <c r="G389" s="31" t="s">
        <v>405</v>
      </c>
      <c r="H389" s="116">
        <f>Hfa</f>
        <v>1</v>
      </c>
      <c r="I389" s="22" t="s">
        <v>257</v>
      </c>
      <c r="R389" s="21"/>
      <c r="S389" s="21"/>
      <c r="T389" s="21"/>
      <c r="U389" s="21"/>
      <c r="V389" s="21"/>
      <c r="W389" s="21"/>
      <c r="X389" s="21"/>
      <c r="Y389" s="21"/>
      <c r="Z389" s="111"/>
    </row>
    <row r="390" spans="3:27" ht="18" customHeight="1">
      <c r="C390" s="23" t="s">
        <v>258</v>
      </c>
      <c r="D390" s="31" t="s">
        <v>406</v>
      </c>
      <c r="E390" s="116">
        <f>C388</f>
        <v>509.25</v>
      </c>
      <c r="F390" s="22" t="s">
        <v>259</v>
      </c>
      <c r="S390" s="21"/>
      <c r="T390" s="21"/>
      <c r="U390" s="21"/>
      <c r="V390" s="21"/>
      <c r="W390" s="21"/>
      <c r="X390" s="21"/>
      <c r="Y390" s="21"/>
      <c r="Z390" s="21"/>
      <c r="AA390" s="111"/>
    </row>
    <row r="391" spans="3:27" ht="18" customHeight="1">
      <c r="C391" s="23" t="s">
        <v>407</v>
      </c>
      <c r="D391" s="31" t="s">
        <v>408</v>
      </c>
      <c r="E391" s="116">
        <f>D388</f>
        <v>173.61</v>
      </c>
      <c r="F391" s="22" t="s">
        <v>260</v>
      </c>
      <c r="Z391" s="21"/>
      <c r="AA391" s="21"/>
    </row>
    <row r="392" spans="3:27" ht="18" customHeight="1">
      <c r="C392" s="23" t="s">
        <v>261</v>
      </c>
      <c r="D392" s="31" t="s">
        <v>409</v>
      </c>
      <c r="E392" s="206" t="s">
        <v>410</v>
      </c>
      <c r="F392" s="207"/>
      <c r="G392" s="208"/>
      <c r="H392" s="22">
        <f>ROUND(H388-G388+C388*E389-E391*H389,2)</f>
        <v>-31.97</v>
      </c>
      <c r="I392" s="22" t="s">
        <v>262</v>
      </c>
      <c r="R392" s="21"/>
      <c r="AA392" s="21"/>
    </row>
    <row r="393" spans="2:25" ht="18" customHeight="1">
      <c r="B393" s="32" t="s">
        <v>411</v>
      </c>
      <c r="R393" s="43"/>
      <c r="S393" s="21"/>
      <c r="T393" s="21"/>
      <c r="U393" s="21"/>
      <c r="V393" s="21"/>
      <c r="W393" s="21"/>
      <c r="X393" s="21"/>
      <c r="Y393" s="21"/>
    </row>
    <row r="394" spans="3:26" ht="18" customHeight="1">
      <c r="C394" s="32" t="s">
        <v>263</v>
      </c>
      <c r="D394" s="31" t="s">
        <v>264</v>
      </c>
      <c r="E394" s="169">
        <f>(D375-D374)*1000</f>
        <v>1500</v>
      </c>
      <c r="F394" s="22" t="s">
        <v>265</v>
      </c>
      <c r="R394" s="114"/>
      <c r="S394" s="43"/>
      <c r="T394" s="43"/>
      <c r="U394" s="43"/>
      <c r="V394" s="43"/>
      <c r="W394" s="43"/>
      <c r="X394" s="43"/>
      <c r="Y394" s="43"/>
      <c r="Z394" s="21"/>
    </row>
    <row r="395" spans="3:27" ht="18" customHeight="1">
      <c r="C395" s="32" t="s">
        <v>266</v>
      </c>
      <c r="D395" s="31" t="s">
        <v>267</v>
      </c>
      <c r="E395" s="169">
        <v>1000</v>
      </c>
      <c r="F395" s="22" t="s">
        <v>265</v>
      </c>
      <c r="R395" s="40"/>
      <c r="S395" s="114"/>
      <c r="T395" s="114"/>
      <c r="U395" s="114"/>
      <c r="V395" s="114"/>
      <c r="W395" s="114"/>
      <c r="X395" s="114"/>
      <c r="Y395" s="114"/>
      <c r="Z395" s="43"/>
      <c r="AA395" s="21"/>
    </row>
    <row r="396" spans="4:27" ht="18" customHeight="1">
      <c r="D396" s="23" t="s">
        <v>268</v>
      </c>
      <c r="E396" s="124" t="s">
        <v>412</v>
      </c>
      <c r="F396" s="81">
        <f>IF(kH=0,1,1.5)</f>
        <v>1.5</v>
      </c>
      <c r="R396" s="40"/>
      <c r="S396" s="40"/>
      <c r="T396" s="40"/>
      <c r="U396" s="40"/>
      <c r="V396" s="40"/>
      <c r="W396" s="40"/>
      <c r="X396" s="40"/>
      <c r="Y396" s="40"/>
      <c r="Z396" s="114"/>
      <c r="AA396" s="43"/>
    </row>
    <row r="397" spans="3:27" ht="18" customHeight="1">
      <c r="C397" s="23" t="s">
        <v>269</v>
      </c>
      <c r="R397" s="40"/>
      <c r="S397" s="40"/>
      <c r="T397" s="40"/>
      <c r="U397" s="40"/>
      <c r="V397" s="40"/>
      <c r="W397" s="40"/>
      <c r="X397" s="40"/>
      <c r="Y397" s="40"/>
      <c r="Z397" s="40"/>
      <c r="AA397" s="114"/>
    </row>
    <row r="398" spans="18:27" ht="18" customHeight="1">
      <c r="R398" s="40"/>
      <c r="S398" s="40"/>
      <c r="T398" s="40"/>
      <c r="U398" s="40"/>
      <c r="V398" s="40"/>
      <c r="W398" s="40"/>
      <c r="X398" s="40"/>
      <c r="Y398" s="40"/>
      <c r="Z398" s="40"/>
      <c r="AA398" s="40"/>
    </row>
    <row r="399" spans="5:27" ht="18" customHeight="1">
      <c r="E399" s="171">
        <f>E390*1000/(E394*E395)+6*H392*1000000/(E395*E394^2)</f>
        <v>0.2542466666666667</v>
      </c>
      <c r="F399" s="22" t="s">
        <v>413</v>
      </c>
      <c r="G399" s="81" t="str">
        <f>IF(E399&lt;=H399,"&lt;","&gt;")</f>
        <v>&lt;</v>
      </c>
      <c r="H399" s="116">
        <f>F396*σck/4</f>
        <v>6.75</v>
      </c>
      <c r="I399" s="22" t="s">
        <v>413</v>
      </c>
      <c r="S399" s="40"/>
      <c r="T399" s="40"/>
      <c r="U399" s="40"/>
      <c r="V399" s="40"/>
      <c r="W399" s="40"/>
      <c r="X399" s="40"/>
      <c r="Y399" s="40"/>
      <c r="Z399" s="40"/>
      <c r="AA399" s="40"/>
    </row>
    <row r="400" spans="5:27" ht="18" customHeight="1">
      <c r="E400" s="81"/>
      <c r="H400" s="81"/>
      <c r="I400" s="81" t="str">
        <f>IF(E399&lt;=H399,"SAFE","OUT")</f>
        <v>SAFE</v>
      </c>
      <c r="J400" s="81"/>
      <c r="K400" s="81"/>
      <c r="L400" s="81"/>
      <c r="M400" s="81"/>
      <c r="N400" s="81"/>
      <c r="O400" s="81"/>
      <c r="P400" s="81"/>
      <c r="Q400" s="81"/>
      <c r="Z400" s="40"/>
      <c r="AA400" s="40"/>
    </row>
    <row r="401" spans="5:27" ht="18" customHeight="1">
      <c r="E401" s="171">
        <f>E390*1000/(E394*E395)-6*H392*1000000/(E395*E394^2)</f>
        <v>0.42475333333333337</v>
      </c>
      <c r="F401" s="22" t="s">
        <v>413</v>
      </c>
      <c r="G401" s="81" t="str">
        <f>IF(E401&lt;=H401,"&lt;","&gt;")</f>
        <v>&lt;</v>
      </c>
      <c r="H401" s="116">
        <f>IF(E401&lt;0,-σck/80,σck/4)*F396</f>
        <v>6.75</v>
      </c>
      <c r="I401" s="22" t="s">
        <v>413</v>
      </c>
      <c r="AA401" s="40"/>
    </row>
    <row r="402" spans="5:17" ht="18" customHeight="1">
      <c r="E402" s="81"/>
      <c r="H402" s="81"/>
      <c r="I402" s="81" t="str">
        <f>IF(ABS(E401)&lt;=ABS(H401),"SAFE","OUT")</f>
        <v>SAFE</v>
      </c>
      <c r="J402" s="81"/>
      <c r="K402" s="81"/>
      <c r="L402" s="81"/>
      <c r="M402" s="81"/>
      <c r="N402" s="81"/>
      <c r="O402" s="81"/>
      <c r="P402" s="81"/>
      <c r="Q402" s="81"/>
    </row>
    <row r="403" spans="3:8" ht="18" customHeight="1">
      <c r="C403" s="23" t="s">
        <v>414</v>
      </c>
      <c r="E403" s="81"/>
      <c r="H403" s="81"/>
    </row>
    <row r="404" spans="5:8" ht="18" customHeight="1">
      <c r="E404" s="81"/>
      <c r="H404" s="81"/>
    </row>
    <row r="405" spans="5:9" ht="18" customHeight="1">
      <c r="E405" s="171">
        <f>E391*1000/(E394*E395)</f>
        <v>0.11574</v>
      </c>
      <c r="F405" s="22" t="s">
        <v>160</v>
      </c>
      <c r="G405" s="81" t="str">
        <f>IF(E405&lt;=H405,"&lt;","&gt;")</f>
        <v>&lt;</v>
      </c>
      <c r="H405" s="116">
        <f>(σck/100+0.15)*F396</f>
        <v>0.49499999999999994</v>
      </c>
      <c r="I405" s="22" t="s">
        <v>160</v>
      </c>
    </row>
    <row r="406" spans="9:17" ht="18" customHeight="1">
      <c r="I406" s="81" t="str">
        <f>IF(E405&lt;=H405,"SAFE","OUT")</f>
        <v>SAFE</v>
      </c>
      <c r="J406" s="81"/>
      <c r="K406" s="81"/>
      <c r="L406" s="81"/>
      <c r="M406" s="81"/>
      <c r="N406" s="81"/>
      <c r="O406" s="81"/>
      <c r="P406" s="81"/>
      <c r="Q406" s="81"/>
    </row>
    <row r="407" spans="1:19" ht="18" customHeight="1">
      <c r="A407" s="128" t="s">
        <v>463</v>
      </c>
      <c r="R407" s="27" t="s">
        <v>429</v>
      </c>
      <c r="S407" s="22">
        <f>Hf</f>
        <v>5</v>
      </c>
    </row>
    <row r="408" spans="18:19" ht="18" customHeight="1">
      <c r="R408" s="27" t="s">
        <v>430</v>
      </c>
      <c r="S408" s="22">
        <f>Hfa</f>
        <v>1</v>
      </c>
    </row>
    <row r="409" spans="18:19" ht="18" customHeight="1">
      <c r="R409" s="27" t="s">
        <v>431</v>
      </c>
      <c r="S409" s="22">
        <f>nb</f>
        <v>0.2</v>
      </c>
    </row>
    <row r="410" spans="18:19" ht="18" customHeight="1">
      <c r="R410" s="27" t="s">
        <v>432</v>
      </c>
      <c r="S410" s="22">
        <f>nf</f>
        <v>0.2</v>
      </c>
    </row>
    <row r="411" spans="18:19" ht="18" customHeight="1">
      <c r="R411" s="27" t="s">
        <v>433</v>
      </c>
      <c r="S411" s="22">
        <f>nr</f>
        <v>0.3</v>
      </c>
    </row>
    <row r="419" ht="18" customHeight="1">
      <c r="B419" s="32" t="s">
        <v>270</v>
      </c>
    </row>
    <row r="420" spans="3:8" ht="18" customHeight="1">
      <c r="C420" s="48"/>
      <c r="D420" s="49" t="s">
        <v>396</v>
      </c>
      <c r="E420" s="49" t="s">
        <v>397</v>
      </c>
      <c r="F420" s="50" t="s">
        <v>46</v>
      </c>
      <c r="G420" s="50" t="s">
        <v>47</v>
      </c>
      <c r="H420" s="51" t="s">
        <v>48</v>
      </c>
    </row>
    <row r="421" spans="3:8" ht="18" customHeight="1">
      <c r="C421" s="52">
        <v>0</v>
      </c>
      <c r="D421" s="53">
        <v>0</v>
      </c>
      <c r="E421" s="53">
        <v>0</v>
      </c>
      <c r="F421" s="54">
        <f aca="true" t="shared" si="39" ref="F421:F428">(D422*E421-D421*E422)/2</f>
        <v>0</v>
      </c>
      <c r="G421" s="54">
        <f aca="true" t="shared" si="40" ref="G421:G428">(E422-E421)*(D421^2+1/3*(D422-D421)*(D422+2*D421))*(-1/2)</f>
        <v>-0.05333333333333334</v>
      </c>
      <c r="H421" s="55">
        <f aca="true" t="shared" si="41" ref="H421:H428">(D422-D421)*(E421^2+1/3*(E422-E421)*(E422+2*E421))/2</f>
        <v>0.26666666666666666</v>
      </c>
    </row>
    <row r="422" spans="3:8" ht="18" customHeight="1">
      <c r="C422" s="52">
        <v>1</v>
      </c>
      <c r="D422" s="53">
        <f>E422*nf</f>
        <v>0.4</v>
      </c>
      <c r="E422" s="53">
        <f>MIN(Hf,Hfa+Hse)</f>
        <v>2</v>
      </c>
      <c r="F422" s="54">
        <f t="shared" si="39"/>
        <v>0</v>
      </c>
      <c r="G422" s="54">
        <f t="shared" si="40"/>
        <v>0</v>
      </c>
      <c r="H422" s="55">
        <f t="shared" si="41"/>
        <v>0</v>
      </c>
    </row>
    <row r="423" spans="3:8" ht="18" customHeight="1">
      <c r="C423" s="52">
        <v>2</v>
      </c>
      <c r="D423" s="53">
        <f>IF(Hf&gt;E423,D422,D422+bs)</f>
        <v>0.4</v>
      </c>
      <c r="E423" s="53">
        <f>E422</f>
        <v>2</v>
      </c>
      <c r="F423" s="54">
        <f t="shared" si="39"/>
        <v>0</v>
      </c>
      <c r="G423" s="54">
        <f t="shared" si="40"/>
        <v>0</v>
      </c>
      <c r="H423" s="55">
        <f t="shared" si="41"/>
        <v>0</v>
      </c>
    </row>
    <row r="424" spans="3:8" ht="18" customHeight="1">
      <c r="C424" s="52">
        <v>3</v>
      </c>
      <c r="D424" s="53">
        <f>MAX(D423+(Hfa+Hse-Hf)*nf,(Hfa+Hse)*nf)</f>
        <v>0.4</v>
      </c>
      <c r="E424" s="53">
        <f>Hfa+Hse</f>
        <v>2</v>
      </c>
      <c r="F424" s="54">
        <f t="shared" si="39"/>
        <v>3.0000000000000004</v>
      </c>
      <c r="G424" s="54">
        <f t="shared" si="40"/>
        <v>0</v>
      </c>
      <c r="H424" s="55">
        <f t="shared" si="41"/>
        <v>6.000000000000001</v>
      </c>
    </row>
    <row r="425" spans="3:8" ht="18" customHeight="1">
      <c r="C425" s="52">
        <v>4</v>
      </c>
      <c r="D425" s="53">
        <f>D426+Hse*nb</f>
        <v>3.4000000000000004</v>
      </c>
      <c r="E425" s="53">
        <f>E424</f>
        <v>2</v>
      </c>
      <c r="F425" s="54">
        <f t="shared" si="39"/>
        <v>1.5</v>
      </c>
      <c r="G425" s="54">
        <f t="shared" si="40"/>
        <v>5.446666666666667</v>
      </c>
      <c r="H425" s="55">
        <f t="shared" si="41"/>
        <v>-0.23333333333333356</v>
      </c>
    </row>
    <row r="426" spans="3:8" ht="18" customHeight="1">
      <c r="C426" s="52">
        <v>5</v>
      </c>
      <c r="D426" s="53">
        <f>D427+Bse</f>
        <v>3.2</v>
      </c>
      <c r="E426" s="53">
        <f>Hfa</f>
        <v>1</v>
      </c>
      <c r="F426" s="54">
        <f t="shared" si="39"/>
        <v>-0.7500000000000001</v>
      </c>
      <c r="G426" s="54">
        <f t="shared" si="40"/>
        <v>0</v>
      </c>
      <c r="H426" s="55">
        <f t="shared" si="41"/>
        <v>-0.7500000000000001</v>
      </c>
    </row>
    <row r="427" spans="3:8" ht="18" customHeight="1">
      <c r="C427" s="52">
        <v>6</v>
      </c>
      <c r="D427" s="53">
        <f>D428+Hfa*nb</f>
        <v>1.7</v>
      </c>
      <c r="E427" s="53">
        <f>E426</f>
        <v>1</v>
      </c>
      <c r="F427" s="54">
        <f t="shared" si="39"/>
        <v>0.75</v>
      </c>
      <c r="G427" s="54">
        <f t="shared" si="40"/>
        <v>1.2816666666666665</v>
      </c>
      <c r="H427" s="55">
        <f t="shared" si="41"/>
        <v>-0.03333333333333333</v>
      </c>
    </row>
    <row r="428" spans="3:8" ht="18" customHeight="1">
      <c r="C428" s="52">
        <v>7</v>
      </c>
      <c r="D428" s="53">
        <f>Bfa</f>
        <v>1.5</v>
      </c>
      <c r="E428" s="53">
        <v>0</v>
      </c>
      <c r="F428" s="54">
        <f t="shared" si="39"/>
        <v>0</v>
      </c>
      <c r="G428" s="54">
        <f t="shared" si="40"/>
        <v>0</v>
      </c>
      <c r="H428" s="55">
        <f t="shared" si="41"/>
        <v>0</v>
      </c>
    </row>
    <row r="429" spans="3:8" ht="18" customHeight="1">
      <c r="C429" s="52">
        <v>0</v>
      </c>
      <c r="D429" s="53">
        <v>0</v>
      </c>
      <c r="E429" s="53">
        <v>0</v>
      </c>
      <c r="F429" s="54">
        <v>0</v>
      </c>
      <c r="G429" s="54">
        <v>0</v>
      </c>
      <c r="H429" s="55">
        <v>0</v>
      </c>
    </row>
    <row r="430" spans="3:8" ht="18" customHeight="1">
      <c r="C430" s="29" t="s">
        <v>249</v>
      </c>
      <c r="D430" s="167" t="s">
        <v>434</v>
      </c>
      <c r="E430" s="167" t="s">
        <v>437</v>
      </c>
      <c r="F430" s="56">
        <f>SUM(F421:F429)</f>
        <v>4.5</v>
      </c>
      <c r="G430" s="56">
        <f>SUM(G421:G429)</f>
        <v>6.675</v>
      </c>
      <c r="H430" s="57">
        <f>SUM(H421:H429)</f>
        <v>5.250000000000001</v>
      </c>
    </row>
    <row r="431" spans="4:8" ht="18" customHeight="1">
      <c r="D431" s="58" t="s">
        <v>250</v>
      </c>
      <c r="E431" s="59" t="s">
        <v>398</v>
      </c>
      <c r="F431" s="32" t="s">
        <v>399</v>
      </c>
      <c r="G431" s="173">
        <f>F430*γc</f>
        <v>103.5</v>
      </c>
      <c r="H431" s="61" t="s">
        <v>251</v>
      </c>
    </row>
    <row r="432" spans="4:8" ht="18" customHeight="1">
      <c r="D432" s="62" t="s">
        <v>252</v>
      </c>
      <c r="E432" s="59" t="s">
        <v>400</v>
      </c>
      <c r="F432" s="63" t="s">
        <v>401</v>
      </c>
      <c r="G432" s="173">
        <f>G431*kH</f>
        <v>10.350000000000001</v>
      </c>
      <c r="H432" s="61" t="s">
        <v>251</v>
      </c>
    </row>
    <row r="433" spans="4:7" ht="18" customHeight="1">
      <c r="D433" s="58" t="s">
        <v>253</v>
      </c>
      <c r="E433" s="59" t="s">
        <v>402</v>
      </c>
      <c r="F433" s="172">
        <f>G430/F430</f>
        <v>1.4833333333333334</v>
      </c>
      <c r="G433" s="64" t="s">
        <v>3</v>
      </c>
    </row>
    <row r="434" spans="4:7" ht="18" customHeight="1">
      <c r="D434" s="125"/>
      <c r="E434" s="59" t="s">
        <v>403</v>
      </c>
      <c r="F434" s="172">
        <f>H430/F430</f>
        <v>1.166666666666667</v>
      </c>
      <c r="G434" s="64" t="s">
        <v>3</v>
      </c>
    </row>
    <row r="435" ht="18" customHeight="1">
      <c r="B435" s="32" t="s">
        <v>271</v>
      </c>
    </row>
    <row r="436" spans="2:8" ht="18" customHeight="1">
      <c r="B436" s="221" t="s">
        <v>0</v>
      </c>
      <c r="C436" s="75" t="s">
        <v>272</v>
      </c>
      <c r="D436" s="75" t="s">
        <v>56</v>
      </c>
      <c r="E436" s="223" t="s">
        <v>348</v>
      </c>
      <c r="F436" s="224"/>
      <c r="G436" s="219" t="s">
        <v>349</v>
      </c>
      <c r="H436" s="220"/>
    </row>
    <row r="437" spans="2:8" ht="18" customHeight="1">
      <c r="B437" s="222"/>
      <c r="C437" s="76" t="s">
        <v>350</v>
      </c>
      <c r="D437" s="76" t="s">
        <v>351</v>
      </c>
      <c r="E437" s="76" t="s">
        <v>197</v>
      </c>
      <c r="F437" s="76" t="s">
        <v>198</v>
      </c>
      <c r="G437" s="76" t="s">
        <v>199</v>
      </c>
      <c r="H437" s="77" t="s">
        <v>200</v>
      </c>
    </row>
    <row r="438" spans="2:8" ht="18" customHeight="1">
      <c r="B438" s="30" t="s">
        <v>255</v>
      </c>
      <c r="C438" s="70">
        <f>-G431</f>
        <v>-103.5</v>
      </c>
      <c r="D438" s="70">
        <f>-G432</f>
        <v>-10.350000000000001</v>
      </c>
      <c r="E438" s="70">
        <f>F433</f>
        <v>1.4833333333333334</v>
      </c>
      <c r="F438" s="70">
        <f>F434</f>
        <v>1.166666666666667</v>
      </c>
      <c r="G438" s="70">
        <f aca="true" t="shared" si="42" ref="G438:H440">C438*E438</f>
        <v>-153.525</v>
      </c>
      <c r="H438" s="71">
        <f t="shared" si="42"/>
        <v>-12.075000000000005</v>
      </c>
    </row>
    <row r="439" spans="2:8" ht="18" customHeight="1">
      <c r="B439" s="30" t="s">
        <v>66</v>
      </c>
      <c r="C439" s="70">
        <f>F305</f>
        <v>543.75</v>
      </c>
      <c r="D439" s="70">
        <f>-I305</f>
        <v>177.06</v>
      </c>
      <c r="E439" s="70">
        <f>G305</f>
        <v>0.68</v>
      </c>
      <c r="F439" s="70">
        <f>0</f>
        <v>0</v>
      </c>
      <c r="G439" s="70">
        <f t="shared" si="42"/>
        <v>369.75</v>
      </c>
      <c r="H439" s="71">
        <f t="shared" si="42"/>
        <v>0</v>
      </c>
    </row>
    <row r="440" spans="2:8" ht="18" customHeight="1">
      <c r="B440" s="30" t="s">
        <v>66</v>
      </c>
      <c r="C440" s="70">
        <f>F306</f>
        <v>185.93</v>
      </c>
      <c r="D440" s="70">
        <f>-I306</f>
        <v>107.9</v>
      </c>
      <c r="E440" s="70">
        <f>G306</f>
        <v>2.24</v>
      </c>
      <c r="F440" s="70">
        <f>Hfa</f>
        <v>1</v>
      </c>
      <c r="G440" s="70">
        <f t="shared" si="42"/>
        <v>416.48320000000007</v>
      </c>
      <c r="H440" s="71">
        <f t="shared" si="42"/>
        <v>107.9</v>
      </c>
    </row>
    <row r="441" spans="2:8" ht="18" customHeight="1">
      <c r="B441" s="29" t="s">
        <v>249</v>
      </c>
      <c r="C441" s="39">
        <f>SUM(C438:C440)</f>
        <v>626.1800000000001</v>
      </c>
      <c r="D441" s="39">
        <f>SUM(D438:D440)</f>
        <v>274.61</v>
      </c>
      <c r="E441" s="167" t="s">
        <v>434</v>
      </c>
      <c r="F441" s="167" t="s">
        <v>437</v>
      </c>
      <c r="G441" s="39">
        <f>SUM(G438:G440)</f>
        <v>632.7082</v>
      </c>
      <c r="H441" s="79">
        <f>SUM(H438:H440)</f>
        <v>95.825</v>
      </c>
    </row>
    <row r="442" spans="3:9" ht="18" customHeight="1">
      <c r="C442" s="23" t="s">
        <v>273</v>
      </c>
      <c r="D442" s="31" t="s">
        <v>404</v>
      </c>
      <c r="E442" s="116">
        <f>(D424+D425)/2</f>
        <v>1.9000000000000001</v>
      </c>
      <c r="F442" s="22" t="s">
        <v>257</v>
      </c>
      <c r="G442" s="31" t="s">
        <v>405</v>
      </c>
      <c r="H442" s="26">
        <f>Hfa+Hse</f>
        <v>2</v>
      </c>
      <c r="I442" s="22" t="s">
        <v>257</v>
      </c>
    </row>
    <row r="443" spans="3:6" ht="18" customHeight="1">
      <c r="C443" s="23" t="s">
        <v>258</v>
      </c>
      <c r="D443" s="31" t="s">
        <v>406</v>
      </c>
      <c r="E443" s="116">
        <f>C441</f>
        <v>626.1800000000001</v>
      </c>
      <c r="F443" s="22" t="s">
        <v>259</v>
      </c>
    </row>
    <row r="444" spans="3:6" ht="18" customHeight="1">
      <c r="C444" s="23" t="s">
        <v>407</v>
      </c>
      <c r="D444" s="31" t="s">
        <v>408</v>
      </c>
      <c r="E444" s="116">
        <f>D441</f>
        <v>274.61</v>
      </c>
      <c r="F444" s="22" t="s">
        <v>260</v>
      </c>
    </row>
    <row r="445" spans="3:9" ht="18" customHeight="1">
      <c r="C445" s="23" t="s">
        <v>261</v>
      </c>
      <c r="D445" s="31" t="s">
        <v>409</v>
      </c>
      <c r="E445" s="206" t="s">
        <v>415</v>
      </c>
      <c r="F445" s="207"/>
      <c r="G445" s="208"/>
      <c r="H445" s="26">
        <f>H441-G441+C441*E442-E444*H442</f>
        <v>103.63880000000017</v>
      </c>
      <c r="I445" s="22" t="s">
        <v>262</v>
      </c>
    </row>
    <row r="446" ht="18" customHeight="1">
      <c r="B446" s="32" t="s">
        <v>411</v>
      </c>
    </row>
    <row r="447" spans="3:6" ht="18" customHeight="1">
      <c r="C447" s="32" t="s">
        <v>263</v>
      </c>
      <c r="D447" s="31" t="s">
        <v>264</v>
      </c>
      <c r="E447" s="169">
        <f>(D425-D424)*1000</f>
        <v>3000.0000000000005</v>
      </c>
      <c r="F447" s="22" t="s">
        <v>265</v>
      </c>
    </row>
    <row r="448" spans="3:6" ht="18" customHeight="1">
      <c r="C448" s="32" t="s">
        <v>266</v>
      </c>
      <c r="D448" s="31" t="s">
        <v>267</v>
      </c>
      <c r="E448" s="169">
        <v>1000</v>
      </c>
      <c r="F448" s="22" t="s">
        <v>265</v>
      </c>
    </row>
    <row r="449" spans="4:6" ht="18" customHeight="1">
      <c r="D449" s="23" t="s">
        <v>268</v>
      </c>
      <c r="E449" s="170" t="s">
        <v>412</v>
      </c>
      <c r="F449" s="81">
        <f>IF(kH=0,1,1.5)</f>
        <v>1.5</v>
      </c>
    </row>
    <row r="450" spans="3:5" ht="18" customHeight="1">
      <c r="C450" s="23" t="s">
        <v>269</v>
      </c>
      <c r="E450" s="81"/>
    </row>
    <row r="451" ht="18" customHeight="1">
      <c r="E451" s="81"/>
    </row>
    <row r="452" spans="5:9" ht="18" customHeight="1">
      <c r="E452" s="171">
        <f>E443*1000/(E447*E448)+6*H445*1000000/(E448*E447^2)</f>
        <v>0.2778192000000001</v>
      </c>
      <c r="F452" s="22" t="s">
        <v>413</v>
      </c>
      <c r="G452" s="81" t="str">
        <f>IF(E452&lt;=H452,"&lt;","&gt;")</f>
        <v>&lt;</v>
      </c>
      <c r="H452" s="116">
        <f>F449*σck/4</f>
        <v>6.75</v>
      </c>
      <c r="I452" s="22" t="s">
        <v>413</v>
      </c>
    </row>
    <row r="453" spans="5:17" ht="18" customHeight="1">
      <c r="E453" s="81"/>
      <c r="H453" s="81"/>
      <c r="I453" s="81" t="str">
        <f>IF(E452&lt;=H452,"SAFE","OUT")</f>
        <v>SAFE</v>
      </c>
      <c r="J453" s="81"/>
      <c r="K453" s="81"/>
      <c r="L453" s="81"/>
      <c r="M453" s="81"/>
      <c r="N453" s="81"/>
      <c r="O453" s="81"/>
      <c r="P453" s="81"/>
      <c r="Q453" s="81"/>
    </row>
    <row r="454" spans="5:9" ht="18" customHeight="1">
      <c r="E454" s="171">
        <f>E443*1000/(E447*E448)-6*H445*1000000/(E448*E447^2)</f>
        <v>0.13963413333333324</v>
      </c>
      <c r="F454" s="22" t="s">
        <v>413</v>
      </c>
      <c r="G454" s="81" t="str">
        <f>IF(E454&lt;=H454,"&lt;","&gt;")</f>
        <v>&lt;</v>
      </c>
      <c r="H454" s="116">
        <f>IF(E454&lt;0,-σck/80,σck/4)*F449</f>
        <v>6.75</v>
      </c>
      <c r="I454" s="22" t="s">
        <v>413</v>
      </c>
    </row>
    <row r="455" spans="5:17" ht="18" customHeight="1">
      <c r="E455" s="81"/>
      <c r="H455" s="81"/>
      <c r="I455" s="81" t="str">
        <f>IF(ABS(E454)&lt;=ABS(H454),"SAFE","OUT")</f>
        <v>SAFE</v>
      </c>
      <c r="J455" s="81"/>
      <c r="K455" s="81"/>
      <c r="L455" s="81"/>
      <c r="M455" s="81"/>
      <c r="N455" s="81"/>
      <c r="O455" s="81"/>
      <c r="P455" s="81"/>
      <c r="Q455" s="81"/>
    </row>
    <row r="456" spans="3:8" ht="18" customHeight="1">
      <c r="C456" s="23" t="s">
        <v>414</v>
      </c>
      <c r="E456" s="81"/>
      <c r="H456" s="81"/>
    </row>
    <row r="457" spans="5:8" ht="18" customHeight="1">
      <c r="E457" s="81"/>
      <c r="H457" s="81"/>
    </row>
    <row r="458" spans="5:9" ht="18" customHeight="1">
      <c r="E458" s="171">
        <f>E444*1000/(E447*E448)</f>
        <v>0.09153666666666666</v>
      </c>
      <c r="F458" s="22" t="s">
        <v>160</v>
      </c>
      <c r="G458" s="81" t="str">
        <f>IF(E458&lt;=H458,"&lt;","&gt;")</f>
        <v>&lt;</v>
      </c>
      <c r="H458" s="116">
        <f>(σck/100+0.15)*F449</f>
        <v>0.49499999999999994</v>
      </c>
      <c r="I458" s="22" t="s">
        <v>160</v>
      </c>
    </row>
    <row r="459" spans="9:17" ht="18" customHeight="1">
      <c r="I459" s="81" t="str">
        <f>IF(E458&lt;=H458,"SAFE","OUT")</f>
        <v>SAFE</v>
      </c>
      <c r="J459" s="81"/>
      <c r="K459" s="81"/>
      <c r="L459" s="81"/>
      <c r="M459" s="81"/>
      <c r="N459" s="81"/>
      <c r="O459" s="81"/>
      <c r="P459" s="81"/>
      <c r="Q459" s="81"/>
    </row>
    <row r="515" spans="22:25" ht="18" customHeight="1">
      <c r="V515" s="81"/>
      <c r="W515" s="81"/>
      <c r="X515" s="81"/>
      <c r="Y515" s="81"/>
    </row>
    <row r="516" ht="18" customHeight="1">
      <c r="Z516" s="81"/>
    </row>
    <row r="517" spans="21:27" ht="18" customHeight="1">
      <c r="U517" s="81"/>
      <c r="V517" s="81"/>
      <c r="W517" s="81"/>
      <c r="X517" s="81"/>
      <c r="Y517" s="81"/>
      <c r="AA517" s="81"/>
    </row>
    <row r="518" spans="20:26" ht="18" customHeight="1">
      <c r="T518" s="81"/>
      <c r="Z518" s="81"/>
    </row>
    <row r="519" spans="21:27" ht="18" customHeight="1">
      <c r="U519" s="81"/>
      <c r="AA519" s="81"/>
    </row>
    <row r="520" ht="18" customHeight="1">
      <c r="T520" s="81"/>
    </row>
    <row r="521" spans="22:25" ht="18" customHeight="1">
      <c r="V521" s="81"/>
      <c r="W521" s="81"/>
      <c r="X521" s="81"/>
      <c r="Y521" s="81"/>
    </row>
    <row r="522" spans="19:26" ht="18" customHeight="1">
      <c r="S522" s="81"/>
      <c r="Z522" s="81"/>
    </row>
    <row r="523" spans="18:27" ht="18" customHeight="1">
      <c r="R523" s="81"/>
      <c r="U523" s="81"/>
      <c r="AA523" s="81"/>
    </row>
    <row r="524" spans="19:20" ht="18" customHeight="1">
      <c r="S524" s="81"/>
      <c r="T524" s="81"/>
    </row>
    <row r="525" ht="18" customHeight="1">
      <c r="R525" s="81"/>
    </row>
    <row r="528" ht="18" customHeight="1">
      <c r="S528" s="81"/>
    </row>
    <row r="529" ht="18" customHeight="1">
      <c r="R529" s="81"/>
    </row>
    <row r="605" spans="22:25" ht="18" customHeight="1">
      <c r="V605" s="81"/>
      <c r="W605" s="81"/>
      <c r="X605" s="81"/>
      <c r="Y605" s="81"/>
    </row>
    <row r="606" ht="18" customHeight="1">
      <c r="Z606" s="81"/>
    </row>
    <row r="607" spans="21:27" ht="18" customHeight="1">
      <c r="U607" s="81"/>
      <c r="V607" s="81"/>
      <c r="W607" s="81"/>
      <c r="X607" s="81"/>
      <c r="Y607" s="81"/>
      <c r="AA607" s="81"/>
    </row>
    <row r="608" spans="20:26" ht="18" customHeight="1">
      <c r="T608" s="81"/>
      <c r="Z608" s="81"/>
    </row>
    <row r="609" spans="21:27" ht="18" customHeight="1">
      <c r="U609" s="81"/>
      <c r="AA609" s="81"/>
    </row>
    <row r="610" ht="18" customHeight="1">
      <c r="T610" s="81"/>
    </row>
    <row r="611" spans="22:25" ht="18" customHeight="1">
      <c r="V611" s="81"/>
      <c r="W611" s="81"/>
      <c r="X611" s="81"/>
      <c r="Y611" s="81"/>
    </row>
    <row r="612" spans="19:26" ht="18" customHeight="1">
      <c r="S612" s="81"/>
      <c r="Z612" s="81"/>
    </row>
    <row r="613" spans="18:27" ht="18" customHeight="1">
      <c r="R613" s="81"/>
      <c r="U613" s="81"/>
      <c r="AA613" s="81"/>
    </row>
    <row r="614" spans="19:20" ht="18" customHeight="1">
      <c r="S614" s="81"/>
      <c r="T614" s="81"/>
    </row>
    <row r="615" ht="18" customHeight="1">
      <c r="R615" s="81"/>
    </row>
    <row r="618" ht="18" customHeight="1">
      <c r="S618" s="81"/>
    </row>
    <row r="619" ht="18" customHeight="1">
      <c r="R619" s="81"/>
    </row>
  </sheetData>
  <mergeCells count="154">
    <mergeCell ref="L305:L306"/>
    <mergeCell ref="L307:M307"/>
    <mergeCell ref="L284:M284"/>
    <mergeCell ref="L300:M300"/>
    <mergeCell ref="L301:M301"/>
    <mergeCell ref="L302:L304"/>
    <mergeCell ref="L260:L262"/>
    <mergeCell ref="L263:M263"/>
    <mergeCell ref="L280:M280"/>
    <mergeCell ref="L281:L283"/>
    <mergeCell ref="AX301:AY301"/>
    <mergeCell ref="BA301:BA302"/>
    <mergeCell ref="AC321:AC323"/>
    <mergeCell ref="AD321:AD323"/>
    <mergeCell ref="AE321:AH321"/>
    <mergeCell ref="AD301:AF301"/>
    <mergeCell ref="AG301:AG302"/>
    <mergeCell ref="AH301:AI301"/>
    <mergeCell ref="AI321:AJ321"/>
    <mergeCell ref="AP301:AQ301"/>
    <mergeCell ref="AS301:AS302"/>
    <mergeCell ref="AT301:AV301"/>
    <mergeCell ref="AW301:AW302"/>
    <mergeCell ref="B259:B260"/>
    <mergeCell ref="F280:F281"/>
    <mergeCell ref="AC301:AC302"/>
    <mergeCell ref="AL301:AN301"/>
    <mergeCell ref="AO301:AO302"/>
    <mergeCell ref="AK301:AK302"/>
    <mergeCell ref="L259:M259"/>
    <mergeCell ref="B436:B437"/>
    <mergeCell ref="E436:F436"/>
    <mergeCell ref="G436:H436"/>
    <mergeCell ref="G259:H259"/>
    <mergeCell ref="B280:B281"/>
    <mergeCell ref="C259:E259"/>
    <mergeCell ref="F259:F260"/>
    <mergeCell ref="C280:E280"/>
    <mergeCell ref="G280:H280"/>
    <mergeCell ref="G162:H162"/>
    <mergeCell ref="B162:B163"/>
    <mergeCell ref="E162:F162"/>
    <mergeCell ref="B384:B385"/>
    <mergeCell ref="E384:F384"/>
    <mergeCell ref="G384:H384"/>
    <mergeCell ref="C302:C304"/>
    <mergeCell ref="D302:G302"/>
    <mergeCell ref="H302:I302"/>
    <mergeCell ref="B302:B304"/>
    <mergeCell ref="AK321:AK323"/>
    <mergeCell ref="AL321:AL323"/>
    <mergeCell ref="AM321:AP321"/>
    <mergeCell ref="AQ321:AR321"/>
    <mergeCell ref="AS321:AS323"/>
    <mergeCell ref="AT321:AT323"/>
    <mergeCell ref="AU321:AX321"/>
    <mergeCell ref="AY321:AZ321"/>
    <mergeCell ref="BF301:BG301"/>
    <mergeCell ref="BA321:BA323"/>
    <mergeCell ref="BB321:BB323"/>
    <mergeCell ref="BC321:BF321"/>
    <mergeCell ref="BG321:BH321"/>
    <mergeCell ref="BB301:BD301"/>
    <mergeCell ref="BE301:BE302"/>
    <mergeCell ref="BN301:BO301"/>
    <mergeCell ref="BI321:BI323"/>
    <mergeCell ref="BJ321:BJ323"/>
    <mergeCell ref="BK321:BN321"/>
    <mergeCell ref="BO321:BP321"/>
    <mergeCell ref="BI301:BI302"/>
    <mergeCell ref="BJ301:BL301"/>
    <mergeCell ref="BM301:BM302"/>
    <mergeCell ref="BQ301:BQ302"/>
    <mergeCell ref="BR301:BT301"/>
    <mergeCell ref="BU301:BU302"/>
    <mergeCell ref="BV301:BW301"/>
    <mergeCell ref="BQ321:BQ323"/>
    <mergeCell ref="BR321:BR323"/>
    <mergeCell ref="BS321:BV321"/>
    <mergeCell ref="BW321:BX321"/>
    <mergeCell ref="BY301:BY302"/>
    <mergeCell ref="BZ301:CB301"/>
    <mergeCell ref="CC301:CC302"/>
    <mergeCell ref="CD301:CE301"/>
    <mergeCell ref="BY321:BY323"/>
    <mergeCell ref="BZ321:BZ323"/>
    <mergeCell ref="CA321:CD321"/>
    <mergeCell ref="CE321:CF321"/>
    <mergeCell ref="CG301:CG302"/>
    <mergeCell ref="CH301:CJ301"/>
    <mergeCell ref="CK301:CK302"/>
    <mergeCell ref="CL301:CM301"/>
    <mergeCell ref="CG321:CG323"/>
    <mergeCell ref="CH321:CH323"/>
    <mergeCell ref="CI321:CL321"/>
    <mergeCell ref="CM321:CN321"/>
    <mergeCell ref="CO301:CO302"/>
    <mergeCell ref="CP301:CR301"/>
    <mergeCell ref="CS301:CS302"/>
    <mergeCell ref="CT301:CU301"/>
    <mergeCell ref="CO321:CO323"/>
    <mergeCell ref="CP321:CP323"/>
    <mergeCell ref="CQ321:CT321"/>
    <mergeCell ref="CU321:CV321"/>
    <mergeCell ref="CW301:CW302"/>
    <mergeCell ref="CX301:CZ301"/>
    <mergeCell ref="DA301:DA302"/>
    <mergeCell ref="DB301:DC301"/>
    <mergeCell ref="CW321:CW323"/>
    <mergeCell ref="CX321:CX323"/>
    <mergeCell ref="CY321:DB321"/>
    <mergeCell ref="DC321:DD321"/>
    <mergeCell ref="DE301:DE302"/>
    <mergeCell ref="DF301:DH301"/>
    <mergeCell ref="DI301:DI302"/>
    <mergeCell ref="DJ301:DK301"/>
    <mergeCell ref="DE321:DE323"/>
    <mergeCell ref="DF321:DF323"/>
    <mergeCell ref="DG321:DJ321"/>
    <mergeCell ref="DK321:DL321"/>
    <mergeCell ref="DY301:DY302"/>
    <mergeCell ref="DZ301:EA301"/>
    <mergeCell ref="DM321:DM323"/>
    <mergeCell ref="DN321:DN323"/>
    <mergeCell ref="DO321:DR321"/>
    <mergeCell ref="DS321:DT321"/>
    <mergeCell ref="DM301:DM302"/>
    <mergeCell ref="DN301:DP301"/>
    <mergeCell ref="DQ301:DQ302"/>
    <mergeCell ref="DR301:DS301"/>
    <mergeCell ref="EK301:EK302"/>
    <mergeCell ref="EL301:EN301"/>
    <mergeCell ref="EO301:EO302"/>
    <mergeCell ref="EP301:EQ301"/>
    <mergeCell ref="EM321:EP321"/>
    <mergeCell ref="EQ321:ER321"/>
    <mergeCell ref="DW321:DZ321"/>
    <mergeCell ref="EA321:EB321"/>
    <mergeCell ref="EK321:EK323"/>
    <mergeCell ref="EL321:EL323"/>
    <mergeCell ref="EC321:EC323"/>
    <mergeCell ref="ED321:ED323"/>
    <mergeCell ref="EE321:EH321"/>
    <mergeCell ref="EI321:EJ321"/>
    <mergeCell ref="EG301:EG302"/>
    <mergeCell ref="EH301:EI301"/>
    <mergeCell ref="E392:G392"/>
    <mergeCell ref="E445:G445"/>
    <mergeCell ref="DU321:DU323"/>
    <mergeCell ref="DV321:DV323"/>
    <mergeCell ref="EC301:EC302"/>
    <mergeCell ref="ED301:EF301"/>
    <mergeCell ref="DU301:DU302"/>
    <mergeCell ref="DV301:DX301"/>
  </mergeCells>
  <printOptions/>
  <pageMargins left="0.75" right="0.75" top="1" bottom="1" header="0.512" footer="0.512"/>
  <pageSetup firstPageNumber="1" useFirstPageNumber="1" horizontalDpi="600" verticalDpi="600" orientation="portrait" paperSize="9" r:id="rId5"/>
  <headerFooter alignWithMargins="0">
    <oddHeader>&amp;C&amp;"ＭＳ 明朝,標準"&amp;9段切り基礎擁壁</oddHeader>
    <oddFooter>&amp;C&amp;P</oddFooter>
  </headerFooter>
  <rowBreaks count="8" manualBreakCount="8">
    <brk id="38" max="8" man="1"/>
    <brk id="121" max="8" man="1"/>
    <brk id="160" max="8" man="1"/>
    <brk id="190" max="8" man="1"/>
    <brk id="228" max="8" man="1"/>
    <brk id="269" max="8" man="1"/>
    <brk id="308" max="8" man="1"/>
    <brk id="392" max="8" man="1"/>
  </rowBreaks>
  <drawing r:id="rId4"/>
  <legacyDrawing r:id="rId3"/>
  <oleObjects>
    <oleObject progId="Equation.3" shapeId="2230338" r:id="rId1"/>
    <oleObject progId="Equation.3" shapeId="22303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右城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右城　猛</dc:creator>
  <cp:keywords/>
  <dc:description/>
  <cp:lastModifiedBy> </cp:lastModifiedBy>
  <cp:lastPrinted>2004-07-24T00:45:36Z</cp:lastPrinted>
  <dcterms:created xsi:type="dcterms:W3CDTF">2000-04-08T11:44:51Z</dcterms:created>
  <dcterms:modified xsi:type="dcterms:W3CDTF">2004-10-29T06:46:48Z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