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9315" tabRatio="601" activeTab="0"/>
  </bookViews>
  <sheets>
    <sheet name="入力" sheetId="1" r:id="rId1"/>
    <sheet name="出力" sheetId="2" r:id="rId2"/>
  </sheets>
  <definedNames>
    <definedName name="B">'出力'!$E$37</definedName>
    <definedName name="Bl">'出力'!$E$249</definedName>
    <definedName name="bol">'出力'!$E$248</definedName>
    <definedName name="bsho">'出力'!$CI$98</definedName>
    <definedName name="bu">'出力'!$E$36</definedName>
    <definedName name="cu">'出力'!$E$46</definedName>
    <definedName name="cuf">'出力'!#REF!</definedName>
    <definedName name="d">'出力'!$F$163</definedName>
    <definedName name="Df">'出力'!$E$53</definedName>
    <definedName name="e">'出力'!$F$166</definedName>
    <definedName name="Fai">'出力'!$E$45</definedName>
    <definedName name="H">'出力'!$BW$130</definedName>
    <definedName name="Ha">'出力'!$E$35</definedName>
    <definedName name="Hb">'出力'!$BW$124</definedName>
    <definedName name="Hc">'出力'!#REF!</definedName>
    <definedName name="hf">'出力'!#REF!</definedName>
    <definedName name="Hl">'出力'!$E$247</definedName>
    <definedName name="Ho">'出力'!$E$41</definedName>
    <definedName name="hp">'出力'!#REF!</definedName>
    <definedName name="Hw">#REF!</definedName>
    <definedName name="KA">'出力'!$E$152</definedName>
    <definedName name="Kh">'出力'!$E$48</definedName>
    <definedName name="Lc">'出力'!$CD$98</definedName>
    <definedName name="Lw">#REF!</definedName>
    <definedName name="m">'出力'!$AH$282</definedName>
    <definedName name="n">'出力'!$E$38</definedName>
    <definedName name="nb">'出力'!$BW$134</definedName>
    <definedName name="P">'出力'!#REF!</definedName>
    <definedName name="Pmax">'出力'!$BT$98</definedName>
    <definedName name="_xlnm.Print_Area" localSheetId="1">'出力'!$A$1:$I$500</definedName>
    <definedName name="_xlnm.Print_Area" localSheetId="0">'入力'!$A$1:$S$27</definedName>
    <definedName name="q">'出力'!$E$47</definedName>
    <definedName name="qb">'出力'!$H$168</definedName>
    <definedName name="qd">'出力'!$E$51</definedName>
    <definedName name="qf">'出力'!$E$168</definedName>
    <definedName name="scal">'出力'!$AK$7</definedName>
    <definedName name="shoul">'出力'!$BU$43</definedName>
    <definedName name="solver_adj" localSheetId="1" hidden="1">'出力'!$E$36</definedName>
    <definedName name="solver_lin" localSheetId="1" hidden="1">0</definedName>
    <definedName name="solver_num" localSheetId="1" hidden="1">0</definedName>
    <definedName name="solver_opt" localSheetId="1" hidden="1">'出力'!$AE$41</definedName>
    <definedName name="solver_tmp" localSheetId="1" hidden="1">'出力'!#REF!,'出力'!$E$35:$E$50</definedName>
    <definedName name="solver_typ" localSheetId="1" hidden="1">3</definedName>
    <definedName name="solver_val" localSheetId="1" hidden="1">1.2</definedName>
    <definedName name="tf">'出力'!#REF!</definedName>
    <definedName name="zc">'出力'!$E$120</definedName>
    <definedName name="α">'出力'!$BW$125</definedName>
    <definedName name="αl">'出力'!$AL$286</definedName>
    <definedName name="β">'出力'!$BW$126</definedName>
    <definedName name="γ1">'出力'!#REF!</definedName>
    <definedName name="γc">'出力'!$E$55</definedName>
    <definedName name="γs">'出力'!$E$44</definedName>
    <definedName name="δu">'出力'!$BW$128</definedName>
    <definedName name="θ">'出力'!$BW$129</definedName>
    <definedName name="θu">'出力'!$AK$277</definedName>
    <definedName name="λ">'入力'!$E$9</definedName>
    <definedName name="μ">'出力'!$E$50</definedName>
    <definedName name="ν">'出力'!$AL$283</definedName>
    <definedName name="σca">'出力'!#REF!</definedName>
    <definedName name="σck">'出力'!#REF!</definedName>
    <definedName name="σsa">'出力'!#REF!</definedName>
    <definedName name="σta">'出力'!#REF!</definedName>
    <definedName name="τca">'出力'!#REF!</definedName>
    <definedName name="τoa">'出力'!#REF!</definedName>
    <definedName name="φ">'出力'!$BW$127</definedName>
    <definedName name="φ1">'出力'!#REF!</definedName>
    <definedName name="ω0">'出力'!$BW$44</definedName>
    <definedName name="ω1">'出力'!$AE$284</definedName>
    <definedName name="ω2">'出力'!$AE$285</definedName>
    <definedName name="ω3">'出力'!$AE$286</definedName>
    <definedName name="ωb">'出力'!$AE$283</definedName>
    <definedName name="ωr">'出力'!$BV$99</definedName>
    <definedName name="ωu">'出力'!$BV$98</definedName>
  </definedNames>
  <calcPr fullCalcOnLoad="1"/>
</workbook>
</file>

<file path=xl/sharedStrings.xml><?xml version="1.0" encoding="utf-8"?>
<sst xmlns="http://schemas.openxmlformats.org/spreadsheetml/2006/main" count="601" uniqueCount="382">
  <si>
    <t>shoul=</t>
  </si>
  <si>
    <t>m</t>
  </si>
  <si>
    <t>x</t>
  </si>
  <si>
    <t>すべり面</t>
  </si>
  <si>
    <t>過載荷重</t>
  </si>
  <si>
    <t>地盤反力</t>
  </si>
  <si>
    <t>自重</t>
  </si>
  <si>
    <t>土圧</t>
  </si>
  <si>
    <t>合力</t>
  </si>
  <si>
    <t>rad</t>
  </si>
  <si>
    <t>Pa</t>
  </si>
  <si>
    <t>ω</t>
  </si>
  <si>
    <t>W</t>
  </si>
  <si>
    <t>W1</t>
  </si>
  <si>
    <t>W2</t>
  </si>
  <si>
    <t>W3</t>
  </si>
  <si>
    <t>Lc1</t>
  </si>
  <si>
    <t>Lc2</t>
  </si>
  <si>
    <t>Lc3</t>
  </si>
  <si>
    <t>Lc</t>
  </si>
  <si>
    <t>重　量</t>
  </si>
  <si>
    <t>重　心</t>
  </si>
  <si>
    <r>
      <t>l</t>
    </r>
    <r>
      <rPr>
        <sz val="11"/>
        <rFont val="Times New Roman"/>
        <family val="1"/>
      </rPr>
      <t>(m)</t>
    </r>
  </si>
  <si>
    <r>
      <t>b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</si>
  <si>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</si>
  <si>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t>Pmax=</t>
  </si>
  <si>
    <t>deg</t>
  </si>
  <si>
    <t>主働土圧と主働すべり角</t>
  </si>
  <si>
    <t>主働すべり角</t>
  </si>
  <si>
    <t>主働土圧</t>
  </si>
  <si>
    <t>合　　力</t>
  </si>
  <si>
    <t>鉛直成分</t>
  </si>
  <si>
    <t>水平成分</t>
  </si>
  <si>
    <t>土圧係数</t>
  </si>
  <si>
    <t>土圧合力の作用位置</t>
  </si>
  <si>
    <t>Hb=</t>
  </si>
  <si>
    <t>H=</t>
  </si>
  <si>
    <t>b1=</t>
  </si>
  <si>
    <t>b2=</t>
  </si>
  <si>
    <t>nb=</t>
  </si>
  <si>
    <t>荷　重</t>
  </si>
  <si>
    <t>自　重</t>
  </si>
  <si>
    <t>土　圧</t>
  </si>
  <si>
    <t>∑</t>
  </si>
  <si>
    <t>合力作用位置</t>
  </si>
  <si>
    <t>合力の偏心量</t>
  </si>
  <si>
    <r>
      <t>地盤反力度</t>
    </r>
  </si>
  <si>
    <r>
      <t>ω</t>
    </r>
    <r>
      <rPr>
        <sz val="11"/>
        <rFont val="Times New Roman"/>
        <family val="1"/>
      </rPr>
      <t>o=</t>
    </r>
  </si>
  <si>
    <r>
      <t>度</t>
    </r>
    <r>
      <rPr>
        <sz val="11"/>
        <rFont val="Times New Roman"/>
        <family val="1"/>
      </rPr>
      <t xml:space="preserve">     =</t>
    </r>
  </si>
  <si>
    <r>
      <t xml:space="preserve"> </t>
    </r>
    <r>
      <rPr>
        <sz val="11"/>
        <color indexed="8"/>
        <rFont val="ＭＳ 明朝"/>
        <family val="1"/>
      </rPr>
      <t>擁壁高さ</t>
    </r>
  </si>
  <si>
    <r>
      <t>H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</si>
  <si>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天端幅</t>
    </r>
  </si>
  <si>
    <r>
      <t>b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</si>
  <si>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rad</t>
    </r>
  </si>
  <si>
    <r>
      <t xml:space="preserve"> </t>
    </r>
    <r>
      <rPr>
        <sz val="11"/>
        <color indexed="8"/>
        <rFont val="ＭＳ 明朝"/>
        <family val="1"/>
      </rPr>
      <t>底面幅</t>
    </r>
  </si>
  <si>
    <r>
      <t>B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</si>
  <si>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嵩上げ高</t>
    </r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</si>
  <si>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</si>
  <si>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盛土傾斜角</t>
    </r>
  </si>
  <si>
    <r>
      <t>β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</si>
  <si>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単位重量</t>
    </r>
  </si>
  <si>
    <r>
      <t>γ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</si>
  <si>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内部摩擦角</t>
    </r>
  </si>
  <si>
    <r>
      <t>φ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</si>
  <si>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粘着力</t>
    </r>
  </si>
  <si>
    <r>
      <t>c</t>
    </r>
    <r>
      <rPr>
        <sz val="11"/>
        <rFont val="Times New Roman"/>
        <family val="1"/>
      </rPr>
      <t>=</t>
    </r>
  </si>
  <si>
    <r>
      <t>q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</si>
  <si>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</si>
  <si>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μ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</si>
  <si>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</si>
  <si>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</si>
  <si>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r=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</si>
  <si>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</si>
  <si>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</si>
  <si>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</si>
  <si>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</si>
  <si>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</si>
  <si>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</si>
  <si>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</si>
  <si>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</si>
  <si>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</si>
  <si>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</si>
  <si>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</si>
  <si>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</si>
  <si>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</si>
  <si>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</si>
  <si>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</si>
  <si>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</si>
  <si>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</si>
  <si>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</si>
  <si>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根入深さ</t>
  </si>
  <si>
    <t>偏心量</t>
  </si>
  <si>
    <t>荷重の縮尺</t>
  </si>
  <si>
    <t>摩擦係数</t>
  </si>
  <si>
    <t>m</t>
  </si>
  <si>
    <t>kN/m</t>
  </si>
  <si>
    <t>m</t>
  </si>
  <si>
    <t>m</t>
  </si>
  <si>
    <t>kN/m</t>
  </si>
  <si>
    <t>m</t>
  </si>
  <si>
    <t>m</t>
  </si>
  <si>
    <t>m</t>
  </si>
  <si>
    <t>底版幅</t>
  </si>
  <si>
    <t>B=</t>
  </si>
  <si>
    <t>e=</t>
  </si>
  <si>
    <t>安定率</t>
  </si>
  <si>
    <t>鉛直力</t>
  </si>
  <si>
    <t>kN/m</t>
  </si>
  <si>
    <t>水平力</t>
  </si>
  <si>
    <t>kN/m</t>
  </si>
  <si>
    <t>摩擦係数</t>
  </si>
  <si>
    <t>m</t>
  </si>
  <si>
    <t>安全率</t>
  </si>
  <si>
    <t>極限支持力度</t>
  </si>
  <si>
    <t>安全率</t>
  </si>
  <si>
    <r>
      <t>kN/m</t>
    </r>
    <r>
      <rPr>
        <vertAlign val="superscript"/>
        <sz val="11"/>
        <rFont val="Times New Roman"/>
        <family val="1"/>
      </rPr>
      <t>2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</si>
  <si>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</si>
  <si>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</si>
  <si>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ω</t>
    </r>
    <r>
      <rPr>
        <sz val="11"/>
        <rFont val="Times New Roman"/>
        <family val="1"/>
      </rPr>
      <t>&gt;</t>
    </r>
    <r>
      <rPr>
        <sz val="11"/>
        <rFont val="ＭＳ 明朝"/>
        <family val="1"/>
      </rPr>
      <t>ω</t>
    </r>
    <r>
      <rPr>
        <sz val="11"/>
        <rFont val="Times New Roman"/>
        <family val="1"/>
      </rPr>
      <t>0</t>
    </r>
  </si>
  <si>
    <r>
      <t>ω</t>
    </r>
    <r>
      <rPr>
        <sz val="11"/>
        <rFont val="Times New Roman"/>
        <family val="1"/>
      </rPr>
      <t>&lt;</t>
    </r>
    <r>
      <rPr>
        <sz val="11"/>
        <rFont val="ＭＳ 明朝"/>
        <family val="1"/>
      </rPr>
      <t>ω</t>
    </r>
    <r>
      <rPr>
        <sz val="11"/>
        <rFont val="Times New Roman"/>
        <family val="1"/>
      </rPr>
      <t>0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</si>
  <si>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</si>
  <si>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</si>
  <si>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</si>
  <si>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</si>
  <si>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</si>
  <si>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</si>
  <si>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</si>
  <si>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</si>
  <si>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</si>
  <si>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</si>
  <si>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</si>
  <si>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</si>
  <si>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</si>
  <si>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</si>
  <si>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</si>
  <si>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</si>
  <si>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</si>
  <si>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</si>
  <si>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</si>
  <si>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t>W4</t>
  </si>
  <si>
    <t>地盤反力</t>
  </si>
  <si>
    <t>上段擁壁の影響を考慮した試行くさび法による．</t>
  </si>
  <si>
    <t>主働土圧</t>
  </si>
  <si>
    <t>上段擁壁</t>
  </si>
  <si>
    <t>下段擁壁</t>
  </si>
  <si>
    <t>擁壁高</t>
  </si>
  <si>
    <r>
      <t>H</t>
    </r>
    <r>
      <rPr>
        <sz val="11"/>
        <rFont val="Times New Roman"/>
        <family val="1"/>
      </rPr>
      <t>(m)</t>
    </r>
  </si>
  <si>
    <t>天端幅</t>
  </si>
  <si>
    <t>前面勾配</t>
  </si>
  <si>
    <t>背面勾配</t>
  </si>
  <si>
    <t>載荷重</t>
  </si>
  <si>
    <t>擁壁距離</t>
  </si>
  <si>
    <r>
      <t>λ</t>
    </r>
    <r>
      <rPr>
        <sz val="11"/>
        <rFont val="Times New Roman"/>
        <family val="1"/>
      </rPr>
      <t>(m)</t>
    </r>
  </si>
  <si>
    <t>****</t>
  </si>
  <si>
    <t>嵩上げ盛土高</t>
  </si>
  <si>
    <t>盛土勾配</t>
  </si>
  <si>
    <t>土の単位体積重量</t>
  </si>
  <si>
    <t>土の内部摩擦角</t>
  </si>
  <si>
    <r>
      <t>φ</t>
    </r>
    <r>
      <rPr>
        <sz val="11"/>
        <rFont val="Times New Roman"/>
        <family val="1"/>
      </rPr>
      <t>(</t>
    </r>
    <r>
      <rPr>
        <sz val="11"/>
        <rFont val="明朝"/>
        <family val="1"/>
      </rPr>
      <t>度</t>
    </r>
    <r>
      <rPr>
        <sz val="11"/>
        <rFont val="Times New Roman"/>
        <family val="1"/>
      </rPr>
      <t>)</t>
    </r>
  </si>
  <si>
    <t>極限支持力度</t>
  </si>
  <si>
    <t>底面の摩擦係数</t>
  </si>
  <si>
    <t>μ</t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</si>
  <si>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</si>
  <si>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</si>
  <si>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(m)</t>
    </r>
  </si>
  <si>
    <r>
      <t>q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</si>
  <si>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H</t>
    </r>
    <r>
      <rPr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(m)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</si>
  <si>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</si>
  <si>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γ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</si>
  <si>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</si>
  <si>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◆インプットデータ</t>
  </si>
  <si>
    <t>転倒</t>
  </si>
  <si>
    <t>計算値</t>
  </si>
  <si>
    <t>規定値</t>
  </si>
  <si>
    <t>判定</t>
  </si>
  <si>
    <t>転倒</t>
  </si>
  <si>
    <t>上部擁壁</t>
  </si>
  <si>
    <t>滑動</t>
  </si>
  <si>
    <t>支持</t>
  </si>
  <si>
    <t>下部擁壁</t>
  </si>
  <si>
    <t>滑動</t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</si>
  <si>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(m)</t>
    </r>
  </si>
  <si>
    <t>◆安定計算結果</t>
  </si>
  <si>
    <t>荷重条件</t>
  </si>
  <si>
    <t>常時</t>
  </si>
  <si>
    <t>H=</t>
  </si>
  <si>
    <t>下段擁壁</t>
  </si>
  <si>
    <t>H=</t>
  </si>
  <si>
    <t>擁壁間隔</t>
  </si>
  <si>
    <t>m</t>
  </si>
  <si>
    <t>擁壁盛土</t>
  </si>
  <si>
    <t>Ho=0</t>
  </si>
  <si>
    <t>Pa</t>
  </si>
  <si>
    <t>b1</t>
  </si>
  <si>
    <t>b2</t>
  </si>
  <si>
    <t>b3</t>
  </si>
  <si>
    <t>b</t>
  </si>
  <si>
    <t>x</t>
  </si>
  <si>
    <t>度</t>
  </si>
  <si>
    <t>単位体積重量</t>
  </si>
  <si>
    <t>試行くさび法による．</t>
  </si>
  <si>
    <t>***</t>
  </si>
  <si>
    <t>m</t>
  </si>
  <si>
    <t>Ho=</t>
  </si>
  <si>
    <t>rad</t>
  </si>
  <si>
    <t>nfu=</t>
  </si>
  <si>
    <t>Hu=</t>
  </si>
  <si>
    <t>nru=</t>
  </si>
  <si>
    <t>q1=</t>
  </si>
  <si>
    <t>kN/m2</t>
  </si>
  <si>
    <t>Hl=</t>
  </si>
  <si>
    <t>nfl=</t>
  </si>
  <si>
    <t>q2=</t>
  </si>
  <si>
    <t>Bu=B=</t>
  </si>
  <si>
    <t>nrl=</t>
  </si>
  <si>
    <t>d=</t>
  </si>
  <si>
    <t>Df=</t>
  </si>
  <si>
    <t>m=</t>
  </si>
  <si>
    <t>3d=</t>
  </si>
  <si>
    <t>rad</t>
  </si>
  <si>
    <t>deg</t>
  </si>
  <si>
    <t>kN/m</t>
  </si>
  <si>
    <t>Wcu=</t>
  </si>
  <si>
    <t>qu=</t>
  </si>
  <si>
    <t>ql=</t>
  </si>
  <si>
    <t>x(m)</t>
  </si>
  <si>
    <t>PA</t>
  </si>
  <si>
    <t>θ</t>
  </si>
  <si>
    <t>ω</t>
  </si>
  <si>
    <t>W</t>
  </si>
  <si>
    <t>η</t>
  </si>
  <si>
    <t>W1</t>
  </si>
  <si>
    <t>q3</t>
  </si>
  <si>
    <t>QV</t>
  </si>
  <si>
    <t>QH</t>
  </si>
  <si>
    <t>x</t>
  </si>
  <si>
    <t>Wcu</t>
  </si>
  <si>
    <t>W1+W2</t>
  </si>
  <si>
    <t>度</t>
  </si>
  <si>
    <t>KA=</t>
  </si>
  <si>
    <t>地盤反力</t>
  </si>
  <si>
    <t>1:S=1:</t>
  </si>
  <si>
    <t>1:S=1:</t>
  </si>
  <si>
    <t>盛土形状</t>
  </si>
  <si>
    <t>載荷重</t>
  </si>
  <si>
    <t>地盤反力</t>
  </si>
  <si>
    <t>x</t>
  </si>
  <si>
    <t>下段</t>
  </si>
  <si>
    <t>下段</t>
  </si>
  <si>
    <t>土圧</t>
  </si>
  <si>
    <t>計算条件</t>
  </si>
  <si>
    <t>m</t>
  </si>
  <si>
    <t>m=</t>
  </si>
  <si>
    <t>計算結果</t>
  </si>
  <si>
    <t>安全率</t>
  </si>
  <si>
    <r>
      <t>1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S=1</t>
    </r>
    <r>
      <rPr>
        <sz val="11"/>
        <rFont val="ＭＳ 明朝"/>
        <family val="1"/>
      </rPr>
      <t>：</t>
    </r>
  </si>
  <si>
    <r>
      <t>λ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</si>
  <si>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</si>
  <si>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</si>
  <si>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</si>
  <si>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 xml:space="preserve"> </t>
    </r>
    <r>
      <rPr>
        <sz val="11"/>
        <color indexed="8"/>
        <rFont val="ＭＳ 明朝"/>
        <family val="1"/>
      </rPr>
      <t>背面勾配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</si>
  <si>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</si>
  <si>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</si>
  <si>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kN/m</t>
    </r>
    <r>
      <rPr>
        <vertAlign val="superscript"/>
        <sz val="11"/>
        <color indexed="8"/>
        <rFont val="Times New Roman"/>
        <family val="1"/>
      </rPr>
      <t>3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</si>
  <si>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</si>
  <si>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</si>
  <si>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極限支持力</t>
  </si>
  <si>
    <r>
      <t>θ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</si>
  <si>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</si>
  <si>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</si>
  <si>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t>度</t>
  </si>
  <si>
    <r>
      <t>kN/m</t>
    </r>
    <r>
      <rPr>
        <vertAlign val="superscript"/>
        <sz val="11"/>
        <rFont val="Times New Roman"/>
        <family val="1"/>
      </rPr>
      <t>2</t>
    </r>
  </si>
  <si>
    <t>最大地盤反力度</t>
  </si>
  <si>
    <r>
      <t>θ</t>
    </r>
    <r>
      <rPr>
        <sz val="11"/>
        <rFont val="Times New Roman"/>
        <family val="1"/>
      </rPr>
      <t>u=</t>
    </r>
  </si>
  <si>
    <r>
      <t>λ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</si>
  <si>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b=</t>
    </r>
  </si>
  <si>
    <r>
      <t>ν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</si>
  <si>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</si>
  <si>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1=</t>
    </r>
  </si>
  <si>
    <r>
      <t>Σ</t>
    </r>
    <r>
      <rPr>
        <sz val="11"/>
        <rFont val="Times New Roman"/>
        <family val="1"/>
      </rPr>
      <t>V=</t>
    </r>
  </si>
  <si>
    <r>
      <t>ω</t>
    </r>
    <r>
      <rPr>
        <sz val="11"/>
        <rFont val="Times New Roman"/>
        <family val="1"/>
      </rPr>
      <t>2=</t>
    </r>
  </si>
  <si>
    <r>
      <t>Σ</t>
    </r>
    <r>
      <rPr>
        <sz val="11"/>
        <rFont val="Times New Roman"/>
        <family val="1"/>
      </rPr>
      <t>H=</t>
    </r>
  </si>
  <si>
    <r>
      <t>ω</t>
    </r>
    <r>
      <rPr>
        <sz val="11"/>
        <rFont val="Times New Roman"/>
        <family val="1"/>
      </rPr>
      <t>3=</t>
    </r>
  </si>
  <si>
    <r>
      <t>α</t>
    </r>
    <r>
      <rPr>
        <sz val="11"/>
        <rFont val="Times New Roman"/>
        <family val="1"/>
      </rPr>
      <t>l=</t>
    </r>
  </si>
  <si>
    <r>
      <t>ω</t>
    </r>
    <r>
      <rPr>
        <sz val="11"/>
        <rFont val="Times New Roman"/>
        <family val="1"/>
      </rPr>
      <t>deg</t>
    </r>
  </si>
  <si>
    <r>
      <t>ξ</t>
    </r>
    <r>
      <rPr>
        <sz val="11"/>
        <rFont val="Times New Roman"/>
        <family val="1"/>
      </rPr>
      <t>1</t>
    </r>
  </si>
  <si>
    <r>
      <t>ξ</t>
    </r>
    <r>
      <rPr>
        <sz val="11"/>
        <rFont val="Times New Roman"/>
        <family val="1"/>
      </rPr>
      <t>2</t>
    </r>
  </si>
  <si>
    <r>
      <t>ξ</t>
    </r>
    <r>
      <rPr>
        <sz val="11"/>
        <rFont val="Times New Roman"/>
        <family val="1"/>
      </rPr>
      <t>3</t>
    </r>
  </si>
  <si>
    <r>
      <t>ξ</t>
    </r>
    <r>
      <rPr>
        <sz val="11"/>
        <rFont val="Times New Roman"/>
        <family val="1"/>
      </rPr>
      <t>4</t>
    </r>
  </si>
  <si>
    <r>
      <t>ξ</t>
    </r>
    <r>
      <rPr>
        <sz val="11"/>
        <rFont val="Times New Roman"/>
        <family val="1"/>
      </rPr>
      <t>5</t>
    </r>
  </si>
  <si>
    <r>
      <t>ξ</t>
    </r>
    <r>
      <rPr>
        <sz val="11"/>
        <rFont val="Times New Roman"/>
        <family val="1"/>
      </rPr>
      <t>6</t>
    </r>
  </si>
  <si>
    <r>
      <t>ξ</t>
    </r>
    <r>
      <rPr>
        <sz val="11"/>
        <rFont val="Times New Roman"/>
        <family val="1"/>
      </rPr>
      <t>7</t>
    </r>
  </si>
  <si>
    <r>
      <t>ξ</t>
    </r>
    <r>
      <rPr>
        <sz val="11"/>
        <rFont val="Times New Roman"/>
        <family val="1"/>
      </rPr>
      <t>8</t>
    </r>
  </si>
  <si>
    <r>
      <t>ξ</t>
    </r>
    <r>
      <rPr>
        <sz val="11"/>
        <rFont val="Times New Roman"/>
        <family val="1"/>
      </rPr>
      <t>q</t>
    </r>
  </si>
  <si>
    <r>
      <t>η</t>
    </r>
    <r>
      <rPr>
        <sz val="11"/>
        <rFont val="Times New Roman"/>
        <family val="1"/>
      </rPr>
      <t>1</t>
    </r>
  </si>
  <si>
    <r>
      <t>η</t>
    </r>
    <r>
      <rPr>
        <sz val="11"/>
        <rFont val="Times New Roman"/>
        <family val="1"/>
      </rPr>
      <t>2</t>
    </r>
  </si>
  <si>
    <r>
      <t>kN/m</t>
    </r>
    <r>
      <rPr>
        <vertAlign val="superscript"/>
        <sz val="11"/>
        <color indexed="8"/>
        <rFont val="Times New Roman"/>
        <family val="1"/>
      </rPr>
      <t>3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</si>
  <si>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</si>
  <si>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単位体積重量</t>
  </si>
  <si>
    <t>土圧縮尺</t>
  </si>
  <si>
    <t>擁壁形状</t>
  </si>
  <si>
    <t>主働すべり面</t>
  </si>
  <si>
    <t>下部擁壁の土圧</t>
  </si>
  <si>
    <t>上部擁壁の土圧</t>
  </si>
  <si>
    <t>荷重合力</t>
  </si>
  <si>
    <t>上段</t>
  </si>
  <si>
    <r>
      <t>y</t>
    </r>
    <r>
      <rPr>
        <sz val="11"/>
        <rFont val="ＭＳ 明朝"/>
        <family val="1"/>
      </rPr>
      <t>軸</t>
    </r>
  </si>
  <si>
    <r>
      <t>x</t>
    </r>
    <r>
      <rPr>
        <sz val="11"/>
        <rFont val="ＭＳ 明朝"/>
        <family val="1"/>
      </rPr>
      <t>軸</t>
    </r>
  </si>
  <si>
    <r>
      <t>y</t>
    </r>
    <r>
      <rPr>
        <sz val="11"/>
        <rFont val="ＭＳ 明朝"/>
        <family val="1"/>
      </rPr>
      <t>軸</t>
    </r>
  </si>
  <si>
    <r>
      <t>x</t>
    </r>
    <r>
      <rPr>
        <sz val="11"/>
        <rFont val="ＭＳ 明朝"/>
        <family val="1"/>
      </rPr>
      <t>軸</t>
    </r>
  </si>
  <si>
    <t>上段擁壁</t>
  </si>
  <si>
    <r>
      <t>H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</si>
  <si>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l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</si>
  <si>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</si>
  <si>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l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</si>
  <si>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fu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</si>
  <si>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fl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</si>
  <si>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ru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</si>
  <si>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rl</t>
    </r>
    <r>
      <rPr>
        <i/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</si>
  <si>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</si>
  <si>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l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</si>
  <si>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</si>
  <si>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λ</t>
    </r>
    <r>
      <rPr>
        <i/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</si>
  <si>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</si>
  <si>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</si>
  <si>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</si>
  <si>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q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</si>
  <si>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</si>
  <si>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W</t>
    </r>
    <r>
      <rPr>
        <i/>
        <vertAlign val="subscript"/>
        <sz val="11"/>
        <rFont val="Times New Roman"/>
        <family val="1"/>
      </rPr>
      <t>cu</t>
    </r>
    <r>
      <rPr>
        <i/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</si>
  <si>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</si>
  <si>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r>
      <t>Q</t>
    </r>
    <r>
      <rPr>
        <i/>
        <vertAlign val="subscript"/>
        <sz val="11"/>
        <rFont val="Times New Roman"/>
        <family val="1"/>
      </rPr>
      <t>V</t>
    </r>
    <r>
      <rPr>
        <sz val="11"/>
        <rFont val="Times New Roman"/>
        <family val="1"/>
      </rPr>
      <t>(kN/m)</t>
    </r>
  </si>
  <si>
    <r>
      <t>Q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</si>
  <si>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</si>
  <si>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t>度</t>
  </si>
  <si>
    <t>m</t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</si>
  <si>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</si>
  <si>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</si>
  <si>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t>度</t>
  </si>
  <si>
    <r>
      <t>(=2</t>
    </r>
    <r>
      <rPr>
        <sz val="11"/>
        <rFont val="ＭＳ 明朝"/>
        <family val="1"/>
      </rPr>
      <t>×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γ×</t>
    </r>
    <r>
      <rPr>
        <i/>
        <sz val="11"/>
        <rFont val="Times New Roman"/>
        <family val="1"/>
      </rPr>
      <t>H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))</t>
    </r>
  </si>
  <si>
    <t>受働土圧</t>
  </si>
  <si>
    <r>
      <t xml:space="preserve"> </t>
    </r>
    <r>
      <rPr>
        <sz val="11"/>
        <color indexed="8"/>
        <rFont val="ＭＳ 明朝"/>
        <family val="1"/>
      </rPr>
      <t>前面勾配</t>
    </r>
  </si>
  <si>
    <t>背面勾配</t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</si>
  <si>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</si>
  <si>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</si>
  <si>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t>－</t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</si>
  <si>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</si>
  <si>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>(=2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</t>
    </r>
    <r>
      <rPr>
        <i/>
        <sz val="11"/>
        <rFont val="Times New Roman"/>
        <family val="1"/>
      </rPr>
      <t>H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))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</si>
  <si>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</si>
  <si>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－</t>
  </si>
  <si>
    <t>◆形状寸法</t>
  </si>
  <si>
    <t>◆荷重状態図</t>
  </si>
  <si>
    <t>１．　擁壁形状</t>
  </si>
  <si>
    <t>２．　上段擁壁</t>
  </si>
  <si>
    <t>(1)　擁壁形状</t>
  </si>
  <si>
    <t>(2)　盛　　土</t>
  </si>
  <si>
    <t>(3)　地表面載荷重</t>
  </si>
  <si>
    <t>(4)　設計水平震度</t>
  </si>
  <si>
    <t>(5)　支持地盤</t>
  </si>
  <si>
    <t>(6)　根入地盤</t>
  </si>
  <si>
    <t>(7)　コンクリート</t>
  </si>
  <si>
    <t>２．２　　荷　　重</t>
  </si>
  <si>
    <t>（１）　 自　　　重</t>
  </si>
  <si>
    <t>（２）　主働土圧</t>
  </si>
  <si>
    <t>（３）　 荷重の集計</t>
  </si>
  <si>
    <t>2．３　　安定計算</t>
  </si>
  <si>
    <t>（１）　転倒に対する照査</t>
  </si>
  <si>
    <t>（２）　滑動に対する照査</t>
  </si>
  <si>
    <t>（３）　支持力に対する照査</t>
  </si>
  <si>
    <t>３．　下段擁壁</t>
  </si>
  <si>
    <t>３．１　設計条件</t>
  </si>
  <si>
    <t>(1)　擁壁形状</t>
  </si>
  <si>
    <t>(2)　盛　　土</t>
  </si>
  <si>
    <t>(5)　支持地盤</t>
  </si>
  <si>
    <t>(6)　根入地盤</t>
  </si>
  <si>
    <t>(7)　コンクリート</t>
  </si>
  <si>
    <t>３．２　荷　　重</t>
  </si>
  <si>
    <t>（１） 　自　　重</t>
  </si>
  <si>
    <t>（２）　主働土圧</t>
  </si>
  <si>
    <t>（３）　荷重の集計</t>
  </si>
  <si>
    <t>３．３　安定計算</t>
  </si>
  <si>
    <t>（１）　転倒に対する照査</t>
  </si>
  <si>
    <t>（２）　滑動に対する照査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</si>
</sst>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_);[Red]\(0.0\)"/>
    <numFmt numFmtId="183" formatCode="0.0_ "/>
    <numFmt numFmtId="184" formatCode="0.00_);[Red]\(0.00\)"/>
    <numFmt numFmtId="185" formatCode="0.000_);[Red]\(0.000\)"/>
    <numFmt numFmtId="186" formatCode="0.00_ "/>
    <numFmt numFmtId="187" formatCode="0_);[Red]\(0\)"/>
    <numFmt numFmtId="188" formatCode="0.000000000000000_);[Red]\(0.000000000000000\)"/>
    <numFmt numFmtId="189" formatCode="0.0000000000000000_);[Red]\(0.0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_ "/>
    <numFmt numFmtId="197" formatCode="0.00000000_);[Red]\(0.00000000\)"/>
    <numFmt numFmtId="198" formatCode="0.0000000_);[Red]\(0.0000000\)"/>
    <numFmt numFmtId="199" formatCode="0_ "/>
    <numFmt numFmtId="200" formatCode="0.000000000"/>
    <numFmt numFmtId="201" formatCode="0.00000000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sz val="11"/>
      <color indexed="8"/>
      <name val="ＭＳ 明朝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ＭＳ Ｐゴシック"/>
      <family val="3"/>
    </font>
    <font>
      <sz val="10"/>
      <name val="ＭＳ 明朝"/>
      <family val="1"/>
    </font>
    <font>
      <i/>
      <sz val="10"/>
      <name val="Symbol"/>
      <family val="1"/>
    </font>
    <font>
      <sz val="6"/>
      <name val="ＭＳ Ｐ明朝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ＭＳ Ｐ明朝"/>
      <family val="1"/>
    </font>
    <font>
      <sz val="8"/>
      <name val="ＭＳ 明朝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1.75"/>
      <name val="ＭＳ Ｐゴシック"/>
      <family val="3"/>
    </font>
    <font>
      <sz val="2"/>
      <name val="ＭＳ Ｐゴシック"/>
      <family val="3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vertAlign val="subscript"/>
      <sz val="8"/>
      <name val="Times New Roman"/>
      <family val="1"/>
    </font>
    <font>
      <sz val="9.5"/>
      <name val="ＭＳ Ｐゴシック"/>
      <family val="3"/>
    </font>
    <font>
      <sz val="8"/>
      <name val="ＭＳ Ｐゴシック"/>
      <family val="3"/>
    </font>
    <font>
      <sz val="2.25"/>
      <name val="ＭＳ Ｐゴシック"/>
      <family val="3"/>
    </font>
    <font>
      <sz val="5.2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4.25"/>
      <name val="ＭＳ 明朝"/>
      <family val="1"/>
    </font>
    <font>
      <sz val="9.75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9.8"/>
      <color indexed="36"/>
      <name val="明朝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left" vertical="center"/>
    </xf>
    <xf numFmtId="0" fontId="9" fillId="0" borderId="0" xfId="0" applyFont="1" applyFill="1" applyAlignment="1" quotePrefix="1">
      <alignment horizontal="right" vertical="center"/>
    </xf>
    <xf numFmtId="176" fontId="19" fillId="0" borderId="0" xfId="0" applyNumberFormat="1" applyFont="1" applyFill="1" applyBorder="1" applyAlignment="1" quotePrefix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2" fontId="19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quotePrefix="1">
      <alignment horizontal="left" vertical="center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9" fillId="0" borderId="0" xfId="0" applyFont="1" applyFill="1" applyAlignment="1" quotePrefix="1">
      <alignment horizontal="right" vertical="center"/>
    </xf>
    <xf numFmtId="176" fontId="9" fillId="0" borderId="0" xfId="0" applyNumberFormat="1" applyFont="1" applyFill="1" applyAlignment="1" quotePrefix="1">
      <alignment horizontal="right" vertical="center"/>
    </xf>
    <xf numFmtId="176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right" vertical="center"/>
    </xf>
    <xf numFmtId="181" fontId="8" fillId="0" borderId="5" xfId="0" applyNumberFormat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 quotePrefix="1">
      <alignment horizontal="center" vertical="center"/>
    </xf>
    <xf numFmtId="181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1" fontId="8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8" fillId="2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81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quotePrefix="1">
      <alignment horizontal="left"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quotePrefix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8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Alignment="1">
      <alignment vertical="center"/>
    </xf>
    <xf numFmtId="0" fontId="8" fillId="3" borderId="13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left" vertical="center" shrinkToFit="1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Alignment="1" quotePrefix="1">
      <alignment horizontal="left" vertical="center"/>
    </xf>
    <xf numFmtId="176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181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81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96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5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2" fontId="8" fillId="0" borderId="6" xfId="0" applyNumberFormat="1" applyFont="1" applyFill="1" applyBorder="1" applyAlignment="1" applyProtection="1">
      <alignment horizontal="center" vertical="center"/>
      <protection locked="0"/>
    </xf>
    <xf numFmtId="2" fontId="8" fillId="0" borderId="7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81" fontId="8" fillId="0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6" xfId="0" applyFont="1" applyFill="1" applyBorder="1" applyAlignment="1">
      <alignment vertical="center"/>
    </xf>
    <xf numFmtId="2" fontId="8" fillId="4" borderId="7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right" vertical="center"/>
    </xf>
    <xf numFmtId="0" fontId="0" fillId="4" borderId="6" xfId="0" applyFill="1" applyBorder="1" applyAlignment="1">
      <alignment vertical="center" shrinkToFit="1"/>
    </xf>
    <xf numFmtId="0" fontId="24" fillId="4" borderId="0" xfId="0" applyFont="1" applyFill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181" fontId="8" fillId="4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4" borderId="6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19" fillId="0" borderId="0" xfId="0" applyFont="1" applyFill="1" applyBorder="1" applyAlignment="1" quotePrefix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 quotePrefix="1">
      <alignment horizontal="left" vertical="center"/>
    </xf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center" vertical="center"/>
    </xf>
    <xf numFmtId="176" fontId="8" fillId="5" borderId="4" xfId="0" applyNumberFormat="1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'出力'!$AE$415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'出力'!$AE$416:$AE$625</c:f>
              <c:numCache>
                <c:ptCount val="210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'出力'!$AF$415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'出力'!$AF$416:$AF$625</c:f>
              <c:numCache>
                <c:ptCount val="210"/>
                <c:pt idx="5">
                  <c:v>3.5</c:v>
                </c:pt>
                <c:pt idx="6">
                  <c:v>5.5</c:v>
                </c:pt>
                <c:pt idx="7">
                  <c:v>5.5</c:v>
                </c:pt>
                <c:pt idx="8">
                  <c:v>3.5</c:v>
                </c:pt>
                <c:pt idx="9">
                  <c:v>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'出力'!$AG$415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'出力'!$AG$416:$AG$625</c:f>
              <c:numCache>
                <c:ptCount val="210"/>
                <c:pt idx="10">
                  <c:v>4</c:v>
                </c:pt>
                <c:pt idx="11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'出力'!$AH$415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'出力'!$AH$416:$AH$625</c:f>
              <c:numCache>
                <c:ptCount val="210"/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'出力'!$AI$415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'出力'!$AI$416:$AI$625</c:f>
              <c:numCache>
                <c:ptCount val="210"/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'出力'!$AJ$415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'出力'!$AJ$416:$AJ$625</c:f>
              <c:numCache>
                <c:ptCount val="210"/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'出力'!$AK$415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'出力'!$AK$416:$AK$625</c:f>
              <c:numCache>
                <c:ptCount val="210"/>
                <c:pt idx="22">
                  <c:v>0</c:v>
                </c:pt>
                <c:pt idx="23">
                  <c:v>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'出力'!$AL$415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'出力'!$AL$416:$AL$625</c:f>
              <c:numCache>
                <c:ptCount val="210"/>
                <c:pt idx="24">
                  <c:v>3.5</c:v>
                </c:pt>
                <c:pt idx="25">
                  <c:v>5.5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'出力'!$AM$415</c:f>
              <c:strCache>
                <c:ptCount val="1"/>
                <c:pt idx="0">
                  <c:v>y軸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'出力'!$AM$416:$AM$625</c:f>
              <c:numCache>
                <c:ptCount val="210"/>
                <c:pt idx="26">
                  <c:v>7</c:v>
                </c:pt>
                <c:pt idx="27">
                  <c:v>10.910537210305604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'出力'!$AN$415</c:f>
              <c:strCache>
                <c:ptCount val="1"/>
                <c:pt idx="0">
                  <c:v>x軸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'出力'!$AN$416:$AN$625</c:f>
              <c:numCache>
                <c:ptCount val="210"/>
                <c:pt idx="28">
                  <c:v>7</c:v>
                </c:pt>
                <c:pt idx="29">
                  <c:v>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'出力'!$AO$415</c:f>
              <c:strCache>
                <c:ptCount val="1"/>
                <c:pt idx="0">
                  <c:v>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'出力'!$AO$416:$AO$625</c:f>
              <c:numCache>
                <c:ptCount val="210"/>
                <c:pt idx="30">
                  <c:v>7</c:v>
                </c:pt>
                <c:pt idx="31">
                  <c:v>7.34592875920818</c:v>
                </c:pt>
                <c:pt idx="32">
                  <c:v>7.672079621985634</c:v>
                </c:pt>
                <c:pt idx="33">
                  <c:v>7.9793299951335745</c:v>
                </c:pt>
                <c:pt idx="34">
                  <c:v>8.268505431055662</c:v>
                </c:pt>
                <c:pt idx="35">
                  <c:v>8.540383182435967</c:v>
                </c:pt>
                <c:pt idx="36">
                  <c:v>8.795695470460268</c:v>
                </c:pt>
                <c:pt idx="37">
                  <c:v>9.035132492854972</c:v>
                </c:pt>
                <c:pt idx="38">
                  <c:v>10.37683263879184</c:v>
                </c:pt>
                <c:pt idx="39">
                  <c:v>10.443288146771499</c:v>
                </c:pt>
                <c:pt idx="40">
                  <c:v>10.502662038029067</c:v>
                </c:pt>
                <c:pt idx="41">
                  <c:v>10.555044218449508</c:v>
                </c:pt>
                <c:pt idx="42">
                  <c:v>10.600526243996878</c:v>
                </c:pt>
                <c:pt idx="43">
                  <c:v>10.639200652792848</c:v>
                </c:pt>
                <c:pt idx="44">
                  <c:v>10.671160384937082</c:v>
                </c:pt>
                <c:pt idx="45">
                  <c:v>10.696498279303052</c:v>
                </c:pt>
                <c:pt idx="46">
                  <c:v>10.715306637873717</c:v>
                </c:pt>
                <c:pt idx="47">
                  <c:v>10.727676849340098</c:v>
                </c:pt>
                <c:pt idx="48">
                  <c:v>10.733699064695974</c:v>
                </c:pt>
                <c:pt idx="49">
                  <c:v>10.733461918443524</c:v>
                </c:pt>
                <c:pt idx="50">
                  <c:v>10.727052289794909</c:v>
                </c:pt>
                <c:pt idx="51">
                  <c:v>10.714555098928557</c:v>
                </c:pt>
                <c:pt idx="52">
                  <c:v>10.696053133948642</c:v>
                </c:pt>
                <c:pt idx="53">
                  <c:v>10.671626904713161</c:v>
                </c:pt>
                <c:pt idx="54">
                  <c:v>10.641354520149353</c:v>
                </c:pt>
                <c:pt idx="55">
                  <c:v>10.605311586073249</c:v>
                </c:pt>
                <c:pt idx="56">
                  <c:v>10.563571120879796</c:v>
                </c:pt>
                <c:pt idx="57">
                  <c:v>10.51620348677761</c:v>
                </c:pt>
                <c:pt idx="58">
                  <c:v>10.463276334512845</c:v>
                </c:pt>
                <c:pt idx="59">
                  <c:v>10.430148765111909</c:v>
                </c:pt>
                <c:pt idx="60">
                  <c:v>10.491208671416409</c:v>
                </c:pt>
                <c:pt idx="61">
                  <c:v>10.546739412775583</c:v>
                </c:pt>
                <c:pt idx="62">
                  <c:v>10.596429250034838</c:v>
                </c:pt>
                <c:pt idx="63">
                  <c:v>10.639934881704237</c:v>
                </c:pt>
                <c:pt idx="64">
                  <c:v>10.677255455043879</c:v>
                </c:pt>
                <c:pt idx="65">
                  <c:v>10.711051565515344</c:v>
                </c:pt>
                <c:pt idx="66">
                  <c:v>10.741975919729242</c:v>
                </c:pt>
                <c:pt idx="67">
                  <c:v>10.770095942568084</c:v>
                </c:pt>
                <c:pt idx="68">
                  <c:v>10.79547571939068</c:v>
                </c:pt>
                <c:pt idx="69">
                  <c:v>10.818176141228987</c:v>
                </c:pt>
                <c:pt idx="70">
                  <c:v>10.838255041263503</c:v>
                </c:pt>
                <c:pt idx="71">
                  <c:v>10.855767323117577</c:v>
                </c:pt>
                <c:pt idx="72">
                  <c:v>10.87076508147103</c:v>
                </c:pt>
                <c:pt idx="73">
                  <c:v>10.8832977154566</c:v>
                </c:pt>
                <c:pt idx="74">
                  <c:v>10.893412035268874</c:v>
                </c:pt>
                <c:pt idx="75">
                  <c:v>10.90115236238398</c:v>
                </c:pt>
                <c:pt idx="76">
                  <c:v>10.90656062375945</c:v>
                </c:pt>
                <c:pt idx="77">
                  <c:v>10.909676440356915</c:v>
                </c:pt>
                <c:pt idx="78">
                  <c:v>10.910537210305604</c:v>
                </c:pt>
                <c:pt idx="79">
                  <c:v>10.909178187001698</c:v>
                </c:pt>
                <c:pt idx="80">
                  <c:v>10.90563255241737</c:v>
                </c:pt>
                <c:pt idx="81">
                  <c:v>10.899931485873648</c:v>
                </c:pt>
                <c:pt idx="82">
                  <c:v>10.892104228512995</c:v>
                </c:pt>
                <c:pt idx="83">
                  <c:v>10.88217814369036</c:v>
                </c:pt>
                <c:pt idx="84">
                  <c:v>10.870178773485772</c:v>
                </c:pt>
                <c:pt idx="85">
                  <c:v>10.856129891526649</c:v>
                </c:pt>
                <c:pt idx="86">
                  <c:v>10.840053552294275</c:v>
                </c:pt>
                <c:pt idx="87">
                  <c:v>10.821970137076011</c:v>
                </c:pt>
                <c:pt idx="88">
                  <c:v>10.801898396712712</c:v>
                </c:pt>
                <c:pt idx="89">
                  <c:v>10.77985549127955</c:v>
                </c:pt>
                <c:pt idx="90">
                  <c:v>10.755857026827808</c:v>
                </c:pt>
                <c:pt idx="91">
                  <c:v>10.72991708930525</c:v>
                </c:pt>
                <c:pt idx="92">
                  <c:v>10.702048275763211</c:v>
                </c:pt>
                <c:pt idx="93">
                  <c:v>10.672261722949731</c:v>
                </c:pt>
                <c:pt idx="94">
                  <c:v>10.640567133379625</c:v>
                </c:pt>
                <c:pt idx="95">
                  <c:v>10.60697279896439</c:v>
                </c:pt>
                <c:pt idx="96">
                  <c:v>10.571485622277336</c:v>
                </c:pt>
                <c:pt idx="97">
                  <c:v>10.534111135522041</c:v>
                </c:pt>
                <c:pt idx="98">
                  <c:v>10.494853517265375</c:v>
                </c:pt>
                <c:pt idx="99">
                  <c:v>10.453715606989764</c:v>
                </c:pt>
                <c:pt idx="100">
                  <c:v>10.410698917512946</c:v>
                </c:pt>
                <c:pt idx="101">
                  <c:v>10.365803645317364</c:v>
                </c:pt>
                <c:pt idx="102">
                  <c:v>10.31902867882551</c:v>
                </c:pt>
                <c:pt idx="103">
                  <c:v>10.270371604651638</c:v>
                </c:pt>
                <c:pt idx="104">
                  <c:v>10.219828711854799</c:v>
                </c:pt>
                <c:pt idx="105">
                  <c:v>10.167394994212572</c:v>
                </c:pt>
                <c:pt idx="106">
                  <c:v>10.113064150529556</c:v>
                </c:pt>
                <c:pt idx="107">
                  <c:v>10.056828582989363</c:v>
                </c:pt>
                <c:pt idx="108">
                  <c:v>9.998679393553559</c:v>
                </c:pt>
                <c:pt idx="109">
                  <c:v>9.938606378405856</c:v>
                </c:pt>
                <c:pt idx="110">
                  <c:v>9.876598020434596</c:v>
                </c:pt>
                <c:pt idx="111">
                  <c:v>9.81264147974138</c:v>
                </c:pt>
                <c:pt idx="112">
                  <c:v>9.746722582158387</c:v>
                </c:pt>
                <c:pt idx="113">
                  <c:v>9.678825805751687</c:v>
                </c:pt>
                <c:pt idx="114">
                  <c:v>9.6089342652824</c:v>
                </c:pt>
                <c:pt idx="115">
                  <c:v>9.537029694592098</c:v>
                </c:pt>
                <c:pt idx="116">
                  <c:v>9.463092426873216</c:v>
                </c:pt>
                <c:pt idx="117">
                  <c:v>9.387101372779458</c:v>
                </c:pt>
                <c:pt idx="118">
                  <c:v>9.309033996325294</c:v>
                </c:pt>
                <c:pt idx="119">
                  <c:v>9.228866288517429</c:v>
                </c:pt>
                <c:pt idx="120">
                  <c:v>9.146572738654859</c:v>
                </c:pt>
                <c:pt idx="121">
                  <c:v>9.06212630322741</c:v>
                </c:pt>
                <c:pt idx="122">
                  <c:v>8.975498372335839</c:v>
                </c:pt>
                <c:pt idx="123">
                  <c:v>8.886658733549304</c:v>
                </c:pt>
                <c:pt idx="124">
                  <c:v>8.79557553310847</c:v>
                </c:pt>
                <c:pt idx="125">
                  <c:v>8.702215234374554</c:v>
                </c:pt>
                <c:pt idx="126">
                  <c:v>8.606542573416258</c:v>
                </c:pt>
                <c:pt idx="127">
                  <c:v>8.508520511617668</c:v>
                </c:pt>
                <c:pt idx="128">
                  <c:v>8.40811018518089</c:v>
                </c:pt>
                <c:pt idx="129">
                  <c:v>8.305270851387263</c:v>
                </c:pt>
                <c:pt idx="130">
                  <c:v>8.199959831470524</c:v>
                </c:pt>
                <c:pt idx="131">
                  <c:v>8.092132449944108</c:v>
                </c:pt>
                <c:pt idx="132">
                  <c:v>7.981741970212867</c:v>
                </c:pt>
                <c:pt idx="133">
                  <c:v>7.868739526286907</c:v>
                </c:pt>
                <c:pt idx="134">
                  <c:v>7.753074050401661</c:v>
                </c:pt>
                <c:pt idx="135">
                  <c:v>7.634692196333859</c:v>
                </c:pt>
                <c:pt idx="136">
                  <c:v>7.5135382581877135</c:v>
                </c:pt>
                <c:pt idx="137">
                  <c:v>7.38955408440898</c:v>
                </c:pt>
                <c:pt idx="138">
                  <c:v>7.262678986766865</c:v>
                </c:pt>
                <c:pt idx="139">
                  <c:v>7.1328496440247235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'出力'!$AP$415</c:f>
              <c:strCache>
                <c:ptCount val="1"/>
                <c:pt idx="0">
                  <c:v>主働土圧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'出力'!$AP$416:$AP$625</c:f>
              <c:numCache>
                <c:ptCount val="210"/>
                <c:pt idx="140">
                  <c:v>7</c:v>
                </c:pt>
                <c:pt idx="141">
                  <c:v>10.910537210305604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'出力'!$AQ$415</c:f>
              <c:strCache>
                <c:ptCount val="1"/>
                <c:pt idx="0">
                  <c:v>y軸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'出力'!$AQ$416:$AQ$625</c:f>
              <c:numCache>
                <c:ptCount val="210"/>
                <c:pt idx="142">
                  <c:v>11.910537210305604</c:v>
                </c:pt>
                <c:pt idx="143">
                  <c:v>13.922659352178556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'出力'!$AR$415</c:f>
              <c:strCache>
                <c:ptCount val="1"/>
                <c:pt idx="0">
                  <c:v>x軸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'出力'!$AR$416:$AR$625</c:f>
              <c:numCache>
                <c:ptCount val="210"/>
                <c:pt idx="144">
                  <c:v>11.910537210305604</c:v>
                </c:pt>
                <c:pt idx="145">
                  <c:v>11.910537210305604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'出力'!$AS$415</c:f>
              <c:strCache>
                <c:ptCount val="1"/>
                <c:pt idx="0">
                  <c:v>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'出力'!$AS$416:$AS$625</c:f>
              <c:numCache>
                <c:ptCount val="210"/>
                <c:pt idx="146">
                  <c:v>11.910537210305604</c:v>
                </c:pt>
                <c:pt idx="147">
                  <c:v>12.108818686781033</c:v>
                </c:pt>
                <c:pt idx="148">
                  <c:v>12.290277550659548</c:v>
                </c:pt>
                <c:pt idx="149">
                  <c:v>12.456417667712211</c:v>
                </c:pt>
                <c:pt idx="150">
                  <c:v>12.608572936830415</c:v>
                </c:pt>
                <c:pt idx="151">
                  <c:v>12.7479296216387</c:v>
                </c:pt>
                <c:pt idx="152">
                  <c:v>12.87554530068679</c:v>
                </c:pt>
                <c:pt idx="153">
                  <c:v>12.992365011618432</c:v>
                </c:pt>
                <c:pt idx="154">
                  <c:v>13.099235056163282</c:v>
                </c:pt>
                <c:pt idx="155">
                  <c:v>13.196914846652328</c:v>
                </c:pt>
                <c:pt idx="156">
                  <c:v>13.28608710600739</c:v>
                </c:pt>
                <c:pt idx="157">
                  <c:v>13.367366677994916</c:v>
                </c:pt>
                <c:pt idx="158">
                  <c:v>13.441308160051294</c:v>
                </c:pt>
                <c:pt idx="159">
                  <c:v>13.508412534940398</c:v>
                </c:pt>
                <c:pt idx="160">
                  <c:v>13.569132948158165</c:v>
                </c:pt>
                <c:pt idx="161">
                  <c:v>13.62387975400216</c:v>
                </c:pt>
                <c:pt idx="162">
                  <c:v>13.673024933517889</c:v>
                </c:pt>
                <c:pt idx="163">
                  <c:v>13.716905971284849</c:v>
                </c:pt>
                <c:pt idx="164">
                  <c:v>13.755829264555022</c:v>
                </c:pt>
                <c:pt idx="165">
                  <c:v>13.790073127080579</c:v>
                </c:pt>
                <c:pt idx="166">
                  <c:v>13.81989044064792</c:v>
                </c:pt>
                <c:pt idx="167">
                  <c:v>13.845510999536003</c:v>
                </c:pt>
                <c:pt idx="168">
                  <c:v>13.867143586567979</c:v>
                </c:pt>
                <c:pt idx="169">
                  <c:v>13.88497781390807</c:v>
                </c:pt>
                <c:pt idx="170">
                  <c:v>13.899185757092473</c:v>
                </c:pt>
                <c:pt idx="171">
                  <c:v>13.909923406829503</c:v>
                </c:pt>
                <c:pt idx="172">
                  <c:v>13.917331959741755</c:v>
                </c:pt>
                <c:pt idx="173">
                  <c:v>13.921538966354355</c:v>
                </c:pt>
                <c:pt idx="174">
                  <c:v>13.922659352178556</c:v>
                </c:pt>
                <c:pt idx="175">
                  <c:v>13.920796325632715</c:v>
                </c:pt>
                <c:pt idx="176">
                  <c:v>13.916042184727925</c:v>
                </c:pt>
                <c:pt idx="177">
                  <c:v>13.908479032877873</c:v>
                </c:pt>
                <c:pt idx="178">
                  <c:v>13.898179412833262</c:v>
                </c:pt>
                <c:pt idx="179">
                  <c:v>13.885206866558635</c:v>
                </c:pt>
                <c:pt idx="180">
                  <c:v>13.869616427836576</c:v>
                </c:pt>
                <c:pt idx="181">
                  <c:v>13.851455053478142</c:v>
                </c:pt>
                <c:pt idx="182">
                  <c:v>13.830761998220101</c:v>
                </c:pt>
                <c:pt idx="183">
                  <c:v>13.80756913768207</c:v>
                </c:pt>
                <c:pt idx="184">
                  <c:v>13.781901243126466</c:v>
                </c:pt>
                <c:pt idx="185">
                  <c:v>13.75377621119875</c:v>
                </c:pt>
                <c:pt idx="186">
                  <c:v>13.723205251314377</c:v>
                </c:pt>
                <c:pt idx="187">
                  <c:v>13.690193032893136</c:v>
                </c:pt>
                <c:pt idx="188">
                  <c:v>13.654737794212677</c:v>
                </c:pt>
                <c:pt idx="189">
                  <c:v>13.61683141425425</c:v>
                </c:pt>
                <c:pt idx="190">
                  <c:v>13.57645944853797</c:v>
                </c:pt>
                <c:pt idx="191">
                  <c:v>13.533601129586831</c:v>
                </c:pt>
                <c:pt idx="192">
                  <c:v>13.488229332312136</c:v>
                </c:pt>
                <c:pt idx="193">
                  <c:v>13.44031050427311</c:v>
                </c:pt>
                <c:pt idx="194">
                  <c:v>13.389804560424915</c:v>
                </c:pt>
                <c:pt idx="195">
                  <c:v>13.336664741626937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'出力'!$AT$415</c:f>
              <c:strCache>
                <c:ptCount val="1"/>
                <c:pt idx="0">
                  <c:v>主働土圧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'出力'!$AT$416:$AT$625</c:f>
              <c:numCache>
                <c:ptCount val="210"/>
                <c:pt idx="196">
                  <c:v>11.910537210305604</c:v>
                </c:pt>
                <c:pt idx="197">
                  <c:v>13.922659352178556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'出力'!$AU$415</c:f>
              <c:strCache>
                <c:ptCount val="1"/>
                <c:pt idx="0">
                  <c:v>下段擁壁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'出力'!$AU$416:$AU$625</c:f>
              <c:numCache>
                <c:ptCount val="210"/>
                <c:pt idx="198">
                  <c:v>0</c:v>
                </c:pt>
                <c:pt idx="199">
                  <c:v>-0.39081249999999995</c:v>
                </c:pt>
                <c:pt idx="200">
                  <c:v>-0.8116875000000001</c:v>
                </c:pt>
                <c:pt idx="201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'出力'!$AV$415</c:f>
              <c:strCache>
                <c:ptCount val="1"/>
                <c:pt idx="0">
                  <c:v>上段擁壁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'出力'!$AV$416:$AV$625</c:f>
              <c:numCache>
                <c:ptCount val="210"/>
                <c:pt idx="202">
                  <c:v>3.5</c:v>
                </c:pt>
                <c:pt idx="203">
                  <c:v>3.0258775510204083</c:v>
                </c:pt>
                <c:pt idx="204">
                  <c:v>3.2198367346938777</c:v>
                </c:pt>
                <c:pt idx="205">
                  <c:v>3.5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'出力'!$AW$415</c:f>
              <c:strCache>
                <c:ptCount val="1"/>
                <c:pt idx="0">
                  <c:v>下段擁壁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'出力'!$AW$416:$AW$625</c:f>
              <c:numCache>
                <c:ptCount val="210"/>
                <c:pt idx="206">
                  <c:v>0</c:v>
                </c:pt>
                <c:pt idx="207">
                  <c:v>1.443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'出力'!$AX$415</c:f>
              <c:strCache>
                <c:ptCount val="1"/>
                <c:pt idx="0">
                  <c:v>上段擁壁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>
                <c:ptCount val="210"/>
                <c:pt idx="0">
                  <c:v>0</c:v>
                </c:pt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0</c:v>
                </c:pt>
                <c:pt idx="5">
                  <c:v>5.4</c:v>
                </c:pt>
                <c:pt idx="6">
                  <c:v>6</c:v>
                </c:pt>
                <c:pt idx="7">
                  <c:v>6.4</c:v>
                </c:pt>
                <c:pt idx="8">
                  <c:v>6.800000000000001</c:v>
                </c:pt>
                <c:pt idx="9">
                  <c:v>5.4</c:v>
                </c:pt>
                <c:pt idx="10">
                  <c:v>2.4</c:v>
                </c:pt>
                <c:pt idx="11">
                  <c:v>5.55</c:v>
                </c:pt>
                <c:pt idx="12">
                  <c:v>6.4</c:v>
                </c:pt>
                <c:pt idx="13">
                  <c:v>6.4</c:v>
                </c:pt>
                <c:pt idx="14">
                  <c:v>9.4</c:v>
                </c:pt>
                <c:pt idx="15">
                  <c:v>2.4</c:v>
                </c:pt>
                <c:pt idx="16">
                  <c:v>2.4</c:v>
                </c:pt>
                <c:pt idx="17">
                  <c:v>5.55</c:v>
                </c:pt>
                <c:pt idx="18">
                  <c:v>5.55</c:v>
                </c:pt>
                <c:pt idx="19">
                  <c:v>6.4</c:v>
                </c:pt>
                <c:pt idx="20">
                  <c:v>6.4</c:v>
                </c:pt>
                <c:pt idx="21">
                  <c:v>9.4</c:v>
                </c:pt>
                <c:pt idx="22">
                  <c:v>2.4</c:v>
                </c:pt>
                <c:pt idx="23">
                  <c:v>4.803442476110242</c:v>
                </c:pt>
                <c:pt idx="24">
                  <c:v>6.800000000000001</c:v>
                </c:pt>
                <c:pt idx="25">
                  <c:v>7.819050898988858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7.398518023597401</c:v>
                </c:pt>
                <c:pt idx="30">
                  <c:v>7.398518023597401</c:v>
                </c:pt>
                <c:pt idx="31">
                  <c:v>7.306819030667176</c:v>
                </c:pt>
                <c:pt idx="32">
                  <c:v>7.217336721649108</c:v>
                </c:pt>
                <c:pt idx="33">
                  <c:v>7.129978532810329</c:v>
                </c:pt>
                <c:pt idx="34">
                  <c:v>7.044656875671436</c:v>
                </c:pt>
                <c:pt idx="35">
                  <c:v>6.961288804944219</c:v>
                </c:pt>
                <c:pt idx="36">
                  <c:v>6.879795712675776</c:v>
                </c:pt>
                <c:pt idx="37">
                  <c:v>6.800103046216341</c:v>
                </c:pt>
                <c:pt idx="38">
                  <c:v>6.72214004787268</c:v>
                </c:pt>
                <c:pt idx="39">
                  <c:v>6.6458395143252655</c:v>
                </c:pt>
                <c:pt idx="40">
                  <c:v>6.571137574079735</c:v>
                </c:pt>
                <c:pt idx="41">
                  <c:v>6.4979734813938865</c:v>
                </c:pt>
                <c:pt idx="42">
                  <c:v>6.426289425273534</c:v>
                </c:pt>
                <c:pt idx="43">
                  <c:v>6.356030352266135</c:v>
                </c:pt>
                <c:pt idx="44">
                  <c:v>6.287143801902175</c:v>
                </c:pt>
                <c:pt idx="45">
                  <c:v>6.219579753742449</c:v>
                </c:pt>
                <c:pt idx="46">
                  <c:v>6.153290485086389</c:v>
                </c:pt>
                <c:pt idx="47">
                  <c:v>6.088230438483368</c:v>
                </c:pt>
                <c:pt idx="48">
                  <c:v>6.024356098266994</c:v>
                </c:pt>
                <c:pt idx="49">
                  <c:v>5.961625875402438</c:v>
                </c:pt>
                <c:pt idx="50">
                  <c:v>5.9</c:v>
                </c:pt>
                <c:pt idx="51">
                  <c:v>5.839440420904915</c:v>
                </c:pt>
                <c:pt idx="52">
                  <c:v>5.77991071182476</c:v>
                </c:pt>
                <c:pt idx="53">
                  <c:v>5.72137598350208</c:v>
                </c:pt>
                <c:pt idx="54">
                  <c:v>5.663802801481816</c:v>
                </c:pt>
                <c:pt idx="55">
                  <c:v>5.607159109060982</c:v>
                </c:pt>
                <c:pt idx="56">
                  <c:v>5.5514141550424405</c:v>
                </c:pt>
                <c:pt idx="57">
                  <c:v>5.496538425945804</c:v>
                </c:pt>
                <c:pt idx="58">
                  <c:v>5.442503582356794</c:v>
                </c:pt>
                <c:pt idx="59">
                  <c:v>5.389282399122132</c:v>
                </c:pt>
                <c:pt idx="60">
                  <c:v>5.3368487091204795</c:v>
                </c:pt>
                <c:pt idx="61">
                  <c:v>5.285177350361235</c:v>
                </c:pt>
                <c:pt idx="62">
                  <c:v>5.234244116182525</c:v>
                </c:pt>
                <c:pt idx="63">
                  <c:v>5.1840257083373995</c:v>
                </c:pt>
                <c:pt idx="64">
                  <c:v>5.134499692773511</c:v>
                </c:pt>
                <c:pt idx="65">
                  <c:v>5.085644457926361</c:v>
                </c:pt>
                <c:pt idx="66">
                  <c:v>5.03743917535978</c:v>
                </c:pt>
                <c:pt idx="67">
                  <c:v>4.9898637625997075</c:v>
                </c:pt>
                <c:pt idx="68">
                  <c:v>4.942898848018763</c:v>
                </c:pt>
                <c:pt idx="69">
                  <c:v>4.89652573763952</c:v>
                </c:pt>
                <c:pt idx="70">
                  <c:v>4.850726383733985</c:v>
                </c:pt>
                <c:pt idx="71">
                  <c:v>4.805483355105646</c:v>
                </c:pt>
                <c:pt idx="72">
                  <c:v>4.760779808948493</c:v>
                </c:pt>
                <c:pt idx="73">
                  <c:v>4.71659946418492</c:v>
                </c:pt>
                <c:pt idx="74">
                  <c:v>4.672926576191287</c:v>
                </c:pt>
                <c:pt idx="75">
                  <c:v>4.629745912826226</c:v>
                </c:pt>
                <c:pt idx="76">
                  <c:v>4.587042731682645</c:v>
                </c:pt>
                <c:pt idx="77">
                  <c:v>4.544802758489762</c:v>
                </c:pt>
                <c:pt idx="78">
                  <c:v>4.503012166596462</c:v>
                </c:pt>
                <c:pt idx="79">
                  <c:v>4.461657557471929</c:v>
                </c:pt>
                <c:pt idx="80">
                  <c:v>4.42072594216369</c:v>
                </c:pt>
                <c:pt idx="81">
                  <c:v>4.3802047236571955</c:v>
                </c:pt>
                <c:pt idx="82">
                  <c:v>4.340081680084691</c:v>
                </c:pt>
                <c:pt idx="83">
                  <c:v>4.300344948734529</c:v>
                </c:pt>
                <c:pt idx="84">
                  <c:v>4.260983010815176</c:v>
                </c:pt>
                <c:pt idx="85">
                  <c:v>4.221984676931113</c:v>
                </c:pt>
                <c:pt idx="86">
                  <c:v>4.183339073230501</c:v>
                </c:pt>
                <c:pt idx="87">
                  <c:v>4.14503562818701</c:v>
                </c:pt>
                <c:pt idx="88">
                  <c:v>4.107064059980515</c:v>
                </c:pt>
                <c:pt idx="89">
                  <c:v>4.069414364443562</c:v>
                </c:pt>
                <c:pt idx="90">
                  <c:v>4.032076803542495</c:v>
                </c:pt>
                <c:pt idx="91">
                  <c:v>3.9950418943640456</c:v>
                </c:pt>
                <c:pt idx="92">
                  <c:v>3.958300398579876</c:v>
                </c:pt>
                <c:pt idx="93">
                  <c:v>3.9218433123632677</c:v>
                </c:pt>
                <c:pt idx="94">
                  <c:v>3.885661856733617</c:v>
                </c:pt>
                <c:pt idx="95">
                  <c:v>3.8497474683058326</c:v>
                </c:pt>
                <c:pt idx="96">
                  <c:v>3.8140917904230482</c:v>
                </c:pt>
                <c:pt idx="97">
                  <c:v>3.778686664652298</c:v>
                </c:pt>
                <c:pt idx="98">
                  <c:v>3.7435241226239557</c:v>
                </c:pt>
                <c:pt idx="99">
                  <c:v>3.708596378196816</c:v>
                </c:pt>
                <c:pt idx="100">
                  <c:v>3.673895819931708</c:v>
                </c:pt>
                <c:pt idx="101">
                  <c:v>3.6394150038574438</c:v>
                </c:pt>
                <c:pt idx="102">
                  <c:v>3.6051466465138287</c:v>
                </c:pt>
                <c:pt idx="103">
                  <c:v>3.571083618257256</c:v>
                </c:pt>
                <c:pt idx="104">
                  <c:v>3.5372189368151723</c:v>
                </c:pt>
                <c:pt idx="105">
                  <c:v>3.5035457610764427</c:v>
                </c:pt>
                <c:pt idx="106">
                  <c:v>3.4700573851053114</c:v>
                </c:pt>
                <c:pt idx="107">
                  <c:v>3.4367472323672805</c:v>
                </c:pt>
                <c:pt idx="108">
                  <c:v>3.4036088501558277</c:v>
                </c:pt>
                <c:pt idx="109">
                  <c:v>3.370635904209435</c:v>
                </c:pt>
                <c:pt idx="110">
                  <c:v>3.337822173508929</c:v>
                </c:pt>
                <c:pt idx="111">
                  <c:v>3.3051615452456162</c:v>
                </c:pt>
                <c:pt idx="112">
                  <c:v>3.272648009951133</c:v>
                </c:pt>
                <c:pt idx="113">
                  <c:v>3.240275656780406</c:v>
                </c:pt>
                <c:pt idx="114">
                  <c:v>3.20803866893947</c:v>
                </c:pt>
                <c:pt idx="115">
                  <c:v>3.1759313192502896</c:v>
                </c:pt>
                <c:pt idx="116">
                  <c:v>3.143947965845078</c:v>
                </c:pt>
                <c:pt idx="117">
                  <c:v>3.1120830479829484</c:v>
                </c:pt>
                <c:pt idx="118">
                  <c:v>3.080331081982015</c:v>
                </c:pt>
                <c:pt idx="119">
                  <c:v>3.04868665726037</c:v>
                </c:pt>
                <c:pt idx="120">
                  <c:v>3.0171444324796277</c:v>
                </c:pt>
                <c:pt idx="121">
                  <c:v>2.985699131784969</c:v>
                </c:pt>
                <c:pt idx="122">
                  <c:v>2.954345541135877</c:v>
                </c:pt>
                <c:pt idx="123">
                  <c:v>2.9230785047219476</c:v>
                </c:pt>
                <c:pt idx="124">
                  <c:v>2.891892921458371</c:v>
                </c:pt>
                <c:pt idx="125">
                  <c:v>2.8607837415558857</c:v>
                </c:pt>
                <c:pt idx="126">
                  <c:v>2.829745963160166</c:v>
                </c:pt>
                <c:pt idx="127">
                  <c:v>2.798774629055759</c:v>
                </c:pt>
                <c:pt idx="128">
                  <c:v>2.7678648234298673</c:v>
                </c:pt>
                <c:pt idx="129">
                  <c:v>2.7370116686913852</c:v>
                </c:pt>
                <c:pt idx="130">
                  <c:v>2.7062103223407337</c:v>
                </c:pt>
                <c:pt idx="131">
                  <c:v>2.6754559738861645</c:v>
                </c:pt>
                <c:pt idx="132">
                  <c:v>2.644743841802287</c:v>
                </c:pt>
                <c:pt idx="133">
                  <c:v>2.614069170526695</c:v>
                </c:pt>
                <c:pt idx="134">
                  <c:v>2.5834272274906445</c:v>
                </c:pt>
                <c:pt idx="135">
                  <c:v>2.552813300179793</c:v>
                </c:pt>
                <c:pt idx="136">
                  <c:v>2.522222693221117</c:v>
                </c:pt>
                <c:pt idx="137">
                  <c:v>2.4916507254921543</c:v>
                </c:pt>
                <c:pt idx="138">
                  <c:v>2.461092727248761</c:v>
                </c:pt>
                <c:pt idx="139">
                  <c:v>2.4305440372676554</c:v>
                </c:pt>
                <c:pt idx="140">
                  <c:v>4.503012166596462</c:v>
                </c:pt>
                <c:pt idx="141">
                  <c:v>4.503012166596462</c:v>
                </c:pt>
                <c:pt idx="142">
                  <c:v>6.800000000000001</c:v>
                </c:pt>
                <c:pt idx="143">
                  <c:v>6.800000000000001</c:v>
                </c:pt>
                <c:pt idx="144">
                  <c:v>6.800000000000001</c:v>
                </c:pt>
                <c:pt idx="145">
                  <c:v>9.65629601348423</c:v>
                </c:pt>
                <c:pt idx="146">
                  <c:v>9.65629601348423</c:v>
                </c:pt>
                <c:pt idx="147">
                  <c:v>9.552763840942347</c:v>
                </c:pt>
                <c:pt idx="148">
                  <c:v>9.45408964324082</c:v>
                </c:pt>
                <c:pt idx="149">
                  <c:v>9.35988326438616</c:v>
                </c:pt>
                <c:pt idx="150">
                  <c:v>9.269794313070104</c:v>
                </c:pt>
                <c:pt idx="151">
                  <c:v>9.183507185188422</c:v>
                </c:pt>
                <c:pt idx="152">
                  <c:v>9.10073681444202</c:v>
                </c:pt>
                <c:pt idx="153">
                  <c:v>9.021225029658387</c:v>
                </c:pt>
                <c:pt idx="154">
                  <c:v>8.944737420049366</c:v>
                </c:pt>
                <c:pt idx="155">
                  <c:v>8.87106062758114</c:v>
                </c:pt>
                <c:pt idx="156">
                  <c:v>8.8</c:v>
                </c:pt>
                <c:pt idx="157">
                  <c:v>8.731377549614148</c:v>
                </c:pt>
                <c:pt idx="158">
                  <c:v>8.665030172275324</c:v>
                </c:pt>
                <c:pt idx="159">
                  <c:v>8.60080808859568</c:v>
                </c:pt>
                <c:pt idx="160">
                  <c:v>8.538573475632454</c:v>
                </c:pt>
                <c:pt idx="161">
                  <c:v>8.478199262354561</c:v>
                </c:pt>
                <c:pt idx="162">
                  <c:v>8.419568066390015</c:v>
                </c:pt>
                <c:pt idx="163">
                  <c:v>8.362571253013435</c:v>
                </c:pt>
                <c:pt idx="164">
                  <c:v>8.307108100205589</c:v>
                </c:pt>
                <c:pt idx="165">
                  <c:v>8.253085056010722</c:v>
                </c:pt>
                <c:pt idx="166">
                  <c:v>8.20041507641942</c:v>
                </c:pt>
                <c:pt idx="167">
                  <c:v>8.149017033684855</c:v>
                </c:pt>
                <c:pt idx="168">
                  <c:v>8.098815186395022</c:v>
                </c:pt>
                <c:pt idx="169">
                  <c:v>8.049738703818655</c:v>
                </c:pt>
                <c:pt idx="170">
                  <c:v>8.001721238055122</c:v>
                </c:pt>
                <c:pt idx="171">
                  <c:v>7.954700538379253</c:v>
                </c:pt>
                <c:pt idx="172">
                  <c:v>7.908618102905539</c:v>
                </c:pt>
                <c:pt idx="173">
                  <c:v>7.863418863322958</c:v>
                </c:pt>
                <c:pt idx="174">
                  <c:v>7.819050898988858</c:v>
                </c:pt>
                <c:pt idx="175">
                  <c:v>7.775465177131724</c:v>
                </c:pt>
                <c:pt idx="176">
                  <c:v>7.732615316309998</c:v>
                </c:pt>
                <c:pt idx="177">
                  <c:v>7.690457370617073</c:v>
                </c:pt>
                <c:pt idx="178">
                  <c:v>7.64894963241921</c:v>
                </c:pt>
                <c:pt idx="179">
                  <c:v>7.608052451670314</c:v>
                </c:pt>
                <c:pt idx="180">
                  <c:v>7.5677280700708325</c:v>
                </c:pt>
                <c:pt idx="181">
                  <c:v>7.527940468532406</c:v>
                </c:pt>
                <c:pt idx="182">
                  <c:v>7.488655226579331</c:v>
                </c:pt>
                <c:pt idx="183">
                  <c:v>7.4498393924658135</c:v>
                </c:pt>
                <c:pt idx="184">
                  <c:v>7.411461362917321</c:v>
                </c:pt>
                <c:pt idx="185">
                  <c:v>7.373490771517616</c:v>
                </c:pt>
                <c:pt idx="186">
                  <c:v>7.335898384862246</c:v>
                </c:pt>
                <c:pt idx="187">
                  <c:v>7.298656005686363</c:v>
                </c:pt>
                <c:pt idx="188">
                  <c:v>7.261736382251127</c:v>
                </c:pt>
                <c:pt idx="189">
                  <c:v>7.225113123340045</c:v>
                </c:pt>
                <c:pt idx="190">
                  <c:v>7.188760618275438</c:v>
                </c:pt>
                <c:pt idx="191">
                  <c:v>7.152653961416931</c:v>
                </c:pt>
                <c:pt idx="192">
                  <c:v>7.116768880649073</c:v>
                </c:pt>
                <c:pt idx="193">
                  <c:v>7.081081669404784</c:v>
                </c:pt>
                <c:pt idx="194">
                  <c:v>7.04556912180581</c:v>
                </c:pt>
                <c:pt idx="195">
                  <c:v>7.010208470531354</c:v>
                </c:pt>
                <c:pt idx="196">
                  <c:v>7.819050898988858</c:v>
                </c:pt>
                <c:pt idx="197">
                  <c:v>7.819050898988858</c:v>
                </c:pt>
                <c:pt idx="198">
                  <c:v>0</c:v>
                </c:pt>
                <c:pt idx="199">
                  <c:v>0</c:v>
                </c:pt>
                <c:pt idx="200">
                  <c:v>2.4</c:v>
                </c:pt>
                <c:pt idx="201">
                  <c:v>2.4</c:v>
                </c:pt>
                <c:pt idx="202">
                  <c:v>5.4</c:v>
                </c:pt>
                <c:pt idx="203">
                  <c:v>5.4</c:v>
                </c:pt>
                <c:pt idx="204">
                  <c:v>6.800000000000001</c:v>
                </c:pt>
                <c:pt idx="205">
                  <c:v>6.800000000000001</c:v>
                </c:pt>
                <c:pt idx="206">
                  <c:v>1.34</c:v>
                </c:pt>
                <c:pt idx="207">
                  <c:v>1.699</c:v>
                </c:pt>
                <c:pt idx="208">
                  <c:v>6.04</c:v>
                </c:pt>
                <c:pt idx="209">
                  <c:v>6.206</c:v>
                </c:pt>
              </c:numCache>
            </c:numRef>
          </c:xVal>
          <c:yVal>
            <c:numRef>
              <c:f>'出力'!$AX$416:$AX$625</c:f>
              <c:numCache>
                <c:ptCount val="210"/>
                <c:pt idx="208">
                  <c:v>3.5</c:v>
                </c:pt>
                <c:pt idx="209">
                  <c:v>4.0280000000000005</c:v>
                </c:pt>
              </c:numCache>
            </c:numRef>
          </c:yVal>
          <c:smooth val="0"/>
        </c:ser>
        <c:axId val="41593032"/>
        <c:axId val="38792969"/>
      </c:scatterChart>
      <c:valAx>
        <c:axId val="41593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792969"/>
        <c:crosses val="autoZero"/>
        <c:crossBetween val="midCat"/>
        <c:dispUnits/>
      </c:valAx>
      <c:valAx>
        <c:axId val="38792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5930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627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'出力'!$F$123</c:f>
              <c:strCache>
                <c:ptCount val="1"/>
                <c:pt idx="0">
                  <c:v>PA(kN/m)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'出力'!$B$124:$B$132</c:f>
              <c:numCache/>
            </c:numRef>
          </c:cat>
          <c:val>
            <c:numRef>
              <c:f>'出力'!$F$124:$F$132</c:f>
              <c:numCache/>
            </c:numRef>
          </c:val>
          <c:smooth val="0"/>
        </c:ser>
        <c:dropLines>
          <c:spPr>
            <a:ln w="12700">
              <a:solidFill/>
            </a:ln>
          </c:spPr>
        </c:dropLines>
        <c:axId val="13592402"/>
        <c:axId val="55222755"/>
      </c:lineChart>
      <c:catAx>
        <c:axId val="135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すべり角 </a:t>
                </a:r>
                <a:r>
                  <a:rPr lang="en-US" cap="none" sz="1000" b="0" i="1" u="none" baseline="0"/>
                  <a:t>w</a:t>
                </a:r>
                <a:r>
                  <a:rPr lang="en-US" cap="none" sz="1000" b="0" i="0" u="none" baseline="0"/>
                  <a:t>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222755"/>
        <c:crosses val="autoZero"/>
        <c:auto val="0"/>
        <c:lblOffset val="100"/>
        <c:noMultiLvlLbl val="0"/>
      </c:catAx>
      <c:valAx>
        <c:axId val="5522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P</a:t>
                </a:r>
                <a:r>
                  <a:rPr lang="en-US" cap="none" sz="1000" b="0" i="1" u="none" baseline="-25000"/>
                  <a:t>A</a:t>
                </a:r>
                <a:r>
                  <a:rPr lang="en-US" cap="none" sz="1000" b="0" i="0" u="none" baseline="0"/>
                  <a:t> (kM/m)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5924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899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'出力'!$AJ$10</c:f>
              <c:strCache>
                <c:ptCount val="1"/>
                <c:pt idx="0">
                  <c:v>擁壁盛土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'出力'!$AJ$11:$AJ$39</c:f>
              <c:numCache/>
            </c:numRef>
          </c:yVal>
          <c:smooth val="0"/>
        </c:ser>
        <c:ser>
          <c:idx val="1"/>
          <c:order val="1"/>
          <c:tx>
            <c:strRef>
              <c:f>'出力'!$AK$10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'出力'!$AK$11:$AK$39</c:f>
              <c:numCache/>
            </c:numRef>
          </c:yVal>
          <c:smooth val="0"/>
        </c:ser>
        <c:ser>
          <c:idx val="2"/>
          <c:order val="2"/>
          <c:tx>
            <c:strRef>
              <c:f>'出力'!$AL$10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'出力'!$AL$11:$AL$39</c:f>
              <c:numCache/>
            </c:numRef>
          </c:yVal>
          <c:smooth val="0"/>
        </c:ser>
        <c:ser>
          <c:idx val="3"/>
          <c:order val="3"/>
          <c:tx>
            <c:strRef>
              <c:f>'出力'!$AM$10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'出力'!$AM$11:$AM$39</c:f>
              <c:numCache/>
            </c:numRef>
          </c:yVal>
          <c:smooth val="0"/>
        </c:ser>
        <c:ser>
          <c:idx val="4"/>
          <c:order val="4"/>
          <c:tx>
            <c:strRef>
              <c:f>'出力'!$AN$10</c:f>
              <c:strCache>
                <c:ptCount val="1"/>
                <c:pt idx="0">
                  <c:v>自重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'出力'!$AI$11:$AI$39</c:f>
              <c:numCache/>
            </c:numRef>
          </c:xVal>
          <c:yVal>
            <c:numRef>
              <c:f>'出力'!$AN$11:$AN$39</c:f>
              <c:numCache/>
            </c:numRef>
          </c:yVal>
          <c:smooth val="0"/>
        </c:ser>
        <c:ser>
          <c:idx val="5"/>
          <c:order val="5"/>
          <c:tx>
            <c:strRef>
              <c:f>出力!#REF!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出力!#REF!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'出力'!$AO$10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'出力'!$AO$11:$AO$39</c:f>
              <c:numCache/>
            </c:numRef>
          </c:yVal>
          <c:smooth val="0"/>
        </c:ser>
        <c:ser>
          <c:idx val="7"/>
          <c:order val="7"/>
          <c:tx>
            <c:strRef>
              <c:f>出力!#REF!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出力!#REF!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出力!#REF!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出力!#REF!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出力!#REF!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出力!#REF!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'出力'!$AP$10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'出力'!$AP$11:$AP$39</c:f>
              <c:numCache/>
            </c:numRef>
          </c:yVal>
          <c:smooth val="0"/>
        </c:ser>
        <c:axId val="27242748"/>
        <c:axId val="43858141"/>
      </c:scatterChart>
      <c:valAx>
        <c:axId val="27242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858141"/>
        <c:crosses val="autoZero"/>
        <c:crossBetween val="midCat"/>
        <c:dispUnits/>
      </c:valAx>
      <c:valAx>
        <c:axId val="43858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2427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'出力'!$AE$415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'出力'!$AE$416:$AE$625</c:f>
              <c:numCache/>
            </c:numRef>
          </c:yVal>
          <c:smooth val="0"/>
        </c:ser>
        <c:ser>
          <c:idx val="1"/>
          <c:order val="1"/>
          <c:tx>
            <c:strRef>
              <c:f>'出力'!$AF$415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'出力'!$AF$416:$AF$625</c:f>
              <c:numCache/>
            </c:numRef>
          </c:yVal>
          <c:smooth val="0"/>
        </c:ser>
        <c:ser>
          <c:idx val="2"/>
          <c:order val="2"/>
          <c:tx>
            <c:strRef>
              <c:f>'出力'!$AG$415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'出力'!$AG$416:$AG$625</c:f>
              <c:numCache/>
            </c:numRef>
          </c:yVal>
          <c:smooth val="0"/>
        </c:ser>
        <c:ser>
          <c:idx val="3"/>
          <c:order val="3"/>
          <c:tx>
            <c:strRef>
              <c:f>'出力'!$AH$415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'出力'!$AH$416:$AH$625</c:f>
              <c:numCache/>
            </c:numRef>
          </c:yVal>
          <c:smooth val="0"/>
        </c:ser>
        <c:ser>
          <c:idx val="4"/>
          <c:order val="4"/>
          <c:tx>
            <c:strRef>
              <c:f>'出力'!$AI$415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'出力'!$AI$416:$AI$625</c:f>
              <c:numCache/>
            </c:numRef>
          </c:yVal>
          <c:smooth val="0"/>
        </c:ser>
        <c:ser>
          <c:idx val="5"/>
          <c:order val="5"/>
          <c:tx>
            <c:strRef>
              <c:f>'出力'!$AJ$415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'出力'!$AJ$416:$AJ$625</c:f>
              <c:numCache/>
            </c:numRef>
          </c:yVal>
          <c:smooth val="0"/>
        </c:ser>
        <c:ser>
          <c:idx val="6"/>
          <c:order val="6"/>
          <c:tx>
            <c:strRef>
              <c:f>'出力'!$AK$415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'出力'!$AD$416:$AD$625</c:f>
              <c:numCache/>
            </c:numRef>
          </c:xVal>
          <c:yVal>
            <c:numRef>
              <c:f>'出力'!$AK$416:$AK$625</c:f>
              <c:numCache/>
            </c:numRef>
          </c:yVal>
          <c:smooth val="0"/>
        </c:ser>
        <c:ser>
          <c:idx val="7"/>
          <c:order val="7"/>
          <c:tx>
            <c:strRef>
              <c:f>'出力'!$AL$415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'出力'!$AL$416:$AL$625</c:f>
              <c:numCache/>
            </c:numRef>
          </c:yVal>
          <c:smooth val="0"/>
        </c:ser>
        <c:ser>
          <c:idx val="8"/>
          <c:order val="8"/>
          <c:tx>
            <c:strRef>
              <c:f>'出力'!$AM$415</c:f>
              <c:strCache>
                <c:ptCount val="1"/>
                <c:pt idx="0">
                  <c:v>y軸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'出力'!$AM$416:$AM$625</c:f>
              <c:numCache/>
            </c:numRef>
          </c:yVal>
          <c:smooth val="0"/>
        </c:ser>
        <c:ser>
          <c:idx val="9"/>
          <c:order val="9"/>
          <c:tx>
            <c:strRef>
              <c:f>'出力'!$AN$415</c:f>
              <c:strCache>
                <c:ptCount val="1"/>
                <c:pt idx="0">
                  <c:v>x軸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'出力'!$AN$416:$AN$625</c:f>
              <c:numCache/>
            </c:numRef>
          </c:yVal>
          <c:smooth val="0"/>
        </c:ser>
        <c:ser>
          <c:idx val="10"/>
          <c:order val="10"/>
          <c:tx>
            <c:strRef>
              <c:f>'出力'!$AO$415</c:f>
              <c:strCache>
                <c:ptCount val="1"/>
                <c:pt idx="0">
                  <c:v>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'出力'!$AO$416:$AO$625</c:f>
              <c:numCache/>
            </c:numRef>
          </c:yVal>
          <c:smooth val="0"/>
        </c:ser>
        <c:ser>
          <c:idx val="11"/>
          <c:order val="11"/>
          <c:tx>
            <c:strRef>
              <c:f>'出力'!$AP$415</c:f>
              <c:strCache>
                <c:ptCount val="1"/>
                <c:pt idx="0">
                  <c:v>主働土圧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'出力'!$AP$416:$AP$625</c:f>
              <c:numCache/>
            </c:numRef>
          </c:yVal>
          <c:smooth val="0"/>
        </c:ser>
        <c:ser>
          <c:idx val="12"/>
          <c:order val="12"/>
          <c:tx>
            <c:strRef>
              <c:f>'出力'!$AQ$415</c:f>
              <c:strCache>
                <c:ptCount val="1"/>
                <c:pt idx="0">
                  <c:v>y軸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'出力'!$AD$416:$AD$625</c:f>
              <c:numCache/>
            </c:numRef>
          </c:xVal>
          <c:yVal>
            <c:numRef>
              <c:f>'出力'!$AQ$416:$AQ$625</c:f>
              <c:numCache/>
            </c:numRef>
          </c:yVal>
          <c:smooth val="0"/>
        </c:ser>
        <c:ser>
          <c:idx val="13"/>
          <c:order val="13"/>
          <c:tx>
            <c:strRef>
              <c:f>'出力'!$AR$415</c:f>
              <c:strCache>
                <c:ptCount val="1"/>
                <c:pt idx="0">
                  <c:v>x軸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'出力'!$AR$416:$AR$625</c:f>
              <c:numCache/>
            </c:numRef>
          </c:yVal>
          <c:smooth val="0"/>
        </c:ser>
        <c:ser>
          <c:idx val="14"/>
          <c:order val="14"/>
          <c:tx>
            <c:strRef>
              <c:f>'出力'!$AS$415</c:f>
              <c:strCache>
                <c:ptCount val="1"/>
                <c:pt idx="0">
                  <c:v>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'出力'!$AS$416:$AS$625</c:f>
              <c:numCache/>
            </c:numRef>
          </c:yVal>
          <c:smooth val="0"/>
        </c:ser>
        <c:ser>
          <c:idx val="15"/>
          <c:order val="15"/>
          <c:tx>
            <c:strRef>
              <c:f>'出力'!$AT$415</c:f>
              <c:strCache>
                <c:ptCount val="1"/>
                <c:pt idx="0">
                  <c:v>主働土圧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'出力'!$AT$416:$AT$625</c:f>
              <c:numCache/>
            </c:numRef>
          </c:yVal>
          <c:smooth val="0"/>
        </c:ser>
        <c:ser>
          <c:idx val="16"/>
          <c:order val="16"/>
          <c:tx>
            <c:strRef>
              <c:f>'出力'!$AU$415</c:f>
              <c:strCache>
                <c:ptCount val="1"/>
                <c:pt idx="0">
                  <c:v>下段擁壁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'出力'!$AU$416:$AU$625</c:f>
              <c:numCache/>
            </c:numRef>
          </c:yVal>
          <c:smooth val="0"/>
        </c:ser>
        <c:ser>
          <c:idx val="17"/>
          <c:order val="17"/>
          <c:tx>
            <c:strRef>
              <c:f>'出力'!$AV$415</c:f>
              <c:strCache>
                <c:ptCount val="1"/>
                <c:pt idx="0">
                  <c:v>上段擁壁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'出力'!$AV$416:$AV$625</c:f>
              <c:numCache/>
            </c:numRef>
          </c:yVal>
          <c:smooth val="0"/>
        </c:ser>
        <c:ser>
          <c:idx val="18"/>
          <c:order val="18"/>
          <c:tx>
            <c:strRef>
              <c:f>'出力'!$AW$415</c:f>
              <c:strCache>
                <c:ptCount val="1"/>
                <c:pt idx="0">
                  <c:v>下段擁壁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'出力'!$AW$416:$AW$625</c:f>
              <c:numCache/>
            </c:numRef>
          </c:yVal>
          <c:smooth val="0"/>
        </c:ser>
        <c:ser>
          <c:idx val="19"/>
          <c:order val="19"/>
          <c:tx>
            <c:strRef>
              <c:f>'出力'!$AX$415</c:f>
              <c:strCache>
                <c:ptCount val="1"/>
                <c:pt idx="0">
                  <c:v>上段擁壁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'出力'!$AX$416:$AX$625</c:f>
              <c:numCache/>
            </c:numRef>
          </c:yVal>
          <c:smooth val="0"/>
        </c:ser>
        <c:axId val="59178950"/>
        <c:axId val="62848503"/>
      </c:scatterChart>
      <c:valAx>
        <c:axId val="59178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62848503"/>
        <c:crosses val="autoZero"/>
        <c:crossBetween val="midCat"/>
        <c:dispUnits/>
      </c:valAx>
      <c:valAx>
        <c:axId val="62848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591789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0775"/>
          <c:w val="0.9155"/>
          <c:h val="0.842"/>
        </c:manualLayout>
      </c:layout>
      <c:lineChart>
        <c:grouping val="standard"/>
        <c:varyColors val="0"/>
        <c:ser>
          <c:idx val="1"/>
          <c:order val="0"/>
          <c:tx>
            <c:strRef>
              <c:f>'出力'!$G$384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'出力'!$C$385:$C$401</c:f>
              <c:numCache/>
            </c:numRef>
          </c:cat>
          <c:val>
            <c:numRef>
              <c:f>'出力'!$G$385:$G$401</c:f>
              <c:numCache/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28765616"/>
        <c:axId val="57563953"/>
      </c:lineChart>
      <c:catAx>
        <c:axId val="2876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すべり角ω(deg)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563953"/>
        <c:crosses val="autoZero"/>
        <c:auto val="1"/>
        <c:lblOffset val="100"/>
        <c:noMultiLvlLbl val="0"/>
      </c:catAx>
      <c:valAx>
        <c:axId val="57563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P</a:t>
                </a:r>
                <a:r>
                  <a:rPr lang="en-US" cap="none" sz="800" b="0" i="1" u="none" baseline="-25000"/>
                  <a:t>A</a:t>
                </a:r>
                <a:r>
                  <a:rPr lang="en-US" cap="none" sz="800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765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0.9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'出力'!$AE$415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'出力'!$AE$416:$AE$625</c:f>
              <c:numCache/>
            </c:numRef>
          </c:yVal>
          <c:smooth val="0"/>
        </c:ser>
        <c:ser>
          <c:idx val="1"/>
          <c:order val="1"/>
          <c:tx>
            <c:strRef>
              <c:f>'出力'!$AF$415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'出力'!$AF$416:$AF$625</c:f>
              <c:numCache/>
            </c:numRef>
          </c:yVal>
          <c:smooth val="0"/>
        </c:ser>
        <c:ser>
          <c:idx val="2"/>
          <c:order val="2"/>
          <c:tx>
            <c:strRef>
              <c:f>'出力'!$AG$415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'出力'!$AG$416:$AG$625</c:f>
              <c:numCache/>
            </c:numRef>
          </c:yVal>
          <c:smooth val="0"/>
        </c:ser>
        <c:ser>
          <c:idx val="3"/>
          <c:order val="3"/>
          <c:tx>
            <c:strRef>
              <c:f>'出力'!$AH$415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'出力'!$AH$416:$AH$625</c:f>
              <c:numCache/>
            </c:numRef>
          </c:yVal>
          <c:smooth val="0"/>
        </c:ser>
        <c:ser>
          <c:idx val="4"/>
          <c:order val="4"/>
          <c:tx>
            <c:strRef>
              <c:f>'出力'!$AI$415</c:f>
              <c:strCache>
                <c:ptCount val="1"/>
                <c:pt idx="0">
                  <c:v>下段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'出力'!$AI$416:$AI$625</c:f>
              <c:numCache/>
            </c:numRef>
          </c:yVal>
          <c:smooth val="0"/>
        </c:ser>
        <c:ser>
          <c:idx val="5"/>
          <c:order val="5"/>
          <c:tx>
            <c:strRef>
              <c:f>'出力'!$AJ$415</c:f>
              <c:strCache>
                <c:ptCount val="1"/>
                <c:pt idx="0">
                  <c:v>上段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'出力'!$AD$416:$AD$625</c:f>
              <c:numCache/>
            </c:numRef>
          </c:xVal>
          <c:yVal>
            <c:numRef>
              <c:f>'出力'!$AJ$416:$AJ$625</c:f>
              <c:numCache/>
            </c:numRef>
          </c:yVal>
          <c:smooth val="0"/>
        </c:ser>
        <c:axId val="48313530"/>
        <c:axId val="32168587"/>
      </c:scatterChart>
      <c:valAx>
        <c:axId val="48313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25" b="0" i="0" u="none" baseline="0"/>
            </a:pPr>
          </a:p>
        </c:txPr>
        <c:crossAx val="32168587"/>
        <c:crosses val="autoZero"/>
        <c:crossBetween val="midCat"/>
        <c:dispUnits/>
      </c:valAx>
      <c:valAx>
        <c:axId val="32168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25" b="0" i="0" u="none" baseline="0"/>
            </a:pPr>
          </a:p>
        </c:txPr>
        <c:crossAx val="483135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'出力'!$AD$290</c:f>
              <c:strCache>
                <c:ptCount val="1"/>
                <c:pt idx="0">
                  <c:v>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'出力'!$AB$291:$AB$400</c:f>
              <c:numCache/>
            </c:numRef>
          </c:xVal>
          <c:yVal>
            <c:numRef>
              <c:f>'出力'!$AD$291:$AD$400</c:f>
              <c:numCache/>
            </c:numRef>
          </c:yVal>
          <c:smooth val="0"/>
        </c:ser>
        <c:ser>
          <c:idx val="1"/>
          <c:order val="1"/>
          <c:tx>
            <c:strRef>
              <c:f>'出力'!$AH$290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'出力'!$AB$291:$AB$400</c:f>
              <c:numCache/>
            </c:numRef>
          </c:xVal>
          <c:yVal>
            <c:numRef>
              <c:f>'出力'!$AH$291:$AH$400</c:f>
              <c:numCache/>
            </c:numRef>
          </c:yVal>
          <c:smooth val="0"/>
        </c:ser>
        <c:axId val="21081828"/>
        <c:axId val="55518725"/>
      </c:scatterChart>
      <c:valAx>
        <c:axId val="21081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18725"/>
        <c:crosses val="autoZero"/>
        <c:crossBetween val="midCat"/>
        <c:dispUnits/>
      </c:valAx>
      <c:valAx>
        <c:axId val="555187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0818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'出力'!$AJ$10</c:f>
              <c:strCache>
                <c:ptCount val="1"/>
                <c:pt idx="0">
                  <c:v>擁壁盛土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'出力'!$AJ$11:$AJ$39</c:f>
              <c:numCache/>
            </c:numRef>
          </c:yVal>
          <c:smooth val="0"/>
        </c:ser>
        <c:ser>
          <c:idx val="1"/>
          <c:order val="1"/>
          <c:tx>
            <c:strRef>
              <c:f>'出力'!$AK$10</c:f>
              <c:strCache>
                <c:ptCount val="1"/>
                <c:pt idx="0">
                  <c:v>すべり面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'出力'!$AK$11:$AK$39</c:f>
              <c:numCache/>
            </c:numRef>
          </c:yVal>
          <c:smooth val="0"/>
        </c:ser>
        <c:ser>
          <c:idx val="2"/>
          <c:order val="2"/>
          <c:tx>
            <c:strRef>
              <c:f>'出力'!$AL$10</c:f>
              <c:strCache>
                <c:ptCount val="1"/>
                <c:pt idx="0">
                  <c:v>過載荷重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'出力'!$AL$11:$AL$39</c:f>
              <c:numCache/>
            </c:numRef>
          </c:yVal>
          <c:smooth val="0"/>
        </c:ser>
        <c:ser>
          <c:idx val="3"/>
          <c:order val="3"/>
          <c:tx>
            <c:strRef>
              <c:f>'出力'!$AM$10</c:f>
              <c:strCache>
                <c:ptCount val="1"/>
                <c:pt idx="0">
                  <c:v>地盤反力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'出力'!$AM$11:$AM$39</c:f>
              <c:numCache/>
            </c:numRef>
          </c:yVal>
          <c:smooth val="0"/>
        </c:ser>
        <c:ser>
          <c:idx val="4"/>
          <c:order val="4"/>
          <c:tx>
            <c:strRef>
              <c:f>'出力'!$AN$10</c:f>
              <c:strCache>
                <c:ptCount val="1"/>
                <c:pt idx="0">
                  <c:v>自重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'出力'!$AN$11:$AN$39</c:f>
              <c:numCache/>
            </c:numRef>
          </c:yVal>
          <c:smooth val="0"/>
        </c:ser>
        <c:ser>
          <c:idx val="5"/>
          <c:order val="5"/>
          <c:tx>
            <c:strRef>
              <c:f>'出力'!$AO$10</c:f>
              <c:strCache>
                <c:ptCount val="1"/>
                <c:pt idx="0">
                  <c:v>土圧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'出力'!$AO$11:$AO$39</c:f>
              <c:numCache/>
            </c:numRef>
          </c:yVal>
          <c:smooth val="0"/>
        </c:ser>
        <c:ser>
          <c:idx val="6"/>
          <c:order val="6"/>
          <c:tx>
            <c:strRef>
              <c:f>'出力'!$AP$10</c:f>
              <c:strCache>
                <c:ptCount val="1"/>
                <c:pt idx="0">
                  <c:v>合力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'出力'!$AI$11:$AI$39</c:f>
              <c:numCache/>
            </c:numRef>
          </c:xVal>
          <c:yVal>
            <c:numRef>
              <c:f>'出力'!$AP$11:$AP$39</c:f>
              <c:numCache/>
            </c:numRef>
          </c:yVal>
          <c:smooth val="0"/>
        </c:ser>
        <c:axId val="29906478"/>
        <c:axId val="722847"/>
      </c:scatterChart>
      <c:valAx>
        <c:axId val="2990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2847"/>
        <c:crosses val="autoZero"/>
        <c:crossBetween val="midCat"/>
        <c:dispUnits/>
      </c:valAx>
      <c:valAx>
        <c:axId val="722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906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chart" Target="/xl/charts/chart3.xml" /><Relationship Id="rId13" Type="http://schemas.openxmlformats.org/officeDocument/2006/relationships/image" Target="../media/image19.emf" /><Relationship Id="rId14" Type="http://schemas.openxmlformats.org/officeDocument/2006/relationships/chart" Target="/xl/charts/chart4.xml" /><Relationship Id="rId15" Type="http://schemas.openxmlformats.org/officeDocument/2006/relationships/image" Target="../media/image1.emf" /><Relationship Id="rId16" Type="http://schemas.openxmlformats.org/officeDocument/2006/relationships/image" Target="../media/image6.emf" /><Relationship Id="rId17" Type="http://schemas.openxmlformats.org/officeDocument/2006/relationships/image" Target="../media/image18.emf" /><Relationship Id="rId18" Type="http://schemas.openxmlformats.org/officeDocument/2006/relationships/image" Target="../media/image10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chart" Target="/xl/charts/chart5.xml" /><Relationship Id="rId22" Type="http://schemas.openxmlformats.org/officeDocument/2006/relationships/chart" Target="/xl/charts/chart6.xml" /><Relationship Id="rId23" Type="http://schemas.openxmlformats.org/officeDocument/2006/relationships/chart" Target="/xl/charts/chart7.xml" /><Relationship Id="rId24" Type="http://schemas.openxmlformats.org/officeDocument/2006/relationships/image" Target="../media/image24.emf" /><Relationship Id="rId25" Type="http://schemas.openxmlformats.org/officeDocument/2006/relationships/image" Target="../media/image29.emf" /><Relationship Id="rId26" Type="http://schemas.openxmlformats.org/officeDocument/2006/relationships/image" Target="../media/image35.emf" /><Relationship Id="rId27" Type="http://schemas.openxmlformats.org/officeDocument/2006/relationships/image" Target="../media/image3.emf" /><Relationship Id="rId28" Type="http://schemas.openxmlformats.org/officeDocument/2006/relationships/image" Target="../media/image44.emf" /><Relationship Id="rId29" Type="http://schemas.openxmlformats.org/officeDocument/2006/relationships/image" Target="../media/image5.emf" /><Relationship Id="rId30" Type="http://schemas.openxmlformats.org/officeDocument/2006/relationships/chart" Target="/xl/charts/chart8.xml" /><Relationship Id="rId31" Type="http://schemas.openxmlformats.org/officeDocument/2006/relationships/image" Target="../media/image42.emf" /><Relationship Id="rId32" Type="http://schemas.openxmlformats.org/officeDocument/2006/relationships/image" Target="../media/image46.emf" /><Relationship Id="rId33" Type="http://schemas.openxmlformats.org/officeDocument/2006/relationships/image" Target="../media/image47.emf" /><Relationship Id="rId34" Type="http://schemas.openxmlformats.org/officeDocument/2006/relationships/image" Target="../media/image48.emf" /><Relationship Id="rId35" Type="http://schemas.openxmlformats.org/officeDocument/2006/relationships/image" Target="../media/image27.emf" /><Relationship Id="rId36" Type="http://schemas.openxmlformats.org/officeDocument/2006/relationships/image" Target="../media/image41.emf" /><Relationship Id="rId37" Type="http://schemas.openxmlformats.org/officeDocument/2006/relationships/image" Target="../media/image3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43.emf" /><Relationship Id="rId3" Type="http://schemas.openxmlformats.org/officeDocument/2006/relationships/image" Target="../media/image49.emf" /><Relationship Id="rId4" Type="http://schemas.openxmlformats.org/officeDocument/2006/relationships/image" Target="../media/image40.emf" /><Relationship Id="rId5" Type="http://schemas.openxmlformats.org/officeDocument/2006/relationships/image" Target="../media/image45.emf" /><Relationship Id="rId6" Type="http://schemas.openxmlformats.org/officeDocument/2006/relationships/image" Target="../media/image31.emf" /><Relationship Id="rId7" Type="http://schemas.openxmlformats.org/officeDocument/2006/relationships/image" Target="../media/image38.emf" /><Relationship Id="rId8" Type="http://schemas.openxmlformats.org/officeDocument/2006/relationships/image" Target="../media/image23.emf" /><Relationship Id="rId9" Type="http://schemas.openxmlformats.org/officeDocument/2006/relationships/image" Target="../media/image34.emf" /><Relationship Id="rId10" Type="http://schemas.openxmlformats.org/officeDocument/2006/relationships/image" Target="../media/image37.emf" /><Relationship Id="rId11" Type="http://schemas.openxmlformats.org/officeDocument/2006/relationships/image" Target="../media/image25.emf" /><Relationship Id="rId12" Type="http://schemas.openxmlformats.org/officeDocument/2006/relationships/image" Target="../media/image14.emf" /><Relationship Id="rId13" Type="http://schemas.openxmlformats.org/officeDocument/2006/relationships/image" Target="../media/image39.emf" /><Relationship Id="rId14" Type="http://schemas.openxmlformats.org/officeDocument/2006/relationships/image" Target="../media/image32.emf" /><Relationship Id="rId15" Type="http://schemas.openxmlformats.org/officeDocument/2006/relationships/image" Target="../media/image8.emf" /><Relationship Id="rId16" Type="http://schemas.openxmlformats.org/officeDocument/2006/relationships/image" Target="../media/image2.emf" /><Relationship Id="rId17" Type="http://schemas.openxmlformats.org/officeDocument/2006/relationships/image" Target="../media/image30.emf" /><Relationship Id="rId18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142875</xdr:rowOff>
    </xdr:from>
    <xdr:to>
      <xdr:col>9</xdr:col>
      <xdr:colOff>762000</xdr:colOff>
      <xdr:row>23</xdr:row>
      <xdr:rowOff>161925</xdr:rowOff>
    </xdr:to>
    <xdr:graphicFrame>
      <xdr:nvGraphicFramePr>
        <xdr:cNvPr id="1" name="Chart 6"/>
        <xdr:cNvGraphicFramePr/>
      </xdr:nvGraphicFramePr>
      <xdr:xfrm>
        <a:off x="4419600" y="142875"/>
        <a:ext cx="40576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381000</xdr:colOff>
      <xdr:row>1</xdr:row>
      <xdr:rowOff>200025</xdr:rowOff>
    </xdr:from>
    <xdr:to>
      <xdr:col>18</xdr:col>
      <xdr:colOff>200025</xdr:colOff>
      <xdr:row>19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447675"/>
          <a:ext cx="66770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227</xdr:row>
      <xdr:rowOff>161925</xdr:rowOff>
    </xdr:from>
    <xdr:to>
      <xdr:col>6</xdr:col>
      <xdr:colOff>504825</xdr:colOff>
      <xdr:row>240</xdr:row>
      <xdr:rowOff>142875</xdr:rowOff>
    </xdr:to>
    <xdr:pic>
      <xdr:nvPicPr>
        <xdr:cNvPr id="1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2054125"/>
          <a:ext cx="46767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134</xdr:row>
      <xdr:rowOff>57150</xdr:rowOff>
    </xdr:from>
    <xdr:to>
      <xdr:col>5</xdr:col>
      <xdr:colOff>628650</xdr:colOff>
      <xdr:row>145</xdr:row>
      <xdr:rowOff>104775</xdr:rowOff>
    </xdr:to>
    <xdr:graphicFrame>
      <xdr:nvGraphicFramePr>
        <xdr:cNvPr id="2" name="Chart 43"/>
        <xdr:cNvGraphicFramePr/>
      </xdr:nvGraphicFramePr>
      <xdr:xfrm>
        <a:off x="1200150" y="30689550"/>
        <a:ext cx="39814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219075</xdr:colOff>
      <xdr:row>59</xdr:row>
      <xdr:rowOff>161925</xdr:rowOff>
    </xdr:from>
    <xdr:to>
      <xdr:col>5</xdr:col>
      <xdr:colOff>400050</xdr:colOff>
      <xdr:row>61</xdr:row>
      <xdr:rowOff>123825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13649325"/>
          <a:ext cx="2000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118</xdr:row>
      <xdr:rowOff>123825</xdr:rowOff>
    </xdr:from>
    <xdr:to>
      <xdr:col>3</xdr:col>
      <xdr:colOff>695325</xdr:colOff>
      <xdr:row>120</xdr:row>
      <xdr:rowOff>161925</xdr:rowOff>
    </xdr:to>
    <xdr:pic>
      <xdr:nvPicPr>
        <xdr:cNvPr id="4" name="Picture 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27098625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66</xdr:row>
      <xdr:rowOff>9525</xdr:rowOff>
    </xdr:from>
    <xdr:to>
      <xdr:col>4</xdr:col>
      <xdr:colOff>533400</xdr:colOff>
      <xdr:row>69</xdr:row>
      <xdr:rowOff>190500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5875" y="15097125"/>
          <a:ext cx="2924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161</xdr:row>
      <xdr:rowOff>123825</xdr:rowOff>
    </xdr:from>
    <xdr:to>
      <xdr:col>5</xdr:col>
      <xdr:colOff>238125</xdr:colOff>
      <xdr:row>163</xdr:row>
      <xdr:rowOff>142875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36928425"/>
          <a:ext cx="1714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164</xdr:row>
      <xdr:rowOff>95250</xdr:rowOff>
    </xdr:from>
    <xdr:to>
      <xdr:col>5</xdr:col>
      <xdr:colOff>57150</xdr:colOff>
      <xdr:row>166</xdr:row>
      <xdr:rowOff>123825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0" y="3758565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114300</xdr:rowOff>
    </xdr:from>
    <xdr:to>
      <xdr:col>2</xdr:col>
      <xdr:colOff>914400</xdr:colOff>
      <xdr:row>202</xdr:row>
      <xdr:rowOff>133350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4583430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215</xdr:row>
      <xdr:rowOff>104775</xdr:rowOff>
    </xdr:from>
    <xdr:to>
      <xdr:col>3</xdr:col>
      <xdr:colOff>847725</xdr:colOff>
      <xdr:row>217</xdr:row>
      <xdr:rowOff>76200</xdr:rowOff>
    </xdr:to>
    <xdr:pic>
      <xdr:nvPicPr>
        <xdr:cNvPr id="9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49253775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210</xdr:row>
      <xdr:rowOff>123825</xdr:rowOff>
    </xdr:from>
    <xdr:to>
      <xdr:col>3</xdr:col>
      <xdr:colOff>800100</xdr:colOff>
      <xdr:row>212</xdr:row>
      <xdr:rowOff>161925</xdr:rowOff>
    </xdr:to>
    <xdr:pic>
      <xdr:nvPicPr>
        <xdr:cNvPr id="10" name="Picture 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481298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212</xdr:row>
      <xdr:rowOff>133350</xdr:rowOff>
    </xdr:from>
    <xdr:to>
      <xdr:col>4</xdr:col>
      <xdr:colOff>771525</xdr:colOff>
      <xdr:row>214</xdr:row>
      <xdr:rowOff>142875</xdr:rowOff>
    </xdr:to>
    <xdr:pic>
      <xdr:nvPicPr>
        <xdr:cNvPr id="11" name="Picture 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81200" y="48596550"/>
          <a:ext cx="2466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0</xdr:colOff>
      <xdr:row>44</xdr:row>
      <xdr:rowOff>28575</xdr:rowOff>
    </xdr:from>
    <xdr:to>
      <xdr:col>93</xdr:col>
      <xdr:colOff>619125</xdr:colOff>
      <xdr:row>57</xdr:row>
      <xdr:rowOff>28575</xdr:rowOff>
    </xdr:to>
    <xdr:grpSp>
      <xdr:nvGrpSpPr>
        <xdr:cNvPr id="12" name="Group 500"/>
        <xdr:cNvGrpSpPr>
          <a:grpSpLocks/>
        </xdr:cNvGrpSpPr>
      </xdr:nvGrpSpPr>
      <xdr:grpSpPr>
        <a:xfrm>
          <a:off x="76800075" y="10086975"/>
          <a:ext cx="3190875" cy="2971800"/>
          <a:chOff x="5118" y="969"/>
          <a:chExt cx="293" cy="312"/>
        </a:xfrm>
        <a:solidFill>
          <a:srgbClr val="FFFFFF"/>
        </a:solidFill>
      </xdr:grpSpPr>
      <xdr:sp>
        <xdr:nvSpPr>
          <xdr:cNvPr id="13" name="Line 468"/>
          <xdr:cNvSpPr>
            <a:spLocks/>
          </xdr:cNvSpPr>
        </xdr:nvSpPr>
        <xdr:spPr>
          <a:xfrm>
            <a:off x="5241" y="1249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491"/>
          <xdr:cNvSpPr>
            <a:spLocks/>
          </xdr:cNvSpPr>
        </xdr:nvSpPr>
        <xdr:spPr>
          <a:xfrm flipV="1">
            <a:off x="5366" y="986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5" name="Group 499"/>
          <xdr:cNvGrpSpPr>
            <a:grpSpLocks/>
          </xdr:cNvGrpSpPr>
        </xdr:nvGrpSpPr>
        <xdr:grpSpPr>
          <a:xfrm>
            <a:off x="5118" y="969"/>
            <a:ext cx="293" cy="312"/>
            <a:chOff x="5118" y="969"/>
            <a:chExt cx="293" cy="312"/>
          </a:xfrm>
          <a:solidFill>
            <a:srgbClr val="FFFFFF"/>
          </a:solidFill>
        </xdr:grpSpPr>
        <xdr:sp>
          <xdr:nvSpPr>
            <xdr:cNvPr id="16" name="Line 485"/>
            <xdr:cNvSpPr>
              <a:spLocks/>
            </xdr:cNvSpPr>
          </xdr:nvSpPr>
          <xdr:spPr>
            <a:xfrm>
              <a:off x="5184" y="1100"/>
              <a:ext cx="0" cy="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grpSp>
          <xdr:nvGrpSpPr>
            <xdr:cNvPr id="17" name="Group 498"/>
            <xdr:cNvGrpSpPr>
              <a:grpSpLocks/>
            </xdr:cNvGrpSpPr>
          </xdr:nvGrpSpPr>
          <xdr:grpSpPr>
            <a:xfrm>
              <a:off x="5118" y="969"/>
              <a:ext cx="293" cy="312"/>
              <a:chOff x="5013" y="963"/>
              <a:chExt cx="293" cy="312"/>
            </a:xfrm>
            <a:solidFill>
              <a:srgbClr val="FFFFFF"/>
            </a:solidFill>
          </xdr:grpSpPr>
          <xdr:sp>
            <xdr:nvSpPr>
              <xdr:cNvPr id="18" name="Line 474"/>
              <xdr:cNvSpPr>
                <a:spLocks/>
              </xdr:cNvSpPr>
            </xdr:nvSpPr>
            <xdr:spPr>
              <a:xfrm>
                <a:off x="5209" y="1084"/>
                <a:ext cx="76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9" name="Line 483"/>
              <xdr:cNvSpPr>
                <a:spLocks/>
              </xdr:cNvSpPr>
            </xdr:nvSpPr>
            <xdr:spPr>
              <a:xfrm>
                <a:off x="5081" y="1093"/>
                <a:ext cx="3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grpSp>
            <xdr:nvGrpSpPr>
              <xdr:cNvPr id="20" name="Group 497"/>
              <xdr:cNvGrpSpPr>
                <a:grpSpLocks/>
              </xdr:cNvGrpSpPr>
            </xdr:nvGrpSpPr>
            <xdr:grpSpPr>
              <a:xfrm>
                <a:off x="5013" y="963"/>
                <a:ext cx="293" cy="312"/>
                <a:chOff x="5013" y="963"/>
                <a:chExt cx="293" cy="312"/>
              </a:xfrm>
              <a:solidFill>
                <a:srgbClr val="FFFFFF"/>
              </a:solidFill>
            </xdr:grpSpPr>
            <xdr:sp>
              <xdr:nvSpPr>
                <xdr:cNvPr id="21" name="Arc 484"/>
                <xdr:cNvSpPr>
                  <a:spLocks/>
                </xdr:cNvSpPr>
              </xdr:nvSpPr>
              <xdr:spPr>
                <a:xfrm>
                  <a:off x="5083" y="1078"/>
                  <a:ext cx="30" cy="17"/>
                </a:xfrm>
                <a:prstGeom prst="arc">
                  <a:avLst>
                    <a:gd name="adj1" fmla="val -10452893"/>
                    <a:gd name="adj2" fmla="val 6333"/>
                  </a:avLst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22" name="TextBox 487"/>
                <xdr:cNvSpPr txBox="1">
                  <a:spLocks noChangeArrowheads="1"/>
                </xdr:cNvSpPr>
              </xdr:nvSpPr>
              <xdr:spPr>
                <a:xfrm>
                  <a:off x="5071" y="1143"/>
                  <a:ext cx="26" cy="2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100" b="0" i="0" u="none" baseline="0">
                      <a:latin typeface="明朝"/>
                      <a:ea typeface="明朝"/>
                      <a:cs typeface="明朝"/>
                    </a:rPr>
                    <a:t>α</a:t>
                  </a:r>
                </a:p>
              </xdr:txBody>
            </xdr:sp>
            <xdr:grpSp>
              <xdr:nvGrpSpPr>
                <xdr:cNvPr id="23" name="Group 496"/>
                <xdr:cNvGrpSpPr>
                  <a:grpSpLocks/>
                </xdr:cNvGrpSpPr>
              </xdr:nvGrpSpPr>
              <xdr:grpSpPr>
                <a:xfrm>
                  <a:off x="5013" y="963"/>
                  <a:ext cx="293" cy="312"/>
                  <a:chOff x="5013" y="963"/>
                  <a:chExt cx="293" cy="312"/>
                </a:xfrm>
                <a:solidFill>
                  <a:srgbClr val="FFFFFF"/>
                </a:solidFill>
              </xdr:grpSpPr>
              <xdr:sp>
                <xdr:nvSpPr>
                  <xdr:cNvPr id="24" name="TextBox 477"/>
                  <xdr:cNvSpPr txBox="1">
                    <a:spLocks noChangeArrowheads="1"/>
                  </xdr:cNvSpPr>
                </xdr:nvSpPr>
                <xdr:spPr>
                  <a:xfrm>
                    <a:off x="5259" y="1191"/>
                    <a:ext cx="26" cy="2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明朝"/>
                        <a:ea typeface="明朝"/>
                        <a:cs typeface="明朝"/>
                      </a:rPr>
                      <a:t>Lc</a:t>
                    </a:r>
                  </a:p>
                </xdr:txBody>
              </xdr:sp>
              <xdr:sp>
                <xdr:nvSpPr>
                  <xdr:cNvPr id="25" name="TextBox 479"/>
                  <xdr:cNvSpPr txBox="1">
                    <a:spLocks noChangeArrowheads="1"/>
                  </xdr:cNvSpPr>
                </xdr:nvSpPr>
                <xdr:spPr>
                  <a:xfrm>
                    <a:off x="5280" y="1039"/>
                    <a:ext cx="26" cy="2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明朝"/>
                        <a:ea typeface="明朝"/>
                        <a:cs typeface="明朝"/>
                      </a:rPr>
                      <a:t>zc</a:t>
                    </a:r>
                  </a:p>
                </xdr:txBody>
              </xdr:sp>
              <xdr:grpSp>
                <xdr:nvGrpSpPr>
                  <xdr:cNvPr id="26" name="Group 495"/>
                  <xdr:cNvGrpSpPr>
                    <a:grpSpLocks/>
                  </xdr:cNvGrpSpPr>
                </xdr:nvGrpSpPr>
                <xdr:grpSpPr>
                  <a:xfrm>
                    <a:off x="5013" y="963"/>
                    <a:ext cx="293" cy="312"/>
                    <a:chOff x="5013" y="963"/>
                    <a:chExt cx="293" cy="312"/>
                  </a:xfrm>
                  <a:solidFill>
                    <a:srgbClr val="FFFFFF"/>
                  </a:solidFill>
                </xdr:grpSpPr>
                <xdr:sp>
                  <xdr:nvSpPr>
                    <xdr:cNvPr id="27" name="Line 465"/>
                    <xdr:cNvSpPr>
                      <a:spLocks/>
                    </xdr:cNvSpPr>
                  </xdr:nvSpPr>
                  <xdr:spPr>
                    <a:xfrm>
                      <a:off x="5206" y="1024"/>
                      <a:ext cx="0" cy="6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808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Line 466"/>
                    <xdr:cNvSpPr>
                      <a:spLocks/>
                    </xdr:cNvSpPr>
                  </xdr:nvSpPr>
                  <xdr:spPr>
                    <a:xfrm flipH="1">
                      <a:off x="5134" y="1083"/>
                      <a:ext cx="73" cy="16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808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grpSp>
                  <xdr:nvGrpSpPr>
                    <xdr:cNvPr id="29" name="Group 494"/>
                    <xdr:cNvGrpSpPr>
                      <a:grpSpLocks/>
                    </xdr:cNvGrpSpPr>
                  </xdr:nvGrpSpPr>
                  <xdr:grpSpPr>
                    <a:xfrm>
                      <a:off x="5013" y="963"/>
                      <a:ext cx="293" cy="312"/>
                      <a:chOff x="5013" y="963"/>
                      <a:chExt cx="293" cy="31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0" name="Line 455"/>
                      <xdr:cNvSpPr>
                        <a:spLocks/>
                      </xdr:cNvSpPr>
                    </xdr:nvSpPr>
                    <xdr:spPr>
                      <a:xfrm flipH="1">
                        <a:off x="5014" y="1089"/>
                        <a:ext cx="32" cy="155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1" name="Line 456"/>
                      <xdr:cNvSpPr>
                        <a:spLocks/>
                      </xdr:cNvSpPr>
                    </xdr:nvSpPr>
                    <xdr:spPr>
                      <a:xfrm>
                        <a:off x="5049" y="1091"/>
                        <a:ext cx="29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" name="Line 457"/>
                      <xdr:cNvSpPr>
                        <a:spLocks/>
                      </xdr:cNvSpPr>
                    </xdr:nvSpPr>
                    <xdr:spPr>
                      <a:xfrm>
                        <a:off x="5079" y="1092"/>
                        <a:ext cx="53" cy="15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" name="Line 458"/>
                      <xdr:cNvSpPr>
                        <a:spLocks/>
                      </xdr:cNvSpPr>
                    </xdr:nvSpPr>
                    <xdr:spPr>
                      <a:xfrm flipH="1">
                        <a:off x="5013" y="1243"/>
                        <a:ext cx="120" cy="1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" name="Line 459"/>
                      <xdr:cNvSpPr>
                        <a:spLocks/>
                      </xdr:cNvSpPr>
                    </xdr:nvSpPr>
                    <xdr:spPr>
                      <a:xfrm flipV="1">
                        <a:off x="5079" y="1025"/>
                        <a:ext cx="124" cy="67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" name="Line 460"/>
                      <xdr:cNvSpPr>
                        <a:spLocks/>
                      </xdr:cNvSpPr>
                    </xdr:nvSpPr>
                    <xdr:spPr>
                      <a:xfrm>
                        <a:off x="5204" y="1023"/>
                        <a:ext cx="10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" name="Line 462"/>
                      <xdr:cNvSpPr>
                        <a:spLocks/>
                      </xdr:cNvSpPr>
                    </xdr:nvSpPr>
                    <xdr:spPr>
                      <a:xfrm flipV="1">
                        <a:off x="5131" y="980"/>
                        <a:ext cx="0" cy="261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7" name="Line 463"/>
                      <xdr:cNvSpPr>
                        <a:spLocks/>
                      </xdr:cNvSpPr>
                    </xdr:nvSpPr>
                    <xdr:spPr>
                      <a:xfrm flipV="1">
                        <a:off x="5206" y="977"/>
                        <a:ext cx="0" cy="45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8" name="Line 464"/>
                      <xdr:cNvSpPr>
                        <a:spLocks/>
                      </xdr:cNvSpPr>
                    </xdr:nvSpPr>
                    <xdr:spPr>
                      <a:xfrm>
                        <a:off x="5132" y="989"/>
                        <a:ext cx="75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9" name="TextBox 467"/>
                      <xdr:cNvSpPr txBox="1">
                        <a:spLocks noChangeArrowheads="1"/>
                      </xdr:cNvSpPr>
                    </xdr:nvSpPr>
                    <xdr:spPr>
                      <a:xfrm>
                        <a:off x="5138" y="967"/>
                        <a:ext cx="52" cy="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>
                        <a:spAutoFit/>
                      </a:bodyPr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latin typeface="明朝"/>
                            <a:ea typeface="明朝"/>
                            <a:cs typeface="明朝"/>
                          </a:rPr>
                          <a:t>shoul</a:t>
                        </a:r>
                      </a:p>
                    </xdr:txBody>
                  </xdr:sp>
                  <xdr:sp>
                    <xdr:nvSpPr>
                      <xdr:cNvPr id="40" name="Arc 470"/>
                      <xdr:cNvSpPr>
                        <a:spLocks/>
                      </xdr:cNvSpPr>
                    </xdr:nvSpPr>
                    <xdr:spPr>
                      <a:xfrm>
                        <a:off x="5131" y="1174"/>
                        <a:ext cx="71" cy="71"/>
                      </a:xfrm>
                      <a:prstGeom prst="arc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1" name="Line 472"/>
                      <xdr:cNvSpPr>
                        <a:spLocks/>
                      </xdr:cNvSpPr>
                    </xdr:nvSpPr>
                    <xdr:spPr>
                      <a:xfrm>
                        <a:off x="5212" y="1084"/>
                        <a:ext cx="71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2" name="Line 473"/>
                      <xdr:cNvSpPr>
                        <a:spLocks/>
                      </xdr:cNvSpPr>
                    </xdr:nvSpPr>
                    <xdr:spPr>
                      <a:xfrm>
                        <a:off x="5274" y="1023"/>
                        <a:ext cx="0" cy="61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" name="Line 475"/>
                      <xdr:cNvSpPr>
                        <a:spLocks/>
                      </xdr:cNvSpPr>
                    </xdr:nvSpPr>
                    <xdr:spPr>
                      <a:xfrm>
                        <a:off x="5139" y="1247"/>
                        <a:ext cx="76" cy="28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4" name="Line 476"/>
                      <xdr:cNvSpPr>
                        <a:spLocks/>
                      </xdr:cNvSpPr>
                    </xdr:nvSpPr>
                    <xdr:spPr>
                      <a:xfrm flipH="1">
                        <a:off x="5210" y="1111"/>
                        <a:ext cx="72" cy="161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5" name="TextBox 478"/>
                      <xdr:cNvSpPr txBox="1">
                        <a:spLocks noChangeArrowheads="1"/>
                      </xdr:cNvSpPr>
                    </xdr:nvSpPr>
                    <xdr:spPr>
                      <a:xfrm>
                        <a:off x="5182" y="1172"/>
                        <a:ext cx="35" cy="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>
                        <a:spAutoFit/>
                      </a:bodyPr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latin typeface="明朝"/>
                            <a:ea typeface="明朝"/>
                            <a:cs typeface="明朝"/>
                          </a:rPr>
                          <a:t>ω0</a:t>
                        </a:r>
                      </a:p>
                    </xdr:txBody>
                  </xdr:sp>
                  <xdr:sp>
                    <xdr:nvSpPr>
                      <xdr:cNvPr id="46" name="Arc 481"/>
                      <xdr:cNvSpPr>
                        <a:spLocks/>
                      </xdr:cNvSpPr>
                    </xdr:nvSpPr>
                    <xdr:spPr>
                      <a:xfrm>
                        <a:off x="5132" y="1215"/>
                        <a:ext cx="37" cy="32"/>
                      </a:xfrm>
                      <a:prstGeom prst="arc">
                        <a:avLst>
                          <a:gd name="adj1" fmla="val -18927449"/>
                          <a:gd name="adj2" fmla="val 38472"/>
                        </a:avLst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7" name="TextBox 482"/>
                      <xdr:cNvSpPr txBox="1">
                        <a:spLocks noChangeArrowheads="1"/>
                      </xdr:cNvSpPr>
                    </xdr:nvSpPr>
                    <xdr:spPr>
                      <a:xfrm>
                        <a:off x="5152" y="1208"/>
                        <a:ext cx="26" cy="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>
                        <a:spAutoFit/>
                      </a:bodyPr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latin typeface="明朝"/>
                            <a:ea typeface="明朝"/>
                            <a:cs typeface="明朝"/>
                          </a:rPr>
                          <a:t>ω</a:t>
                        </a:r>
                      </a:p>
                    </xdr:txBody>
                  </xdr:sp>
                  <xdr:sp>
                    <xdr:nvSpPr>
                      <xdr:cNvPr id="48" name="Arc 486"/>
                      <xdr:cNvSpPr>
                        <a:spLocks/>
                      </xdr:cNvSpPr>
                    </xdr:nvSpPr>
                    <xdr:spPr>
                      <a:xfrm>
                        <a:off x="5080" y="1094"/>
                        <a:ext cx="16" cy="48"/>
                      </a:xfrm>
                      <a:prstGeom prst="arc">
                        <a:avLst>
                          <a:gd name="adj1" fmla="val 21339833"/>
                          <a:gd name="adj2" fmla="val 26886967"/>
                          <a:gd name="adj3" fmla="val -50000"/>
                        </a:avLst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9" name="TextBox 488"/>
                      <xdr:cNvSpPr txBox="1">
                        <a:spLocks noChangeArrowheads="1"/>
                      </xdr:cNvSpPr>
                    </xdr:nvSpPr>
                    <xdr:spPr>
                      <a:xfrm>
                        <a:off x="5110" y="1071"/>
                        <a:ext cx="27" cy="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>
                        <a:spAutoFit/>
                      </a:bodyPr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latin typeface="明朝"/>
                            <a:ea typeface="明朝"/>
                            <a:cs typeface="明朝"/>
                          </a:rPr>
                          <a:t>β</a:t>
                        </a:r>
                      </a:p>
                    </xdr:txBody>
                  </xdr:sp>
                  <xdr:sp>
                    <xdr:nvSpPr>
                      <xdr:cNvPr id="50" name="Line 489"/>
                      <xdr:cNvSpPr>
                        <a:spLocks/>
                      </xdr:cNvSpPr>
                    </xdr:nvSpPr>
                    <xdr:spPr>
                      <a:xfrm flipV="1">
                        <a:off x="5134" y="1084"/>
                        <a:ext cx="126" cy="159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1" name="Line 490"/>
                      <xdr:cNvSpPr>
                        <a:spLocks/>
                      </xdr:cNvSpPr>
                    </xdr:nvSpPr>
                    <xdr:spPr>
                      <a:xfrm flipV="1">
                        <a:off x="5261" y="1024"/>
                        <a:ext cx="0" cy="6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2" name="Line 492"/>
                      <xdr:cNvSpPr>
                        <a:spLocks/>
                      </xdr:cNvSpPr>
                    </xdr:nvSpPr>
                    <xdr:spPr>
                      <a:xfrm>
                        <a:off x="5209" y="989"/>
                        <a:ext cx="50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3" name="TextBox 493"/>
                      <xdr:cNvSpPr txBox="1">
                        <a:spLocks noChangeArrowheads="1"/>
                      </xdr:cNvSpPr>
                    </xdr:nvSpPr>
                    <xdr:spPr>
                      <a:xfrm>
                        <a:off x="5214" y="963"/>
                        <a:ext cx="18" cy="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>
                        <a:spAutoFit/>
                      </a:bodyPr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latin typeface="明朝"/>
                            <a:ea typeface="明朝"/>
                            <a:cs typeface="明朝"/>
                          </a:rPr>
                          <a:t>b</a:t>
                        </a:r>
                      </a:p>
                    </xdr:txBody>
                  </xdr:sp>
                </xdr:grpSp>
              </xdr:grpSp>
            </xdr:grpSp>
          </xdr:grpSp>
        </xdr:grpSp>
      </xdr:grpSp>
    </xdr:grpSp>
    <xdr:clientData/>
  </xdr:twoCellAnchor>
  <xdr:twoCellAnchor>
    <xdr:from>
      <xdr:col>88</xdr:col>
      <xdr:colOff>571500</xdr:colOff>
      <xdr:row>46</xdr:row>
      <xdr:rowOff>142875</xdr:rowOff>
    </xdr:from>
    <xdr:to>
      <xdr:col>92</xdr:col>
      <xdr:colOff>95250</xdr:colOff>
      <xdr:row>46</xdr:row>
      <xdr:rowOff>142875</xdr:rowOff>
    </xdr:to>
    <xdr:sp>
      <xdr:nvSpPr>
        <xdr:cNvPr id="54" name="Line 501"/>
        <xdr:cNvSpPr>
          <a:spLocks/>
        </xdr:cNvSpPr>
      </xdr:nvSpPr>
      <xdr:spPr>
        <a:xfrm flipH="1">
          <a:off x="75657075" y="106584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89</xdr:col>
      <xdr:colOff>57150</xdr:colOff>
      <xdr:row>49</xdr:row>
      <xdr:rowOff>104775</xdr:rowOff>
    </xdr:from>
    <xdr:to>
      <xdr:col>89</xdr:col>
      <xdr:colOff>771525</xdr:colOff>
      <xdr:row>49</xdr:row>
      <xdr:rowOff>104775</xdr:rowOff>
    </xdr:to>
    <xdr:sp>
      <xdr:nvSpPr>
        <xdr:cNvPr id="55" name="Line 502"/>
        <xdr:cNvSpPr>
          <a:spLocks/>
        </xdr:cNvSpPr>
      </xdr:nvSpPr>
      <xdr:spPr>
        <a:xfrm flipH="1">
          <a:off x="75999975" y="113061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88</xdr:col>
      <xdr:colOff>514350</xdr:colOff>
      <xdr:row>55</xdr:row>
      <xdr:rowOff>200025</xdr:rowOff>
    </xdr:from>
    <xdr:to>
      <xdr:col>89</xdr:col>
      <xdr:colOff>695325</xdr:colOff>
      <xdr:row>55</xdr:row>
      <xdr:rowOff>200025</xdr:rowOff>
    </xdr:to>
    <xdr:sp>
      <xdr:nvSpPr>
        <xdr:cNvPr id="56" name="Line 503"/>
        <xdr:cNvSpPr>
          <a:spLocks/>
        </xdr:cNvSpPr>
      </xdr:nvSpPr>
      <xdr:spPr>
        <a:xfrm flipH="1">
          <a:off x="75599925" y="127730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89</xdr:col>
      <xdr:colOff>295275</xdr:colOff>
      <xdr:row>46</xdr:row>
      <xdr:rowOff>180975</xdr:rowOff>
    </xdr:from>
    <xdr:to>
      <xdr:col>89</xdr:col>
      <xdr:colOff>295275</xdr:colOff>
      <xdr:row>49</xdr:row>
      <xdr:rowOff>95250</xdr:rowOff>
    </xdr:to>
    <xdr:sp>
      <xdr:nvSpPr>
        <xdr:cNvPr id="57" name="Line 504"/>
        <xdr:cNvSpPr>
          <a:spLocks/>
        </xdr:cNvSpPr>
      </xdr:nvSpPr>
      <xdr:spPr>
        <a:xfrm>
          <a:off x="76238100" y="106965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89</xdr:col>
      <xdr:colOff>295275</xdr:colOff>
      <xdr:row>49</xdr:row>
      <xdr:rowOff>142875</xdr:rowOff>
    </xdr:from>
    <xdr:to>
      <xdr:col>89</xdr:col>
      <xdr:colOff>295275</xdr:colOff>
      <xdr:row>55</xdr:row>
      <xdr:rowOff>200025</xdr:rowOff>
    </xdr:to>
    <xdr:sp>
      <xdr:nvSpPr>
        <xdr:cNvPr id="58" name="Line 505"/>
        <xdr:cNvSpPr>
          <a:spLocks/>
        </xdr:cNvSpPr>
      </xdr:nvSpPr>
      <xdr:spPr>
        <a:xfrm>
          <a:off x="76238100" y="113442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88</xdr:col>
      <xdr:colOff>714375</xdr:colOff>
      <xdr:row>46</xdr:row>
      <xdr:rowOff>152400</xdr:rowOff>
    </xdr:from>
    <xdr:to>
      <xdr:col>88</xdr:col>
      <xdr:colOff>714375</xdr:colOff>
      <xdr:row>55</xdr:row>
      <xdr:rowOff>209550</xdr:rowOff>
    </xdr:to>
    <xdr:sp>
      <xdr:nvSpPr>
        <xdr:cNvPr id="59" name="Line 506"/>
        <xdr:cNvSpPr>
          <a:spLocks/>
        </xdr:cNvSpPr>
      </xdr:nvSpPr>
      <xdr:spPr>
        <a:xfrm>
          <a:off x="75799950" y="106680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89</xdr:col>
      <xdr:colOff>0</xdr:colOff>
      <xdr:row>50</xdr:row>
      <xdr:rowOff>209550</xdr:rowOff>
    </xdr:from>
    <xdr:ext cx="190500" cy="209550"/>
    <xdr:sp>
      <xdr:nvSpPr>
        <xdr:cNvPr id="60" name="TextBox 507"/>
        <xdr:cNvSpPr txBox="1">
          <a:spLocks noChangeArrowheads="1"/>
        </xdr:cNvSpPr>
      </xdr:nvSpPr>
      <xdr:spPr>
        <a:xfrm>
          <a:off x="75942825" y="11639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H</a:t>
          </a:r>
        </a:p>
      </xdr:txBody>
    </xdr:sp>
    <xdr:clientData/>
  </xdr:oneCellAnchor>
  <xdr:oneCellAnchor>
    <xdr:from>
      <xdr:col>89</xdr:col>
      <xdr:colOff>0</xdr:colOff>
      <xdr:row>47</xdr:row>
      <xdr:rowOff>161925</xdr:rowOff>
    </xdr:from>
    <xdr:ext cx="285750" cy="209550"/>
    <xdr:sp>
      <xdr:nvSpPr>
        <xdr:cNvPr id="61" name="TextBox 508"/>
        <xdr:cNvSpPr txBox="1">
          <a:spLocks noChangeArrowheads="1"/>
        </xdr:cNvSpPr>
      </xdr:nvSpPr>
      <xdr:spPr>
        <a:xfrm>
          <a:off x="75942825" y="109061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Ho</a:t>
          </a:r>
        </a:p>
      </xdr:txBody>
    </xdr:sp>
    <xdr:clientData/>
  </xdr:oneCellAnchor>
  <xdr:oneCellAnchor>
    <xdr:from>
      <xdr:col>89</xdr:col>
      <xdr:colOff>0</xdr:colOff>
      <xdr:row>52</xdr:row>
      <xdr:rowOff>28575</xdr:rowOff>
    </xdr:from>
    <xdr:ext cx="285750" cy="209550"/>
    <xdr:sp>
      <xdr:nvSpPr>
        <xdr:cNvPr id="62" name="TextBox 509"/>
        <xdr:cNvSpPr txBox="1">
          <a:spLocks noChangeArrowheads="1"/>
        </xdr:cNvSpPr>
      </xdr:nvSpPr>
      <xdr:spPr>
        <a:xfrm>
          <a:off x="75942825" y="11915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Ha</a:t>
          </a:r>
        </a:p>
      </xdr:txBody>
    </xdr:sp>
    <xdr:clientData/>
  </xdr:oneCellAnchor>
  <xdr:twoCellAnchor>
    <xdr:from>
      <xdr:col>2</xdr:col>
      <xdr:colOff>200025</xdr:colOff>
      <xdr:row>182</xdr:row>
      <xdr:rowOff>66675</xdr:rowOff>
    </xdr:from>
    <xdr:to>
      <xdr:col>7</xdr:col>
      <xdr:colOff>295275</xdr:colOff>
      <xdr:row>195</xdr:row>
      <xdr:rowOff>209550</xdr:rowOff>
    </xdr:to>
    <xdr:graphicFrame>
      <xdr:nvGraphicFramePr>
        <xdr:cNvPr id="63" name="Chart 515"/>
        <xdr:cNvGraphicFramePr/>
      </xdr:nvGraphicFramePr>
      <xdr:xfrm>
        <a:off x="1981200" y="41671875"/>
        <a:ext cx="4638675" cy="3114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3</xdr:col>
      <xdr:colOff>95250</xdr:colOff>
      <xdr:row>57</xdr:row>
      <xdr:rowOff>142875</xdr:rowOff>
    </xdr:from>
    <xdr:to>
      <xdr:col>4</xdr:col>
      <xdr:colOff>533400</xdr:colOff>
      <xdr:row>59</xdr:row>
      <xdr:rowOff>104775</xdr:rowOff>
    </xdr:to>
    <xdr:pic>
      <xdr:nvPicPr>
        <xdr:cNvPr id="64" name="Picture 5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28925" y="13173075"/>
          <a:ext cx="138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270</xdr:row>
      <xdr:rowOff>209550</xdr:rowOff>
    </xdr:from>
    <xdr:to>
      <xdr:col>5</xdr:col>
      <xdr:colOff>447675</xdr:colOff>
      <xdr:row>272</xdr:row>
      <xdr:rowOff>190500</xdr:rowOff>
    </xdr:to>
    <xdr:pic>
      <xdr:nvPicPr>
        <xdr:cNvPr id="65" name="Picture 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61931550"/>
          <a:ext cx="2124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427</xdr:row>
      <xdr:rowOff>123825</xdr:rowOff>
    </xdr:from>
    <xdr:to>
      <xdr:col>5</xdr:col>
      <xdr:colOff>209550</xdr:colOff>
      <xdr:row>429</xdr:row>
      <xdr:rowOff>142875</xdr:rowOff>
    </xdr:to>
    <xdr:pic>
      <xdr:nvPicPr>
        <xdr:cNvPr id="66" name="Picture 6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9773602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430</xdr:row>
      <xdr:rowOff>104775</xdr:rowOff>
    </xdr:from>
    <xdr:to>
      <xdr:col>5</xdr:col>
      <xdr:colOff>133350</xdr:colOff>
      <xdr:row>432</xdr:row>
      <xdr:rowOff>123825</xdr:rowOff>
    </xdr:to>
    <xdr:pic>
      <xdr:nvPicPr>
        <xdr:cNvPr id="67" name="Picture 6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9840277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453</xdr:row>
      <xdr:rowOff>114300</xdr:rowOff>
    </xdr:from>
    <xdr:to>
      <xdr:col>2</xdr:col>
      <xdr:colOff>914400</xdr:colOff>
      <xdr:row>455</xdr:row>
      <xdr:rowOff>133350</xdr:rowOff>
    </xdr:to>
    <xdr:pic>
      <xdr:nvPicPr>
        <xdr:cNvPr id="68" name="Picture 6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10367010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268</xdr:row>
      <xdr:rowOff>161925</xdr:rowOff>
    </xdr:from>
    <xdr:to>
      <xdr:col>4</xdr:col>
      <xdr:colOff>590550</xdr:colOff>
      <xdr:row>270</xdr:row>
      <xdr:rowOff>114300</xdr:rowOff>
    </xdr:to>
    <xdr:pic>
      <xdr:nvPicPr>
        <xdr:cNvPr id="69" name="Picture 6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14650" y="6142672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470</xdr:row>
      <xdr:rowOff>19050</xdr:rowOff>
    </xdr:from>
    <xdr:to>
      <xdr:col>6</xdr:col>
      <xdr:colOff>609600</xdr:colOff>
      <xdr:row>496</xdr:row>
      <xdr:rowOff>95250</xdr:rowOff>
    </xdr:to>
    <xdr:graphicFrame>
      <xdr:nvGraphicFramePr>
        <xdr:cNvPr id="70" name="Chart 634"/>
        <xdr:cNvGraphicFramePr/>
      </xdr:nvGraphicFramePr>
      <xdr:xfrm>
        <a:off x="2105025" y="107461050"/>
        <a:ext cx="3981450" cy="601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3</xdr:col>
      <xdr:colOff>323850</xdr:colOff>
      <xdr:row>61</xdr:row>
      <xdr:rowOff>161925</xdr:rowOff>
    </xdr:from>
    <xdr:to>
      <xdr:col>4</xdr:col>
      <xdr:colOff>581025</xdr:colOff>
      <xdr:row>63</xdr:row>
      <xdr:rowOff>114300</xdr:rowOff>
    </xdr:to>
    <xdr:pic>
      <xdr:nvPicPr>
        <xdr:cNvPr id="71" name="Picture 6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57525" y="14106525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272</xdr:row>
      <xdr:rowOff>152400</xdr:rowOff>
    </xdr:from>
    <xdr:to>
      <xdr:col>4</xdr:col>
      <xdr:colOff>542925</xdr:colOff>
      <xdr:row>274</xdr:row>
      <xdr:rowOff>104775</xdr:rowOff>
    </xdr:to>
    <xdr:pic>
      <xdr:nvPicPr>
        <xdr:cNvPr id="72" name="Picture 6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19425" y="62331600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66675</xdr:rowOff>
    </xdr:from>
    <xdr:to>
      <xdr:col>7</xdr:col>
      <xdr:colOff>581025</xdr:colOff>
      <xdr:row>291</xdr:row>
      <xdr:rowOff>76200</xdr:rowOff>
    </xdr:to>
    <xdr:pic>
      <xdr:nvPicPr>
        <xdr:cNvPr id="73" name="Picture 6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0" y="63388875"/>
          <a:ext cx="604837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293</xdr:row>
      <xdr:rowOff>28575</xdr:rowOff>
    </xdr:from>
    <xdr:to>
      <xdr:col>6</xdr:col>
      <xdr:colOff>600075</xdr:colOff>
      <xdr:row>306</xdr:row>
      <xdr:rowOff>219075</xdr:rowOff>
    </xdr:to>
    <xdr:pic>
      <xdr:nvPicPr>
        <xdr:cNvPr id="74" name="Picture 6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6775" y="67008375"/>
          <a:ext cx="52101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318</xdr:row>
      <xdr:rowOff>133350</xdr:rowOff>
    </xdr:from>
    <xdr:to>
      <xdr:col>7</xdr:col>
      <xdr:colOff>571500</xdr:colOff>
      <xdr:row>333</xdr:row>
      <xdr:rowOff>161925</xdr:rowOff>
    </xdr:to>
    <xdr:pic>
      <xdr:nvPicPr>
        <xdr:cNvPr id="75" name="Picture 6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7700" y="72828150"/>
          <a:ext cx="62579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334</xdr:row>
      <xdr:rowOff>171450</xdr:rowOff>
    </xdr:from>
    <xdr:to>
      <xdr:col>7</xdr:col>
      <xdr:colOff>647700</xdr:colOff>
      <xdr:row>348</xdr:row>
      <xdr:rowOff>19050</xdr:rowOff>
    </xdr:to>
    <xdr:pic>
      <xdr:nvPicPr>
        <xdr:cNvPr id="76" name="Picture 6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76523850"/>
          <a:ext cx="63912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349</xdr:row>
      <xdr:rowOff>19050</xdr:rowOff>
    </xdr:from>
    <xdr:to>
      <xdr:col>6</xdr:col>
      <xdr:colOff>381000</xdr:colOff>
      <xdr:row>363</xdr:row>
      <xdr:rowOff>133350</xdr:rowOff>
    </xdr:to>
    <xdr:pic>
      <xdr:nvPicPr>
        <xdr:cNvPr id="77" name="Picture 6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9800450"/>
          <a:ext cx="49815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401</xdr:row>
      <xdr:rowOff>190500</xdr:rowOff>
    </xdr:from>
    <xdr:to>
      <xdr:col>6</xdr:col>
      <xdr:colOff>819150</xdr:colOff>
      <xdr:row>412</xdr:row>
      <xdr:rowOff>0</xdr:rowOff>
    </xdr:to>
    <xdr:graphicFrame>
      <xdr:nvGraphicFramePr>
        <xdr:cNvPr id="78" name="Chart 651"/>
        <xdr:cNvGraphicFramePr/>
      </xdr:nvGraphicFramePr>
      <xdr:xfrm>
        <a:off x="1771650" y="91859100"/>
        <a:ext cx="4524375" cy="23241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209550</xdr:colOff>
      <xdr:row>5</xdr:row>
      <xdr:rowOff>133350</xdr:rowOff>
    </xdr:from>
    <xdr:to>
      <xdr:col>7</xdr:col>
      <xdr:colOff>95250</xdr:colOff>
      <xdr:row>18</xdr:row>
      <xdr:rowOff>180975</xdr:rowOff>
    </xdr:to>
    <xdr:graphicFrame>
      <xdr:nvGraphicFramePr>
        <xdr:cNvPr id="79" name="Chart 770"/>
        <xdr:cNvGraphicFramePr/>
      </xdr:nvGraphicFramePr>
      <xdr:xfrm>
        <a:off x="1066800" y="1276350"/>
        <a:ext cx="5353050" cy="3019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32</xdr:col>
      <xdr:colOff>333375</xdr:colOff>
      <xdr:row>257</xdr:row>
      <xdr:rowOff>38100</xdr:rowOff>
    </xdr:from>
    <xdr:to>
      <xdr:col>38</xdr:col>
      <xdr:colOff>0</xdr:colOff>
      <xdr:row>275</xdr:row>
      <xdr:rowOff>0</xdr:rowOff>
    </xdr:to>
    <xdr:graphicFrame>
      <xdr:nvGraphicFramePr>
        <xdr:cNvPr id="80" name="Chart 775"/>
        <xdr:cNvGraphicFramePr/>
      </xdr:nvGraphicFramePr>
      <xdr:xfrm>
        <a:off x="27184350" y="58788300"/>
        <a:ext cx="4953000" cy="4076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oneCell">
    <xdr:from>
      <xdr:col>2</xdr:col>
      <xdr:colOff>0</xdr:colOff>
      <xdr:row>366</xdr:row>
      <xdr:rowOff>57150</xdr:rowOff>
    </xdr:from>
    <xdr:to>
      <xdr:col>5</xdr:col>
      <xdr:colOff>571500</xdr:colOff>
      <xdr:row>370</xdr:row>
      <xdr:rowOff>133350</xdr:rowOff>
    </xdr:to>
    <xdr:pic>
      <xdr:nvPicPr>
        <xdr:cNvPr id="81" name="Picture 77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81175" y="83724750"/>
          <a:ext cx="3343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161925</xdr:rowOff>
    </xdr:from>
    <xdr:to>
      <xdr:col>5</xdr:col>
      <xdr:colOff>819150</xdr:colOff>
      <xdr:row>111</xdr:row>
      <xdr:rowOff>123825</xdr:rowOff>
    </xdr:to>
    <xdr:pic>
      <xdr:nvPicPr>
        <xdr:cNvPr id="82" name="Picture 77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7250" y="21193125"/>
          <a:ext cx="45148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168</xdr:row>
      <xdr:rowOff>219075</xdr:rowOff>
    </xdr:from>
    <xdr:to>
      <xdr:col>7</xdr:col>
      <xdr:colOff>571500</xdr:colOff>
      <xdr:row>182</xdr:row>
      <xdr:rowOff>171450</xdr:rowOff>
    </xdr:to>
    <xdr:pic>
      <xdr:nvPicPr>
        <xdr:cNvPr id="83" name="Picture 77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85925" y="38623875"/>
          <a:ext cx="52101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307</xdr:row>
      <xdr:rowOff>180975</xdr:rowOff>
    </xdr:from>
    <xdr:to>
      <xdr:col>8</xdr:col>
      <xdr:colOff>123825</xdr:colOff>
      <xdr:row>317</xdr:row>
      <xdr:rowOff>152400</xdr:rowOff>
    </xdr:to>
    <xdr:pic>
      <xdr:nvPicPr>
        <xdr:cNvPr id="84" name="Picture 78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8650" y="70361175"/>
          <a:ext cx="66198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435</xdr:row>
      <xdr:rowOff>0</xdr:rowOff>
    </xdr:from>
    <xdr:to>
      <xdr:col>7</xdr:col>
      <xdr:colOff>600075</xdr:colOff>
      <xdr:row>448</xdr:row>
      <xdr:rowOff>180975</xdr:rowOff>
    </xdr:to>
    <xdr:pic>
      <xdr:nvPicPr>
        <xdr:cNvPr id="85" name="Picture 78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714500" y="99441000"/>
          <a:ext cx="52101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460</xdr:row>
      <xdr:rowOff>161925</xdr:rowOff>
    </xdr:from>
    <xdr:to>
      <xdr:col>3</xdr:col>
      <xdr:colOff>371475</xdr:colOff>
      <xdr:row>462</xdr:row>
      <xdr:rowOff>95250</xdr:rowOff>
    </xdr:to>
    <xdr:pic>
      <xdr:nvPicPr>
        <xdr:cNvPr id="86" name="Picture 78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43125" y="105317925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847725</xdr:colOff>
      <xdr:row>17</xdr:row>
      <xdr:rowOff>152400</xdr:rowOff>
    </xdr:from>
    <xdr:to>
      <xdr:col>42</xdr:col>
      <xdr:colOff>133350</xdr:colOff>
      <xdr:row>34</xdr:row>
      <xdr:rowOff>209550</xdr:rowOff>
    </xdr:to>
    <xdr:graphicFrame>
      <xdr:nvGraphicFramePr>
        <xdr:cNvPr id="87" name="Chart 884"/>
        <xdr:cNvGraphicFramePr/>
      </xdr:nvGraphicFramePr>
      <xdr:xfrm>
        <a:off x="28603575" y="4038600"/>
        <a:ext cx="7115175" cy="3943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 editAs="oneCell">
    <xdr:from>
      <xdr:col>0</xdr:col>
      <xdr:colOff>752475</xdr:colOff>
      <xdr:row>72</xdr:row>
      <xdr:rowOff>123825</xdr:rowOff>
    </xdr:from>
    <xdr:to>
      <xdr:col>4</xdr:col>
      <xdr:colOff>628650</xdr:colOff>
      <xdr:row>83</xdr:row>
      <xdr:rowOff>161925</xdr:rowOff>
    </xdr:to>
    <xdr:pic>
      <xdr:nvPicPr>
        <xdr:cNvPr id="88" name="Picture 88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52475" y="16583025"/>
          <a:ext cx="35528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161925</xdr:rowOff>
    </xdr:from>
    <xdr:to>
      <xdr:col>3</xdr:col>
      <xdr:colOff>57150</xdr:colOff>
      <xdr:row>72</xdr:row>
      <xdr:rowOff>85725</xdr:rowOff>
    </xdr:to>
    <xdr:pic>
      <xdr:nvPicPr>
        <xdr:cNvPr id="89" name="Picture 88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57250" y="16163925"/>
          <a:ext cx="1933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84</xdr:row>
      <xdr:rowOff>66675</xdr:rowOff>
    </xdr:from>
    <xdr:to>
      <xdr:col>5</xdr:col>
      <xdr:colOff>371475</xdr:colOff>
      <xdr:row>87</xdr:row>
      <xdr:rowOff>209550</xdr:rowOff>
    </xdr:to>
    <xdr:pic>
      <xdr:nvPicPr>
        <xdr:cNvPr id="90" name="Picture 88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47725" y="19269075"/>
          <a:ext cx="4076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88</xdr:row>
      <xdr:rowOff>142875</xdr:rowOff>
    </xdr:from>
    <xdr:to>
      <xdr:col>1</xdr:col>
      <xdr:colOff>800100</xdr:colOff>
      <xdr:row>90</xdr:row>
      <xdr:rowOff>28575</xdr:rowOff>
    </xdr:to>
    <xdr:pic>
      <xdr:nvPicPr>
        <xdr:cNvPr id="91" name="Picture 88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66775" y="20259675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21</xdr:row>
      <xdr:rowOff>152400</xdr:rowOff>
    </xdr:from>
    <xdr:to>
      <xdr:col>5</xdr:col>
      <xdr:colOff>676275</xdr:colOff>
      <xdr:row>30</xdr:row>
      <xdr:rowOff>180975</xdr:rowOff>
    </xdr:to>
    <xdr:pic>
      <xdr:nvPicPr>
        <xdr:cNvPr id="92" name="Picture 88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24000" y="4953000"/>
          <a:ext cx="3705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20</xdr:row>
      <xdr:rowOff>133350</xdr:rowOff>
    </xdr:from>
    <xdr:to>
      <xdr:col>5</xdr:col>
      <xdr:colOff>695325</xdr:colOff>
      <xdr:row>21</xdr:row>
      <xdr:rowOff>104775</xdr:rowOff>
    </xdr:to>
    <xdr:sp textlink="$R$47">
      <xdr:nvSpPr>
        <xdr:cNvPr id="93" name="TextBox 890"/>
        <xdr:cNvSpPr txBox="1">
          <a:spLocks noChangeArrowheads="1"/>
        </xdr:cNvSpPr>
      </xdr:nvSpPr>
      <xdr:spPr>
        <a:xfrm>
          <a:off x="4152900" y="4705350"/>
          <a:ext cx="1095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9c91c0f9-d3f7-4c47-bc15-8613e400848a}" type="TxLink">
            <a:rPr lang="en-US" cap="none" sz="1100" b="0" i="0" u="none" baseline="0">
              <a:solidFill>
                <a:srgbClr val="000000"/>
              </a:solidFill>
            </a:rPr>
            <a:t>q=10kN/m2</a:t>
          </a:fld>
        </a:p>
      </xdr:txBody>
    </xdr:sp>
    <xdr:clientData/>
  </xdr:twoCellAnchor>
  <xdr:twoCellAnchor>
    <xdr:from>
      <xdr:col>1</xdr:col>
      <xdr:colOff>133350</xdr:colOff>
      <xdr:row>23</xdr:row>
      <xdr:rowOff>133350</xdr:rowOff>
    </xdr:from>
    <xdr:to>
      <xdr:col>2</xdr:col>
      <xdr:colOff>314325</xdr:colOff>
      <xdr:row>24</xdr:row>
      <xdr:rowOff>104775</xdr:rowOff>
    </xdr:to>
    <xdr:sp textlink="$R$41">
      <xdr:nvSpPr>
        <xdr:cNvPr id="94" name="TextBox 891"/>
        <xdr:cNvSpPr txBox="1">
          <a:spLocks noChangeArrowheads="1"/>
        </xdr:cNvSpPr>
      </xdr:nvSpPr>
      <xdr:spPr>
        <a:xfrm>
          <a:off x="990600" y="5391150"/>
          <a:ext cx="1104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dd3f3079-4eb9-43a1-88c6-8df811f7c747}" type="TxLink">
            <a:rPr lang="en-US" cap="none" sz="1100" b="0" i="0" u="none" baseline="0">
              <a:solidFill>
                <a:srgbClr val="000000"/>
              </a:solidFill>
            </a:rPr>
            <a:t>H0=0m</a:t>
          </a:fld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2</xdr:col>
      <xdr:colOff>266700</xdr:colOff>
      <xdr:row>27</xdr:row>
      <xdr:rowOff>95250</xdr:rowOff>
    </xdr:to>
    <xdr:sp textlink="$R$35">
      <xdr:nvSpPr>
        <xdr:cNvPr id="95" name="TextBox 892"/>
        <xdr:cNvSpPr txBox="1">
          <a:spLocks noChangeArrowheads="1"/>
        </xdr:cNvSpPr>
      </xdr:nvSpPr>
      <xdr:spPr>
        <a:xfrm>
          <a:off x="942975" y="6067425"/>
          <a:ext cx="1104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628861ad-c5cc-4cd5-8f52-b92b34fdd95a}" type="TxLink">
            <a:rPr lang="en-US" cap="none" sz="1100" b="0" i="0" u="none" baseline="0">
              <a:solidFill>
                <a:srgbClr val="000000"/>
              </a:solidFill>
            </a:rPr>
            <a:t>H=2m</a:t>
          </a:fld>
        </a:p>
      </xdr:txBody>
    </xdr:sp>
    <xdr:clientData/>
  </xdr:twoCellAnchor>
  <xdr:twoCellAnchor>
    <xdr:from>
      <xdr:col>1</xdr:col>
      <xdr:colOff>95250</xdr:colOff>
      <xdr:row>30</xdr:row>
      <xdr:rowOff>114300</xdr:rowOff>
    </xdr:from>
    <xdr:to>
      <xdr:col>2</xdr:col>
      <xdr:colOff>276225</xdr:colOff>
      <xdr:row>31</xdr:row>
      <xdr:rowOff>85725</xdr:rowOff>
    </xdr:to>
    <xdr:sp textlink="$R$53">
      <xdr:nvSpPr>
        <xdr:cNvPr id="96" name="TextBox 893"/>
        <xdr:cNvSpPr txBox="1">
          <a:spLocks noChangeArrowheads="1"/>
        </xdr:cNvSpPr>
      </xdr:nvSpPr>
      <xdr:spPr>
        <a:xfrm>
          <a:off x="952500" y="697230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784e4715-f680-436d-bc7e-1059795b19c1}" type="TxLink">
            <a:rPr lang="en-US" cap="none" sz="1100" b="0" i="0" u="none" baseline="0">
              <a:solidFill>
                <a:srgbClr val="000000"/>
              </a:solidFill>
            </a:rPr>
            <a:t>Df=0.5m</a:t>
          </a:fld>
        </a:p>
      </xdr:txBody>
    </xdr:sp>
    <xdr:clientData/>
  </xdr:twoCellAnchor>
  <xdr:twoCellAnchor>
    <xdr:from>
      <xdr:col>2</xdr:col>
      <xdr:colOff>295275</xdr:colOff>
      <xdr:row>31</xdr:row>
      <xdr:rowOff>114300</xdr:rowOff>
    </xdr:from>
    <xdr:to>
      <xdr:col>3</xdr:col>
      <xdr:colOff>457200</xdr:colOff>
      <xdr:row>32</xdr:row>
      <xdr:rowOff>85725</xdr:rowOff>
    </xdr:to>
    <xdr:sp textlink="$R$37">
      <xdr:nvSpPr>
        <xdr:cNvPr id="97" name="TextBox 894"/>
        <xdr:cNvSpPr txBox="1">
          <a:spLocks noChangeArrowheads="1"/>
        </xdr:cNvSpPr>
      </xdr:nvSpPr>
      <xdr:spPr>
        <a:xfrm>
          <a:off x="2076450" y="72009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3dadd85-7cad-416f-bfe9-5bc96a07e699}" type="TxLink">
            <a:rPr lang="en-US" cap="none" sz="1100" b="0" i="0" u="none" baseline="0">
              <a:solidFill>
                <a:srgbClr val="000000"/>
              </a:solidFill>
            </a:rPr>
            <a:t>B=1.4m</a:t>
          </a:fld>
        </a:p>
      </xdr:txBody>
    </xdr:sp>
    <xdr:clientData/>
  </xdr:twoCellAnchor>
  <xdr:twoCellAnchor>
    <xdr:from>
      <xdr:col>3</xdr:col>
      <xdr:colOff>295275</xdr:colOff>
      <xdr:row>27</xdr:row>
      <xdr:rowOff>19050</xdr:rowOff>
    </xdr:from>
    <xdr:to>
      <xdr:col>4</xdr:col>
      <xdr:colOff>466725</xdr:colOff>
      <xdr:row>27</xdr:row>
      <xdr:rowOff>219075</xdr:rowOff>
    </xdr:to>
    <xdr:sp textlink="$R$39">
      <xdr:nvSpPr>
        <xdr:cNvPr id="98" name="TextBox 895"/>
        <xdr:cNvSpPr txBox="1">
          <a:spLocks noChangeArrowheads="1"/>
        </xdr:cNvSpPr>
      </xdr:nvSpPr>
      <xdr:spPr>
        <a:xfrm>
          <a:off x="3028950" y="619125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9d80aa-4205-432f-a9b6-8cb1ad6b33fc}" type="TxLink">
            <a:rPr lang="en-US" cap="none" sz="1100" b="0" i="0" u="none" baseline="0">
              <a:solidFill>
                <a:srgbClr val="000000"/>
              </a:solidFill>
            </a:rPr>
            <a:t>1: 0.2</a:t>
          </a:fld>
        </a:p>
      </xdr:txBody>
    </xdr:sp>
    <xdr:clientData/>
  </xdr:twoCellAnchor>
  <xdr:twoCellAnchor>
    <xdr:from>
      <xdr:col>2</xdr:col>
      <xdr:colOff>371475</xdr:colOff>
      <xdr:row>22</xdr:row>
      <xdr:rowOff>219075</xdr:rowOff>
    </xdr:from>
    <xdr:to>
      <xdr:col>3</xdr:col>
      <xdr:colOff>523875</xdr:colOff>
      <xdr:row>23</xdr:row>
      <xdr:rowOff>190500</xdr:rowOff>
    </xdr:to>
    <xdr:sp textlink="$R$36">
      <xdr:nvSpPr>
        <xdr:cNvPr id="99" name="TextBox 896"/>
        <xdr:cNvSpPr txBox="1">
          <a:spLocks noChangeArrowheads="1"/>
        </xdr:cNvSpPr>
      </xdr:nvSpPr>
      <xdr:spPr>
        <a:xfrm>
          <a:off x="2152650" y="5248275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d4f4bea-617d-4e23-b4f0-e012c831bdd7}" type="TxLink">
            <a:rPr lang="en-US" cap="none" sz="1100" b="0" i="0" u="none" baseline="0">
              <a:solidFill>
                <a:srgbClr val="000000"/>
              </a:solidFill>
            </a:rPr>
            <a:t>bu=0.4m</a:t>
          </a:fld>
        </a:p>
      </xdr:txBody>
    </xdr:sp>
    <xdr:clientData/>
  </xdr:twoCellAnchor>
  <xdr:twoCellAnchor>
    <xdr:from>
      <xdr:col>3</xdr:col>
      <xdr:colOff>847725</xdr:colOff>
      <xdr:row>24</xdr:row>
      <xdr:rowOff>19050</xdr:rowOff>
    </xdr:from>
    <xdr:to>
      <xdr:col>5</xdr:col>
      <xdr:colOff>133350</xdr:colOff>
      <xdr:row>24</xdr:row>
      <xdr:rowOff>219075</xdr:rowOff>
    </xdr:to>
    <xdr:sp textlink="$R$42">
      <xdr:nvSpPr>
        <xdr:cNvPr id="100" name="TextBox 897"/>
        <xdr:cNvSpPr txBox="1">
          <a:spLocks noChangeArrowheads="1"/>
        </xdr:cNvSpPr>
      </xdr:nvSpPr>
      <xdr:spPr>
        <a:xfrm>
          <a:off x="3581400" y="550545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5b835c-4ef9-4c46-9202-bbaa880022d6}" type="TxLink">
            <a:rPr lang="en-US" cap="none" sz="1100" b="0" i="0" u="none" baseline="0">
              <a:solidFill>
                <a:srgbClr val="000000"/>
              </a:solidFill>
            </a:rPr>
            <a:t>1: 1.5</a:t>
          </a:fld>
        </a:p>
      </xdr:txBody>
    </xdr:sp>
    <xdr:clientData/>
  </xdr:twoCellAnchor>
  <xdr:twoCellAnchor>
    <xdr:from>
      <xdr:col>1</xdr:col>
      <xdr:colOff>485775</xdr:colOff>
      <xdr:row>26</xdr:row>
      <xdr:rowOff>76200</xdr:rowOff>
    </xdr:from>
    <xdr:to>
      <xdr:col>2</xdr:col>
      <xdr:colOff>666750</xdr:colOff>
      <xdr:row>27</xdr:row>
      <xdr:rowOff>47625</xdr:rowOff>
    </xdr:to>
    <xdr:sp textlink="$R$38">
      <xdr:nvSpPr>
        <xdr:cNvPr id="101" name="TextBox 898"/>
        <xdr:cNvSpPr txBox="1">
          <a:spLocks noChangeArrowheads="1"/>
        </xdr:cNvSpPr>
      </xdr:nvSpPr>
      <xdr:spPr>
        <a:xfrm>
          <a:off x="1343025" y="601980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fd4c2bf5-4908-42c2-a210-c73b92491917}" type="TxLink">
            <a:rPr lang="en-US" cap="none" sz="1100" b="0" i="0" u="none" baseline="0">
              <a:solidFill>
                <a:srgbClr val="000000"/>
              </a:solidFill>
            </a:rPr>
            <a:t>1: 0.3</a:t>
          </a:fld>
        </a:p>
      </xdr:txBody>
    </xdr:sp>
    <xdr:clientData/>
  </xdr:twoCellAnchor>
  <xdr:twoCellAnchor editAs="oneCell">
    <xdr:from>
      <xdr:col>2</xdr:col>
      <xdr:colOff>942975</xdr:colOff>
      <xdr:row>221</xdr:row>
      <xdr:rowOff>152400</xdr:rowOff>
    </xdr:from>
    <xdr:to>
      <xdr:col>3</xdr:col>
      <xdr:colOff>895350</xdr:colOff>
      <xdr:row>223</xdr:row>
      <xdr:rowOff>104775</xdr:rowOff>
    </xdr:to>
    <xdr:pic>
      <xdr:nvPicPr>
        <xdr:cNvPr id="102" name="Picture 89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24150" y="50673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226</xdr:row>
      <xdr:rowOff>200025</xdr:rowOff>
    </xdr:from>
    <xdr:to>
      <xdr:col>6</xdr:col>
      <xdr:colOff>762000</xdr:colOff>
      <xdr:row>227</xdr:row>
      <xdr:rowOff>171450</xdr:rowOff>
    </xdr:to>
    <xdr:sp textlink="$R$47">
      <xdr:nvSpPr>
        <xdr:cNvPr id="103" name="TextBox 902"/>
        <xdr:cNvSpPr txBox="1">
          <a:spLocks noChangeArrowheads="1"/>
        </xdr:cNvSpPr>
      </xdr:nvSpPr>
      <xdr:spPr>
        <a:xfrm>
          <a:off x="5133975" y="51863625"/>
          <a:ext cx="1104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dc679418-d590-4cee-bdda-76dcdedd571a}" type="TxLink">
            <a:rPr lang="en-US" cap="none" sz="1100" b="0" i="0" u="none" baseline="0">
              <a:solidFill>
                <a:srgbClr val="000000"/>
              </a:solidFill>
            </a:rPr>
            <a:t>q=10kN/m2</a:t>
          </a:fld>
        </a:p>
      </xdr:txBody>
    </xdr:sp>
    <xdr:clientData/>
  </xdr:twoCellAnchor>
  <xdr:twoCellAnchor>
    <xdr:from>
      <xdr:col>5</xdr:col>
      <xdr:colOff>276225</xdr:colOff>
      <xdr:row>229</xdr:row>
      <xdr:rowOff>114300</xdr:rowOff>
    </xdr:from>
    <xdr:to>
      <xdr:col>6</xdr:col>
      <xdr:colOff>457200</xdr:colOff>
      <xdr:row>230</xdr:row>
      <xdr:rowOff>85725</xdr:rowOff>
    </xdr:to>
    <xdr:sp textlink="$R$41">
      <xdr:nvSpPr>
        <xdr:cNvPr id="104" name="TextBox 903"/>
        <xdr:cNvSpPr txBox="1">
          <a:spLocks noChangeArrowheads="1"/>
        </xdr:cNvSpPr>
      </xdr:nvSpPr>
      <xdr:spPr>
        <a:xfrm>
          <a:off x="4829175" y="5246370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a54521b-aaf5-464d-a49a-a18e2dea6877}" type="TxLink">
            <a:rPr lang="en-US" cap="none" sz="1100" b="0" i="0" u="none" baseline="0">
              <a:solidFill>
                <a:srgbClr val="000000"/>
              </a:solidFill>
            </a:rPr>
            <a:t>H0=0m</a:t>
          </a:fld>
        </a:p>
      </xdr:txBody>
    </xdr:sp>
    <xdr:clientData/>
  </xdr:twoCellAnchor>
  <xdr:twoCellAnchor>
    <xdr:from>
      <xdr:col>5</xdr:col>
      <xdr:colOff>133350</xdr:colOff>
      <xdr:row>231</xdr:row>
      <xdr:rowOff>200025</xdr:rowOff>
    </xdr:from>
    <xdr:to>
      <xdr:col>6</xdr:col>
      <xdr:colOff>314325</xdr:colOff>
      <xdr:row>232</xdr:row>
      <xdr:rowOff>171450</xdr:rowOff>
    </xdr:to>
    <xdr:sp textlink="$R$35">
      <xdr:nvSpPr>
        <xdr:cNvPr id="105" name="TextBox 904"/>
        <xdr:cNvSpPr txBox="1">
          <a:spLocks noChangeArrowheads="1"/>
        </xdr:cNvSpPr>
      </xdr:nvSpPr>
      <xdr:spPr>
        <a:xfrm>
          <a:off x="4686300" y="53006625"/>
          <a:ext cx="1104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9e400b8d-77d6-4165-a429-8d7af0eb9559}" type="TxLink">
            <a:rPr lang="en-US" cap="none" sz="1100" b="0" i="0" u="none" baseline="0">
              <a:solidFill>
                <a:srgbClr val="000000"/>
              </a:solidFill>
            </a:rPr>
            <a:t>H=2m</a:t>
          </a:fld>
        </a:p>
      </xdr:txBody>
    </xdr:sp>
    <xdr:clientData/>
  </xdr:twoCellAnchor>
  <xdr:twoCellAnchor>
    <xdr:from>
      <xdr:col>2</xdr:col>
      <xdr:colOff>676275</xdr:colOff>
      <xdr:row>235</xdr:row>
      <xdr:rowOff>9525</xdr:rowOff>
    </xdr:from>
    <xdr:to>
      <xdr:col>3</xdr:col>
      <xdr:colOff>838200</xdr:colOff>
      <xdr:row>235</xdr:row>
      <xdr:rowOff>209550</xdr:rowOff>
    </xdr:to>
    <xdr:sp textlink="$R$53">
      <xdr:nvSpPr>
        <xdr:cNvPr id="106" name="TextBox 905"/>
        <xdr:cNvSpPr txBox="1">
          <a:spLocks noChangeArrowheads="1"/>
        </xdr:cNvSpPr>
      </xdr:nvSpPr>
      <xdr:spPr>
        <a:xfrm>
          <a:off x="2457450" y="53730525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6265f451-8474-49f8-a64f-09b0a933c8fc}" type="TxLink">
            <a:rPr lang="en-US" cap="none" sz="1100" b="0" i="0" u="none" baseline="0">
              <a:solidFill>
                <a:srgbClr val="000000"/>
              </a:solidFill>
            </a:rPr>
            <a:t>Df=0.5m</a:t>
          </a:fld>
        </a:p>
      </xdr:txBody>
    </xdr:sp>
    <xdr:clientData/>
  </xdr:twoCellAnchor>
  <xdr:twoCellAnchor>
    <xdr:from>
      <xdr:col>3</xdr:col>
      <xdr:colOff>600075</xdr:colOff>
      <xdr:row>236</xdr:row>
      <xdr:rowOff>0</xdr:rowOff>
    </xdr:from>
    <xdr:to>
      <xdr:col>4</xdr:col>
      <xdr:colOff>762000</xdr:colOff>
      <xdr:row>236</xdr:row>
      <xdr:rowOff>200025</xdr:rowOff>
    </xdr:to>
    <xdr:sp textlink="$R$37">
      <xdr:nvSpPr>
        <xdr:cNvPr id="107" name="TextBox 906"/>
        <xdr:cNvSpPr txBox="1">
          <a:spLocks noChangeArrowheads="1"/>
        </xdr:cNvSpPr>
      </xdr:nvSpPr>
      <xdr:spPr>
        <a:xfrm>
          <a:off x="3333750" y="5394960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65d1d08-891c-4a56-aa2d-2a47f9a3a6ae}" type="TxLink">
            <a:rPr lang="en-US" cap="none" sz="1100" b="0" i="0" u="none" baseline="0">
              <a:solidFill>
                <a:srgbClr val="000000"/>
              </a:solidFill>
            </a:rPr>
            <a:t>B=1.4m</a:t>
          </a:fld>
        </a:p>
      </xdr:txBody>
    </xdr:sp>
    <xdr:clientData/>
  </xdr:twoCellAnchor>
  <xdr:twoCellAnchor>
    <xdr:from>
      <xdr:col>3</xdr:col>
      <xdr:colOff>485775</xdr:colOff>
      <xdr:row>228</xdr:row>
      <xdr:rowOff>142875</xdr:rowOff>
    </xdr:from>
    <xdr:to>
      <xdr:col>4</xdr:col>
      <xdr:colOff>647700</xdr:colOff>
      <xdr:row>229</xdr:row>
      <xdr:rowOff>114300</xdr:rowOff>
    </xdr:to>
    <xdr:sp textlink="$R$36">
      <xdr:nvSpPr>
        <xdr:cNvPr id="108" name="TextBox 908"/>
        <xdr:cNvSpPr txBox="1">
          <a:spLocks noChangeArrowheads="1"/>
        </xdr:cNvSpPr>
      </xdr:nvSpPr>
      <xdr:spPr>
        <a:xfrm>
          <a:off x="3219450" y="52263675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83dcdc8-0707-4fb7-8c20-7321d5bf3723}" type="TxLink">
            <a:rPr lang="en-US" cap="none" sz="1100" b="0" i="0" u="none" baseline="0">
              <a:solidFill>
                <a:srgbClr val="000000"/>
              </a:solidFill>
            </a:rPr>
            <a:t>bu=0.4m</a:t>
          </a:fld>
        </a:p>
      </xdr:txBody>
    </xdr:sp>
    <xdr:clientData/>
  </xdr:twoCellAnchor>
  <xdr:twoCellAnchor>
    <xdr:from>
      <xdr:col>4</xdr:col>
      <xdr:colOff>581025</xdr:colOff>
      <xdr:row>228</xdr:row>
      <xdr:rowOff>57150</xdr:rowOff>
    </xdr:from>
    <xdr:to>
      <xdr:col>5</xdr:col>
      <xdr:colOff>809625</xdr:colOff>
      <xdr:row>229</xdr:row>
      <xdr:rowOff>28575</xdr:rowOff>
    </xdr:to>
    <xdr:sp textlink="$R$42">
      <xdr:nvSpPr>
        <xdr:cNvPr id="109" name="TextBox 909"/>
        <xdr:cNvSpPr txBox="1">
          <a:spLocks noChangeArrowheads="1"/>
        </xdr:cNvSpPr>
      </xdr:nvSpPr>
      <xdr:spPr>
        <a:xfrm>
          <a:off x="4257675" y="5217795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5f8012-cf10-44ef-8a29-19cf2f0df4b5}" type="TxLink">
            <a:rPr lang="en-US" cap="none" sz="1100" b="0" i="0" u="none" baseline="0">
              <a:solidFill>
                <a:srgbClr val="000000"/>
              </a:solidFill>
            </a:rPr>
            <a:t>1: 1.5</a:t>
          </a:fld>
        </a:p>
      </xdr:txBody>
    </xdr:sp>
    <xdr:clientData/>
  </xdr:twoCellAnchor>
  <xdr:twoCellAnchor>
    <xdr:from>
      <xdr:col>3</xdr:col>
      <xdr:colOff>47625</xdr:colOff>
      <xdr:row>229</xdr:row>
      <xdr:rowOff>219075</xdr:rowOff>
    </xdr:from>
    <xdr:to>
      <xdr:col>3</xdr:col>
      <xdr:colOff>790575</xdr:colOff>
      <xdr:row>230</xdr:row>
      <xdr:rowOff>219075</xdr:rowOff>
    </xdr:to>
    <xdr:sp textlink="$R$5">
      <xdr:nvSpPr>
        <xdr:cNvPr id="110" name="TextBox 911"/>
        <xdr:cNvSpPr txBox="1">
          <a:spLocks noChangeArrowheads="1"/>
        </xdr:cNvSpPr>
      </xdr:nvSpPr>
      <xdr:spPr>
        <a:xfrm>
          <a:off x="2781300" y="52568475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0386fc-d6e7-48f1-9a91-79639fc480eb}" type="TxLink">
            <a:rPr lang="en-US" cap="none" sz="1100" b="0" i="0" u="none" baseline="0">
              <a:solidFill>
                <a:srgbClr val="000000"/>
              </a:solidFill>
            </a:rPr>
            <a:t>λ=3m</a:t>
          </a:fld>
        </a:p>
      </xdr:txBody>
    </xdr:sp>
    <xdr:clientData/>
  </xdr:twoCellAnchor>
  <xdr:twoCellAnchor>
    <xdr:from>
      <xdr:col>0</xdr:col>
      <xdr:colOff>723900</xdr:colOff>
      <xdr:row>236</xdr:row>
      <xdr:rowOff>0</xdr:rowOff>
    </xdr:from>
    <xdr:to>
      <xdr:col>1</xdr:col>
      <xdr:colOff>742950</xdr:colOff>
      <xdr:row>237</xdr:row>
      <xdr:rowOff>9525</xdr:rowOff>
    </xdr:to>
    <xdr:sp textlink="$R$249">
      <xdr:nvSpPr>
        <xdr:cNvPr id="111" name="TextBox 912"/>
        <xdr:cNvSpPr txBox="1">
          <a:spLocks noChangeArrowheads="1"/>
        </xdr:cNvSpPr>
      </xdr:nvSpPr>
      <xdr:spPr>
        <a:xfrm>
          <a:off x="723900" y="5394960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fld id="{75e72f41-80a0-462f-87da-c3eb9713d6d7}" type="TxLink">
            <a:rPr lang="en-US" cap="none" sz="1100" b="0" i="0" u="none" baseline="0">
              <a:solidFill>
                <a:srgbClr val="000000"/>
              </a:solidFill>
            </a:rPr>
            <a:t>H=4m</a:t>
          </a:fld>
        </a:p>
      </xdr:txBody>
    </xdr:sp>
    <xdr:clientData/>
  </xdr:twoCellAnchor>
  <xdr:twoCellAnchor>
    <xdr:from>
      <xdr:col>1</xdr:col>
      <xdr:colOff>600075</xdr:colOff>
      <xdr:row>230</xdr:row>
      <xdr:rowOff>95250</xdr:rowOff>
    </xdr:from>
    <xdr:to>
      <xdr:col>2</xdr:col>
      <xdr:colOff>561975</xdr:colOff>
      <xdr:row>231</xdr:row>
      <xdr:rowOff>104775</xdr:rowOff>
    </xdr:to>
    <xdr:sp textlink="$R$250">
      <xdr:nvSpPr>
        <xdr:cNvPr id="112" name="TextBox 913"/>
        <xdr:cNvSpPr txBox="1">
          <a:spLocks noChangeArrowheads="1"/>
        </xdr:cNvSpPr>
      </xdr:nvSpPr>
      <xdr:spPr>
        <a:xfrm>
          <a:off x="1457325" y="5267325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fld id="{493e1157-8148-46f1-b9ae-1de3f23f7c7b}" type="TxLink">
            <a:rPr lang="en-US" cap="none" sz="1100" b="0" i="0" u="none" baseline="0">
              <a:solidFill>
                <a:srgbClr val="000000"/>
              </a:solidFill>
            </a:rPr>
            <a:t>b=0.4m</a:t>
          </a:fld>
        </a:p>
      </xdr:txBody>
    </xdr:sp>
    <xdr:clientData/>
  </xdr:twoCellAnchor>
  <xdr:twoCellAnchor>
    <xdr:from>
      <xdr:col>1</xdr:col>
      <xdr:colOff>876300</xdr:colOff>
      <xdr:row>240</xdr:row>
      <xdr:rowOff>190500</xdr:rowOff>
    </xdr:from>
    <xdr:to>
      <xdr:col>2</xdr:col>
      <xdr:colOff>838200</xdr:colOff>
      <xdr:row>241</xdr:row>
      <xdr:rowOff>200025</xdr:rowOff>
    </xdr:to>
    <xdr:sp textlink="$R$251">
      <xdr:nvSpPr>
        <xdr:cNvPr id="113" name="TextBox 914"/>
        <xdr:cNvSpPr txBox="1">
          <a:spLocks noChangeArrowheads="1"/>
        </xdr:cNvSpPr>
      </xdr:nvSpPr>
      <xdr:spPr>
        <a:xfrm>
          <a:off x="1733550" y="55054500"/>
          <a:ext cx="88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efbe8edf-11cf-496b-bfe2-bb1ed81ee498}" type="TxLink">
            <a:rPr lang="en-US" cap="none" sz="1100" b="0" i="0" u="none" baseline="0">
              <a:solidFill>
                <a:srgbClr val="000000"/>
              </a:solidFill>
            </a:rPr>
            <a:t>B=2.4m</a:t>
          </a:fld>
        </a:p>
      </xdr:txBody>
    </xdr:sp>
    <xdr:clientData/>
  </xdr:twoCellAnchor>
  <xdr:twoCellAnchor>
    <xdr:from>
      <xdr:col>1</xdr:col>
      <xdr:colOff>238125</xdr:colOff>
      <xdr:row>235</xdr:row>
      <xdr:rowOff>47625</xdr:rowOff>
    </xdr:from>
    <xdr:to>
      <xdr:col>2</xdr:col>
      <xdr:colOff>190500</xdr:colOff>
      <xdr:row>236</xdr:row>
      <xdr:rowOff>57150</xdr:rowOff>
    </xdr:to>
    <xdr:sp textlink="$R$252">
      <xdr:nvSpPr>
        <xdr:cNvPr id="114" name="TextBox 915"/>
        <xdr:cNvSpPr txBox="1">
          <a:spLocks noChangeArrowheads="1"/>
        </xdr:cNvSpPr>
      </xdr:nvSpPr>
      <xdr:spPr>
        <a:xfrm>
          <a:off x="1095375" y="53768625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7a9c9f9b-5cc3-4313-b3d5-af89352a23df}" type="TxLink">
            <a:rPr lang="en-US" cap="none" sz="1100" b="0" i="0" u="none" baseline="0">
              <a:solidFill>
                <a:srgbClr val="000000"/>
              </a:solidFill>
            </a:rPr>
            <a:t>1: 0.5</a:t>
          </a:fld>
        </a:p>
      </xdr:txBody>
    </xdr:sp>
    <xdr:clientData/>
  </xdr:twoCellAnchor>
  <xdr:twoCellAnchor>
    <xdr:from>
      <xdr:col>2</xdr:col>
      <xdr:colOff>428625</xdr:colOff>
      <xdr:row>236</xdr:row>
      <xdr:rowOff>47625</xdr:rowOff>
    </xdr:from>
    <xdr:to>
      <xdr:col>3</xdr:col>
      <xdr:colOff>361950</xdr:colOff>
      <xdr:row>237</xdr:row>
      <xdr:rowOff>57150</xdr:rowOff>
    </xdr:to>
    <xdr:sp textlink="$R$253">
      <xdr:nvSpPr>
        <xdr:cNvPr id="115" name="TextBox 916"/>
        <xdr:cNvSpPr txBox="1">
          <a:spLocks noChangeArrowheads="1"/>
        </xdr:cNvSpPr>
      </xdr:nvSpPr>
      <xdr:spPr>
        <a:xfrm>
          <a:off x="2209800" y="53997225"/>
          <a:ext cx="88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58186930-3593-4187-a462-94061fdca7ef}" type="TxLink">
            <a:rPr lang="en-US" cap="none" sz="1100" b="0" i="0" u="none" baseline="0">
              <a:solidFill>
                <a:srgbClr val="000000"/>
              </a:solidFill>
            </a:rPr>
            <a:t>1: 0</a:t>
          </a:fld>
        </a:p>
      </xdr:txBody>
    </xdr:sp>
    <xdr:clientData/>
  </xdr:twoCellAnchor>
  <xdr:twoCellAnchor>
    <xdr:from>
      <xdr:col>2</xdr:col>
      <xdr:colOff>771525</xdr:colOff>
      <xdr:row>231</xdr:row>
      <xdr:rowOff>114300</xdr:rowOff>
    </xdr:from>
    <xdr:to>
      <xdr:col>3</xdr:col>
      <xdr:colOff>628650</xdr:colOff>
      <xdr:row>232</xdr:row>
      <xdr:rowOff>95250</xdr:rowOff>
    </xdr:to>
    <xdr:sp textlink="$R$260">
      <xdr:nvSpPr>
        <xdr:cNvPr id="116" name="TextBox 917"/>
        <xdr:cNvSpPr txBox="1">
          <a:spLocks noChangeArrowheads="1"/>
        </xdr:cNvSpPr>
      </xdr:nvSpPr>
      <xdr:spPr>
        <a:xfrm>
          <a:off x="2552700" y="5292090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0f77aa-8f71-4325-98d3-0d162541094f}" type="TxLink">
            <a:rPr lang="en-US" cap="none" sz="1100" b="0" i="0" u="none" baseline="0">
              <a:solidFill>
                <a:srgbClr val="000000"/>
              </a:solidFill>
            </a:rPr>
            <a:t>q=0kN/m2</a:t>
          </a:fld>
        </a:p>
      </xdr:txBody>
    </xdr:sp>
    <xdr:clientData/>
  </xdr:twoCellAnchor>
  <xdr:twoCellAnchor editAs="oneCell">
    <xdr:from>
      <xdr:col>2</xdr:col>
      <xdr:colOff>666750</xdr:colOff>
      <xdr:row>467</xdr:row>
      <xdr:rowOff>171450</xdr:rowOff>
    </xdr:from>
    <xdr:to>
      <xdr:col>3</xdr:col>
      <xdr:colOff>619125</xdr:colOff>
      <xdr:row>469</xdr:row>
      <xdr:rowOff>123825</xdr:rowOff>
    </xdr:to>
    <xdr:pic>
      <xdr:nvPicPr>
        <xdr:cNvPr id="117" name="Picture 9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47925" y="10692765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U25"/>
  <sheetViews>
    <sheetView showGridLines="0" showRowColHeaders="0" tabSelected="1" workbookViewId="0" topLeftCell="A10">
      <selection activeCell="A28" sqref="A28:G35"/>
    </sheetView>
  </sheetViews>
  <sheetFormatPr defaultColWidth="9" defaultRowHeight="19.5" customHeight="1"/>
  <cols>
    <col min="1" max="69" width="9" style="171" customWidth="1"/>
    <col min="70" max="70" width="11.09765625" style="171" customWidth="1"/>
    <col min="71" max="71" width="9" style="171" customWidth="1"/>
    <col min="72" max="72" width="12.19921875" style="171" customWidth="1"/>
    <col min="73" max="16384" width="9" style="171" customWidth="1"/>
  </cols>
  <sheetData>
    <row r="1" spans="1:73" ht="19.5" customHeight="1">
      <c r="A1" s="171" t="s">
        <v>170</v>
      </c>
      <c r="BQ1" s="192"/>
      <c r="BR1" s="195"/>
      <c r="BS1" s="195"/>
      <c r="BT1" s="195"/>
      <c r="BU1" s="192"/>
    </row>
    <row r="2" spans="1:73" ht="19.5" customHeight="1">
      <c r="A2" s="172"/>
      <c r="B2" s="216"/>
      <c r="C2" s="216"/>
      <c r="D2" s="173" t="s">
        <v>143</v>
      </c>
      <c r="E2" s="174" t="s">
        <v>144</v>
      </c>
      <c r="BQ2" s="192"/>
      <c r="BR2" s="195" t="str">
        <f>"Hl="&amp;Hl&amp;"m"</f>
        <v>Hl=4m</v>
      </c>
      <c r="BS2" s="195"/>
      <c r="BT2" s="195" t="str">
        <f>"μ="&amp;μ</f>
        <v>μ=0.6</v>
      </c>
      <c r="BU2" s="192"/>
    </row>
    <row r="3" spans="1:73" ht="19.5" customHeight="1">
      <c r="A3" s="172"/>
      <c r="B3" s="175" t="s">
        <v>145</v>
      </c>
      <c r="C3" s="176" t="s">
        <v>146</v>
      </c>
      <c r="D3" s="167">
        <v>2</v>
      </c>
      <c r="E3" s="168">
        <v>4</v>
      </c>
      <c r="BQ3" s="192"/>
      <c r="BR3" s="195" t="str">
        <f>"Hu="&amp;D3&amp;"m"</f>
        <v>Hu=2m</v>
      </c>
      <c r="BS3" s="195"/>
      <c r="BT3" s="195" t="str">
        <f>"qd="&amp;D15&amp;"kN/m2"</f>
        <v>qd=900kN/m2</v>
      </c>
      <c r="BU3" s="192"/>
    </row>
    <row r="4" spans="1:73" ht="19.5" customHeight="1">
      <c r="A4" s="177"/>
      <c r="B4" s="175" t="s">
        <v>147</v>
      </c>
      <c r="C4" s="176" t="s">
        <v>181</v>
      </c>
      <c r="D4" s="167">
        <v>0.4</v>
      </c>
      <c r="E4" s="168">
        <v>0.4</v>
      </c>
      <c r="BQ4" s="192"/>
      <c r="BR4" s="195" t="str">
        <f>"Bl="&amp;Bl&amp;"m"</f>
        <v>Bl=2.4m</v>
      </c>
      <c r="BS4" s="195"/>
      <c r="BT4" s="195"/>
      <c r="BU4" s="192"/>
    </row>
    <row r="5" spans="1:73" ht="19.5" customHeight="1">
      <c r="A5" s="177"/>
      <c r="B5" s="175" t="s">
        <v>148</v>
      </c>
      <c r="C5" s="178" t="s">
        <v>162</v>
      </c>
      <c r="D5" s="167">
        <v>0.3</v>
      </c>
      <c r="E5" s="168">
        <v>0.5</v>
      </c>
      <c r="BQ5" s="192"/>
      <c r="BR5" s="195" t="str">
        <f>"Bu="&amp;B&amp;"m"</f>
        <v>Bu=1.4m</v>
      </c>
      <c r="BS5" s="195"/>
      <c r="BT5" s="195" t="str">
        <f>"γ="&amp;γs&amp;"kN/m3"</f>
        <v>γ=20kN/m3</v>
      </c>
      <c r="BU5" s="192"/>
    </row>
    <row r="6" spans="1:73" ht="19.5" customHeight="1">
      <c r="A6" s="177"/>
      <c r="B6" s="175" t="s">
        <v>149</v>
      </c>
      <c r="C6" s="178" t="s">
        <v>163</v>
      </c>
      <c r="D6" s="167">
        <v>0.2</v>
      </c>
      <c r="E6" s="168">
        <v>0</v>
      </c>
      <c r="BQ6" s="192"/>
      <c r="BR6" s="195" t="str">
        <f>"bol="&amp;bol&amp;"m"</f>
        <v>bol=0.4m</v>
      </c>
      <c r="BS6" s="195"/>
      <c r="BT6" s="195" t="str">
        <f>"φ="&amp;D14&amp;"゜"</f>
        <v>φ=35゜</v>
      </c>
      <c r="BU6" s="192"/>
    </row>
    <row r="7" spans="1:73" ht="19.5" customHeight="1">
      <c r="A7" s="177"/>
      <c r="B7" s="175" t="s">
        <v>90</v>
      </c>
      <c r="C7" s="176" t="s">
        <v>164</v>
      </c>
      <c r="D7" s="167">
        <v>0.5</v>
      </c>
      <c r="E7" s="179">
        <v>0</v>
      </c>
      <c r="BQ7" s="192"/>
      <c r="BR7" s="195" t="str">
        <f>"Df="&amp;Df&amp;"m"</f>
        <v>Df=0.5m</v>
      </c>
      <c r="BS7" s="195"/>
      <c r="BT7" s="195"/>
      <c r="BU7" s="192"/>
    </row>
    <row r="8" spans="1:73" ht="19.5" customHeight="1">
      <c r="A8" s="177"/>
      <c r="B8" s="175" t="s">
        <v>150</v>
      </c>
      <c r="C8" s="176" t="s">
        <v>165</v>
      </c>
      <c r="D8" s="169">
        <v>10</v>
      </c>
      <c r="E8" s="168">
        <v>0</v>
      </c>
      <c r="H8" s="180"/>
      <c r="BQ8" s="192"/>
      <c r="BR8" s="195" t="str">
        <f>"Ho="&amp;Ho&amp;"m"</f>
        <v>Ho=0m</v>
      </c>
      <c r="BS8" s="195"/>
      <c r="BT8" s="195"/>
      <c r="BU8" s="192"/>
    </row>
    <row r="9" spans="1:73" ht="19.5" customHeight="1">
      <c r="A9" s="177"/>
      <c r="B9" s="175" t="s">
        <v>151</v>
      </c>
      <c r="C9" s="173" t="s">
        <v>152</v>
      </c>
      <c r="D9" s="181" t="s">
        <v>153</v>
      </c>
      <c r="E9" s="168">
        <v>3</v>
      </c>
      <c r="H9" s="180"/>
      <c r="BQ9" s="192"/>
      <c r="BR9" s="195" t="str">
        <f>"q="&amp;D8&amp;"kN/m2"</f>
        <v>q=10kN/m2</v>
      </c>
      <c r="BS9" s="195"/>
      <c r="BT9" s="195"/>
      <c r="BU9" s="192"/>
    </row>
    <row r="10" spans="1:73" ht="19.5" customHeight="1">
      <c r="A10" s="177"/>
      <c r="B10" s="177"/>
      <c r="C10" s="177"/>
      <c r="D10" s="182"/>
      <c r="E10" s="182"/>
      <c r="H10" s="180"/>
      <c r="BQ10" s="192"/>
      <c r="BR10" s="195" t="str">
        <f>"λ="&amp;λ&amp;"m"</f>
        <v>λ=3m</v>
      </c>
      <c r="BS10" s="195"/>
      <c r="BT10" s="195"/>
      <c r="BU10" s="192"/>
    </row>
    <row r="11" spans="1:73" ht="19.5" customHeight="1">
      <c r="A11" s="183"/>
      <c r="B11" s="184" t="s">
        <v>154</v>
      </c>
      <c r="C11" s="176" t="s">
        <v>166</v>
      </c>
      <c r="D11" s="168">
        <v>0</v>
      </c>
      <c r="E11" s="182"/>
      <c r="H11" s="180"/>
      <c r="BQ11" s="192"/>
      <c r="BR11" s="195" t="str">
        <f>"ql="&amp;E8&amp;"kN/m2"</f>
        <v>ql=0kN/m2</v>
      </c>
      <c r="BS11" s="195"/>
      <c r="BT11" s="195"/>
      <c r="BU11" s="192"/>
    </row>
    <row r="12" spans="1:73" ht="19.5" customHeight="1">
      <c r="A12" s="183"/>
      <c r="B12" s="184" t="s">
        <v>155</v>
      </c>
      <c r="C12" s="178" t="s">
        <v>167</v>
      </c>
      <c r="D12" s="168">
        <v>1.5</v>
      </c>
      <c r="E12" s="182"/>
      <c r="BQ12" s="192"/>
      <c r="BR12" s="195" t="str">
        <f>"1:"&amp;m</f>
        <v>1:1.5</v>
      </c>
      <c r="BS12" s="195"/>
      <c r="BT12" s="195"/>
      <c r="BU12" s="192"/>
    </row>
    <row r="13" spans="1:73" ht="19.5" customHeight="1">
      <c r="A13" s="183"/>
      <c r="B13" s="184" t="s">
        <v>156</v>
      </c>
      <c r="C13" s="185" t="s">
        <v>168</v>
      </c>
      <c r="D13" s="170">
        <v>20</v>
      </c>
      <c r="E13" s="182"/>
      <c r="BQ13" s="192"/>
      <c r="BR13" s="195" t="str">
        <f>"bu="&amp;D4&amp;"m"</f>
        <v>bu=0.4m</v>
      </c>
      <c r="BS13" s="195"/>
      <c r="BT13" s="195"/>
      <c r="BU13" s="192"/>
    </row>
    <row r="14" spans="1:73" ht="19.5" customHeight="1">
      <c r="A14" s="183"/>
      <c r="B14" s="184" t="s">
        <v>157</v>
      </c>
      <c r="C14" s="173" t="s">
        <v>158</v>
      </c>
      <c r="D14" s="170">
        <v>35</v>
      </c>
      <c r="E14" s="182"/>
      <c r="BQ14" s="192"/>
      <c r="BR14" s="195" t="str">
        <f>"bl="&amp;E4&amp;"m"</f>
        <v>bl=0.4m</v>
      </c>
      <c r="BS14" s="195"/>
      <c r="BT14" s="195"/>
      <c r="BU14" s="192"/>
    </row>
    <row r="15" spans="1:73" ht="19.5" customHeight="1">
      <c r="A15" s="183"/>
      <c r="B15" s="184" t="s">
        <v>159</v>
      </c>
      <c r="C15" s="193" t="s">
        <v>169</v>
      </c>
      <c r="D15" s="170">
        <v>900</v>
      </c>
      <c r="E15" s="182"/>
      <c r="BQ15" s="192"/>
      <c r="BR15" s="195" t="str">
        <f>"1:"&amp;D5</f>
        <v>1:0.3</v>
      </c>
      <c r="BS15" s="195"/>
      <c r="BT15" s="195"/>
      <c r="BU15" s="192"/>
    </row>
    <row r="16" spans="1:73" ht="19.5" customHeight="1">
      <c r="A16" s="183"/>
      <c r="B16" s="184" t="s">
        <v>160</v>
      </c>
      <c r="C16" s="173" t="s">
        <v>161</v>
      </c>
      <c r="D16" s="170">
        <v>0.6</v>
      </c>
      <c r="E16" s="182"/>
      <c r="BQ16" s="192"/>
      <c r="BR16" s="195" t="str">
        <f>"1:"&amp;D6</f>
        <v>1:0.2</v>
      </c>
      <c r="BS16" s="195"/>
      <c r="BT16" s="195"/>
      <c r="BU16" s="192"/>
    </row>
    <row r="17" spans="1:73" ht="19.5" customHeight="1">
      <c r="A17" s="177"/>
      <c r="B17" s="177"/>
      <c r="C17" s="177"/>
      <c r="D17" s="182"/>
      <c r="E17" s="182"/>
      <c r="BQ17" s="192"/>
      <c r="BR17" s="195" t="str">
        <f>"1:"&amp;E5</f>
        <v>1:0.5</v>
      </c>
      <c r="BS17" s="195"/>
      <c r="BT17" s="195"/>
      <c r="BU17" s="192"/>
    </row>
    <row r="18" spans="1:73" ht="19.5" customHeight="1">
      <c r="A18" s="186" t="s">
        <v>182</v>
      </c>
      <c r="B18" s="177"/>
      <c r="C18" s="177"/>
      <c r="D18" s="177"/>
      <c r="E18" s="177"/>
      <c r="BQ18" s="192"/>
      <c r="BR18" s="195" t="str">
        <f>"1:"&amp;E6</f>
        <v>1:0</v>
      </c>
      <c r="BS18" s="195"/>
      <c r="BT18" s="195"/>
      <c r="BU18" s="192"/>
    </row>
    <row r="19" spans="1:73" ht="19.5" customHeight="1">
      <c r="A19" s="220"/>
      <c r="B19" s="221"/>
      <c r="C19" s="187" t="s">
        <v>172</v>
      </c>
      <c r="D19" s="187" t="s">
        <v>173</v>
      </c>
      <c r="E19" s="187" t="s">
        <v>174</v>
      </c>
      <c r="BQ19" s="192"/>
      <c r="BR19" s="195"/>
      <c r="BS19" s="195"/>
      <c r="BT19" s="195"/>
      <c r="BU19" s="192"/>
    </row>
    <row r="20" spans="1:73" ht="19.5" customHeight="1">
      <c r="A20" s="217" t="s">
        <v>176</v>
      </c>
      <c r="B20" s="188" t="s">
        <v>175</v>
      </c>
      <c r="C20" s="189">
        <f>'出力'!D202</f>
        <v>11.67</v>
      </c>
      <c r="D20" s="190">
        <v>3</v>
      </c>
      <c r="E20" s="191" t="str">
        <f aca="true" t="shared" si="0" ref="E20:E25">IF(C20&gt;=D20,"SAFE","OUT")</f>
        <v>SAFE</v>
      </c>
      <c r="N20" s="171" t="s">
        <v>349</v>
      </c>
      <c r="BQ20" s="192"/>
      <c r="BR20" s="192"/>
      <c r="BS20" s="192"/>
      <c r="BT20" s="192"/>
      <c r="BU20" s="192"/>
    </row>
    <row r="21" spans="1:73" ht="19.5" customHeight="1">
      <c r="A21" s="218"/>
      <c r="B21" s="188" t="s">
        <v>177</v>
      </c>
      <c r="C21" s="191">
        <f>'出力'!E217</f>
        <v>2.19</v>
      </c>
      <c r="D21" s="190">
        <v>1.5</v>
      </c>
      <c r="E21" s="191" t="str">
        <f t="shared" si="0"/>
        <v>SAFE</v>
      </c>
      <c r="BQ21" s="192"/>
      <c r="BR21" s="192"/>
      <c r="BS21" s="192"/>
      <c r="BT21" s="192"/>
      <c r="BU21" s="192"/>
    </row>
    <row r="22" spans="1:5" ht="19.5" customHeight="1">
      <c r="A22" s="219"/>
      <c r="B22" s="188" t="s">
        <v>178</v>
      </c>
      <c r="C22" s="191">
        <f>'出力'!E223</f>
        <v>18.98</v>
      </c>
      <c r="D22" s="190">
        <v>3</v>
      </c>
      <c r="E22" s="191" t="str">
        <f t="shared" si="0"/>
        <v>SAFE</v>
      </c>
    </row>
    <row r="23" spans="1:5" ht="19.5" customHeight="1">
      <c r="A23" s="217" t="s">
        <v>179</v>
      </c>
      <c r="B23" s="188" t="s">
        <v>171</v>
      </c>
      <c r="C23" s="189">
        <f>'出力'!D455</f>
        <v>8.57</v>
      </c>
      <c r="D23" s="190">
        <v>3</v>
      </c>
      <c r="E23" s="191" t="str">
        <f t="shared" si="0"/>
        <v>SAFE</v>
      </c>
    </row>
    <row r="24" spans="1:5" ht="19.5" customHeight="1">
      <c r="A24" s="218"/>
      <c r="B24" s="188" t="s">
        <v>180</v>
      </c>
      <c r="C24" s="191">
        <f>'出力'!E462</f>
        <v>2.41</v>
      </c>
      <c r="D24" s="190">
        <v>1.5</v>
      </c>
      <c r="E24" s="191" t="str">
        <f t="shared" si="0"/>
        <v>SAFE</v>
      </c>
    </row>
    <row r="25" spans="1:8" ht="19.5" customHeight="1">
      <c r="A25" s="219"/>
      <c r="B25" s="188" t="s">
        <v>178</v>
      </c>
      <c r="C25" s="191">
        <f>'出力'!E469</f>
        <v>11.09</v>
      </c>
      <c r="D25" s="190">
        <v>3</v>
      </c>
      <c r="E25" s="191" t="str">
        <f t="shared" si="0"/>
        <v>SAFE</v>
      </c>
      <c r="H25" s="171" t="s">
        <v>350</v>
      </c>
    </row>
    <row r="31" ht="38.25" customHeight="1"/>
  </sheetData>
  <sheetProtection/>
  <mergeCells count="4">
    <mergeCell ref="B2:C2"/>
    <mergeCell ref="A20:A22"/>
    <mergeCell ref="A23:A25"/>
    <mergeCell ref="A19:B19"/>
  </mergeCells>
  <conditionalFormatting sqref="C20">
    <cfRule type="cellIs" priority="1" dxfId="0" operator="lessThan" stopIfTrue="1">
      <formula>$D$20</formula>
    </cfRule>
  </conditionalFormatting>
  <conditionalFormatting sqref="C21 C24">
    <cfRule type="cellIs" priority="2" dxfId="0" operator="lessThan" stopIfTrue="1">
      <formula>$D$21</formula>
    </cfRule>
  </conditionalFormatting>
  <conditionalFormatting sqref="C22 C25">
    <cfRule type="cellIs" priority="3" dxfId="0" operator="lessThan" stopIfTrue="1">
      <formula>$D$22</formula>
    </cfRule>
  </conditionalFormatting>
  <printOptions/>
  <pageMargins left="0.75" right="0.75" top="1" bottom="1" header="0.512" footer="0.512"/>
  <pageSetup horizontalDpi="600" verticalDpi="6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J626"/>
  <sheetViews>
    <sheetView showOutlineSymbols="0" zoomScaleSheetLayoutView="100" workbookViewId="0" topLeftCell="A475">
      <selection activeCell="A268" sqref="A268"/>
    </sheetView>
  </sheetViews>
  <sheetFormatPr defaultColWidth="8.796875" defaultRowHeight="18" customHeight="1"/>
  <cols>
    <col min="1" max="1" width="9" style="123" customWidth="1"/>
    <col min="2" max="2" width="9.69921875" style="9" customWidth="1"/>
    <col min="3" max="3" width="10" style="9" customWidth="1"/>
    <col min="4" max="4" width="9.8984375" style="9" customWidth="1"/>
    <col min="5" max="5" width="9.19921875" style="9" customWidth="1"/>
    <col min="6" max="6" width="9.69921875" style="9" customWidth="1"/>
    <col min="7" max="7" width="8.8984375" style="9" customWidth="1"/>
    <col min="8" max="27" width="8.3984375" style="9" customWidth="1"/>
    <col min="28" max="33" width="9.5" style="9" customWidth="1"/>
    <col min="34" max="36" width="9" style="9" customWidth="1"/>
    <col min="37" max="37" width="9.8984375" style="9" customWidth="1"/>
    <col min="38" max="38" width="9.09765625" style="9" customWidth="1"/>
    <col min="39" max="39" width="10.09765625" style="9" bestFit="1" customWidth="1"/>
    <col min="40" max="40" width="8.09765625" style="9" customWidth="1"/>
    <col min="41" max="42" width="9" style="9" customWidth="1"/>
    <col min="43" max="43" width="9.59765625" style="9" customWidth="1"/>
    <col min="44" max="45" width="9" style="9" customWidth="1"/>
    <col min="46" max="46" width="9.09765625" style="9" bestFit="1" customWidth="1"/>
    <col min="47" max="16384" width="9" style="9" customWidth="1"/>
  </cols>
  <sheetData>
    <row r="1" ht="18" customHeight="1">
      <c r="A1" s="123" t="s">
        <v>351</v>
      </c>
    </row>
    <row r="2" spans="2:4" ht="18" customHeight="1">
      <c r="B2" s="1" t="s">
        <v>183</v>
      </c>
      <c r="D2" s="1" t="s">
        <v>184</v>
      </c>
    </row>
    <row r="3" spans="2:19" ht="18" customHeight="1">
      <c r="B3" s="1" t="s">
        <v>143</v>
      </c>
      <c r="C3" s="27" t="s">
        <v>185</v>
      </c>
      <c r="D3" s="205">
        <f>'入力'!$D$3</f>
        <v>2</v>
      </c>
      <c r="E3" s="31" t="s">
        <v>111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2:5" ht="18" customHeight="1">
      <c r="B4" s="1" t="s">
        <v>186</v>
      </c>
      <c r="C4" s="49" t="s">
        <v>187</v>
      </c>
      <c r="D4" s="202">
        <f>'入力'!$E$3</f>
        <v>4</v>
      </c>
      <c r="E4" s="9" t="s">
        <v>96</v>
      </c>
    </row>
    <row r="5" spans="2:24" ht="18" customHeight="1">
      <c r="B5" s="1" t="s">
        <v>188</v>
      </c>
      <c r="C5" s="111" t="s">
        <v>256</v>
      </c>
      <c r="D5" s="205">
        <f>λ</f>
        <v>3</v>
      </c>
      <c r="E5" s="31" t="s">
        <v>189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7" t="str">
        <f>C5&amp;D5&amp;E5</f>
        <v>λ=3m</v>
      </c>
      <c r="S5" s="31"/>
      <c r="T5" s="31"/>
      <c r="U5" s="31"/>
      <c r="V5" s="31"/>
      <c r="W5" s="31"/>
      <c r="X5" s="31"/>
    </row>
    <row r="6" spans="1:37" s="31" customFormat="1" ht="18" customHeight="1">
      <c r="A6" s="123"/>
      <c r="T6" s="9"/>
      <c r="U6" s="9"/>
      <c r="V6" s="9"/>
      <c r="W6" s="9"/>
      <c r="X6" s="9"/>
      <c r="AJ6" s="51" t="s">
        <v>92</v>
      </c>
      <c r="AK6" s="139"/>
    </row>
    <row r="7" spans="2:37" ht="18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AJ7" s="74" t="s">
        <v>255</v>
      </c>
      <c r="AK7" s="86">
        <v>100</v>
      </c>
    </row>
    <row r="8" s="31" customFormat="1" ht="18" customHeight="1">
      <c r="A8" s="123"/>
    </row>
    <row r="9" s="31" customFormat="1" ht="18" customHeight="1">
      <c r="A9" s="123"/>
    </row>
    <row r="10" spans="1:42" s="31" customFormat="1" ht="18" customHeight="1">
      <c r="A10" s="123"/>
      <c r="AI10" s="121" t="s">
        <v>2</v>
      </c>
      <c r="AJ10" s="80" t="s">
        <v>190</v>
      </c>
      <c r="AK10" s="80" t="s">
        <v>3</v>
      </c>
      <c r="AL10" s="81" t="s">
        <v>4</v>
      </c>
      <c r="AM10" s="80" t="s">
        <v>5</v>
      </c>
      <c r="AN10" s="1" t="s">
        <v>6</v>
      </c>
      <c r="AO10" s="1" t="s">
        <v>7</v>
      </c>
      <c r="AP10" s="1" t="s">
        <v>8</v>
      </c>
    </row>
    <row r="11" spans="1:39" s="31" customFormat="1" ht="18" customHeight="1">
      <c r="A11" s="123"/>
      <c r="AH11" s="31">
        <v>1</v>
      </c>
      <c r="AI11" s="42">
        <v>0</v>
      </c>
      <c r="AJ11" s="42">
        <v>0</v>
      </c>
      <c r="AK11" s="42"/>
      <c r="AL11" s="42"/>
      <c r="AM11" s="42"/>
    </row>
    <row r="12" spans="1:39" s="31" customFormat="1" ht="18" customHeight="1">
      <c r="A12" s="123"/>
      <c r="AH12" s="31">
        <f>AH11+1</f>
        <v>2</v>
      </c>
      <c r="AI12" s="42">
        <f>Ha*n</f>
        <v>0.6</v>
      </c>
      <c r="AJ12" s="42">
        <f>Ha</f>
        <v>2</v>
      </c>
      <c r="AK12" s="42"/>
      <c r="AL12" s="42"/>
      <c r="AM12" s="42"/>
    </row>
    <row r="13" spans="1:39" s="31" customFormat="1" ht="18" customHeight="1">
      <c r="A13" s="123"/>
      <c r="AH13" s="31">
        <f aca="true" t="shared" si="0" ref="AH13:AH19">AH12+1</f>
        <v>3</v>
      </c>
      <c r="AI13" s="42">
        <f>AI12+bu</f>
        <v>1</v>
      </c>
      <c r="AJ13" s="42">
        <f>AJ12</f>
        <v>2</v>
      </c>
      <c r="AK13" s="42"/>
      <c r="AL13" s="42"/>
      <c r="AM13" s="42"/>
    </row>
    <row r="14" spans="1:39" s="31" customFormat="1" ht="18" customHeight="1">
      <c r="A14" s="123"/>
      <c r="AH14" s="31">
        <f t="shared" si="0"/>
        <v>4</v>
      </c>
      <c r="AI14" s="42">
        <f>IF(β=0,AI13,AI13+Ho/TAN(β))</f>
        <v>1</v>
      </c>
      <c r="AJ14" s="42">
        <f>Ho+Ha</f>
        <v>2</v>
      </c>
      <c r="AK14" s="42"/>
      <c r="AL14" s="42"/>
      <c r="AM14" s="42"/>
    </row>
    <row r="15" spans="1:42" s="31" customFormat="1" ht="18" customHeight="1">
      <c r="A15" s="123"/>
      <c r="AH15" s="31">
        <f t="shared" si="0"/>
        <v>5</v>
      </c>
      <c r="AI15" s="42">
        <f>MAX(MIN(AI14+Ha,AI14+3),B+Lc/TAN(ωr))</f>
        <v>3</v>
      </c>
      <c r="AJ15" s="42">
        <f>IF(Ho=0,AJ14,IF(Ho&gt;0,AJ14,IF(β=0,AJ14,(AI15-AI14)*TAN(β)+AJ14)))</f>
        <v>2</v>
      </c>
      <c r="AK15" s="42"/>
      <c r="AL15" s="42"/>
      <c r="AM15" s="42"/>
      <c r="AO15" s="42"/>
      <c r="AP15" s="42"/>
    </row>
    <row r="16" spans="1:42" s="31" customFormat="1" ht="18" customHeight="1">
      <c r="A16" s="123"/>
      <c r="AH16" s="31">
        <f t="shared" si="0"/>
        <v>6</v>
      </c>
      <c r="AI16" s="42">
        <f>AI14</f>
        <v>1</v>
      </c>
      <c r="AJ16" s="42">
        <f>AJ14</f>
        <v>2</v>
      </c>
      <c r="AK16" s="42"/>
      <c r="AL16" s="42"/>
      <c r="AM16" s="42"/>
      <c r="AO16" s="42"/>
      <c r="AP16" s="42"/>
    </row>
    <row r="17" spans="1:42" s="31" customFormat="1" ht="18" customHeight="1">
      <c r="A17" s="123"/>
      <c r="AH17" s="31">
        <f t="shared" si="0"/>
        <v>7</v>
      </c>
      <c r="AI17" s="42">
        <f>AI13</f>
        <v>1</v>
      </c>
      <c r="AJ17" s="42">
        <f>AJ13</f>
        <v>2</v>
      </c>
      <c r="AK17" s="42"/>
      <c r="AL17" s="42"/>
      <c r="AM17" s="42"/>
      <c r="AO17" s="42"/>
      <c r="AP17" s="42"/>
    </row>
    <row r="18" spans="1:42" s="31" customFormat="1" ht="18" customHeight="1">
      <c r="A18" s="123"/>
      <c r="AH18" s="31">
        <f t="shared" si="0"/>
        <v>8</v>
      </c>
      <c r="AI18" s="42">
        <f>B</f>
        <v>1.4</v>
      </c>
      <c r="AJ18" s="42">
        <f>0</f>
        <v>0</v>
      </c>
      <c r="AK18" s="42"/>
      <c r="AL18" s="42"/>
      <c r="AM18" s="42"/>
      <c r="AN18" s="42"/>
      <c r="AO18" s="42"/>
      <c r="AP18" s="42"/>
    </row>
    <row r="19" spans="1:42" s="31" customFormat="1" ht="18" customHeight="1">
      <c r="A19" s="123"/>
      <c r="AH19" s="31">
        <f t="shared" si="0"/>
        <v>9</v>
      </c>
      <c r="AI19" s="42">
        <v>0</v>
      </c>
      <c r="AJ19" s="42">
        <f>0</f>
        <v>0</v>
      </c>
      <c r="AK19" s="42"/>
      <c r="AL19" s="42"/>
      <c r="AM19" s="42"/>
      <c r="AN19" s="42"/>
      <c r="AO19" s="42"/>
      <c r="AP19" s="42"/>
    </row>
    <row r="20" spans="1:35" s="31" customFormat="1" ht="18" customHeight="1">
      <c r="A20" s="123" t="s">
        <v>352</v>
      </c>
      <c r="B20" s="8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AI20" s="31">
        <f>AI12</f>
        <v>0.6</v>
      </c>
    </row>
    <row r="21" spans="1:35" s="31" customFormat="1" ht="18" customHeight="1">
      <c r="A21" s="85"/>
      <c r="B21" s="11"/>
      <c r="C21" s="9"/>
      <c r="D21" s="9"/>
      <c r="E21" s="9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AI21" s="31">
        <f>AI20</f>
        <v>0.6</v>
      </c>
    </row>
    <row r="22" spans="25:39" ht="18" customHeight="1">
      <c r="Y22" s="17"/>
      <c r="Z22" s="17"/>
      <c r="AA22" s="17"/>
      <c r="AB22" s="19"/>
      <c r="AI22" s="16">
        <f>B</f>
        <v>1.4</v>
      </c>
      <c r="AJ22" s="16"/>
      <c r="AK22" s="16">
        <v>0</v>
      </c>
      <c r="AL22" s="16"/>
      <c r="AM22" s="16"/>
    </row>
    <row r="23" spans="25:39" ht="18" customHeight="1">
      <c r="Y23" s="21"/>
      <c r="Z23" s="21"/>
      <c r="AA23" s="21"/>
      <c r="AB23" s="21"/>
      <c r="AI23" s="16">
        <f>B+AK23/TAN(ωr)</f>
        <v>2.419050898988858</v>
      </c>
      <c r="AJ23" s="16"/>
      <c r="AK23" s="15">
        <f>IF(shoul&lt;=0,Ha+Ho-zc,IF(ωr&lt;=ω0,Ha+Ho-zc,(Ha/COS(α)-zc*COS(β)/COS(α-β))*COS(α-β)/SIN(ωr-β)*SIN(ωr)))</f>
        <v>2</v>
      </c>
      <c r="AL23" s="16"/>
      <c r="AM23" s="16"/>
    </row>
    <row r="24" spans="25:39" ht="18" customHeight="1">
      <c r="Y24" s="17"/>
      <c r="Z24" s="17"/>
      <c r="AA24" s="17"/>
      <c r="AB24" s="17"/>
      <c r="AI24" s="16">
        <f>AI23</f>
        <v>2.419050898988858</v>
      </c>
      <c r="AJ24" s="16"/>
      <c r="AK24" s="15">
        <f>AK23+zc</f>
        <v>2</v>
      </c>
      <c r="AL24" s="16"/>
      <c r="AM24" s="16"/>
    </row>
    <row r="25" spans="25:39" ht="18" customHeight="1">
      <c r="Y25" s="17"/>
      <c r="Z25" s="17"/>
      <c r="AA25" s="17"/>
      <c r="AB25" s="17"/>
      <c r="AI25" s="16">
        <f>AI14</f>
        <v>1</v>
      </c>
      <c r="AJ25" s="16"/>
      <c r="AK25" s="16"/>
      <c r="AL25" s="16">
        <f>AJ14</f>
        <v>2</v>
      </c>
      <c r="AM25" s="16"/>
    </row>
    <row r="26" spans="25:39" ht="18" customHeight="1">
      <c r="Y26" s="17"/>
      <c r="Z26" s="17"/>
      <c r="AA26" s="17"/>
      <c r="AB26" s="17"/>
      <c r="AI26" s="16">
        <f>AI25</f>
        <v>1</v>
      </c>
      <c r="AJ26" s="16"/>
      <c r="AK26" s="16"/>
      <c r="AL26" s="16">
        <f>AL25+q/γs</f>
        <v>2.5</v>
      </c>
      <c r="AM26" s="16"/>
    </row>
    <row r="27" spans="25:39" ht="18" customHeight="1">
      <c r="Y27" s="17"/>
      <c r="Z27" s="17"/>
      <c r="AA27" s="17"/>
      <c r="AB27" s="17"/>
      <c r="AI27" s="16">
        <f>AI15</f>
        <v>3</v>
      </c>
      <c r="AJ27" s="16"/>
      <c r="AK27" s="16"/>
      <c r="AL27" s="16">
        <f>AL26</f>
        <v>2.5</v>
      </c>
      <c r="AM27" s="16"/>
    </row>
    <row r="28" spans="25:39" ht="18" customHeight="1">
      <c r="Y28" s="21"/>
      <c r="Z28" s="21"/>
      <c r="AA28" s="21"/>
      <c r="AB28" s="19"/>
      <c r="AI28" s="16"/>
      <c r="AJ28" s="16"/>
      <c r="AK28" s="16"/>
      <c r="AL28" s="16"/>
      <c r="AM28" s="16"/>
    </row>
    <row r="29" spans="25:39" ht="18" customHeight="1">
      <c r="Y29" s="21"/>
      <c r="Z29" s="21"/>
      <c r="AA29" s="21"/>
      <c r="AB29" s="19"/>
      <c r="AI29" s="16"/>
      <c r="AJ29" s="16"/>
      <c r="AK29" s="16"/>
      <c r="AL29" s="16"/>
      <c r="AM29" s="16"/>
    </row>
    <row r="30" spans="25:39" ht="18" customHeight="1">
      <c r="Y30" s="21"/>
      <c r="Z30" s="21"/>
      <c r="AA30" s="21"/>
      <c r="AB30" s="17"/>
      <c r="AI30" s="16">
        <v>0</v>
      </c>
      <c r="AJ30" s="16"/>
      <c r="AK30" s="16"/>
      <c r="AL30" s="16"/>
      <c r="AM30" s="16">
        <v>0</v>
      </c>
    </row>
    <row r="31" spans="25:39" ht="18" customHeight="1">
      <c r="Y31" s="21"/>
      <c r="Z31" s="21"/>
      <c r="AA31" s="21"/>
      <c r="AB31" s="17"/>
      <c r="AI31" s="16">
        <v>0</v>
      </c>
      <c r="AJ31" s="16"/>
      <c r="AK31" s="16"/>
      <c r="AL31" s="16"/>
      <c r="AM31" s="16">
        <f>-qf/scal</f>
        <v>-0.4741224489795918</v>
      </c>
    </row>
    <row r="32" spans="25:39" ht="18" customHeight="1">
      <c r="Y32" s="21"/>
      <c r="Z32" s="21"/>
      <c r="AA32" s="21"/>
      <c r="AB32" s="17"/>
      <c r="AE32" s="12"/>
      <c r="AI32" s="16">
        <f>IF(3*d&gt;=B,B,3*d)</f>
        <v>1.4</v>
      </c>
      <c r="AJ32" s="16"/>
      <c r="AK32" s="16"/>
      <c r="AL32" s="16"/>
      <c r="AM32" s="16">
        <f>-qb/scal</f>
        <v>-0.28016326530612246</v>
      </c>
    </row>
    <row r="33" spans="25:39" ht="18" customHeight="1">
      <c r="Y33" s="21"/>
      <c r="Z33" s="21"/>
      <c r="AA33" s="21"/>
      <c r="AB33" s="17"/>
      <c r="AI33" s="16">
        <f>AI32</f>
        <v>1.4</v>
      </c>
      <c r="AJ33" s="16"/>
      <c r="AK33" s="16"/>
      <c r="AL33" s="16"/>
      <c r="AM33" s="16">
        <f>0</f>
        <v>0</v>
      </c>
    </row>
    <row r="34" spans="1:40" ht="18" customHeight="1">
      <c r="A34" s="210" t="s">
        <v>353</v>
      </c>
      <c r="Y34" s="17"/>
      <c r="Z34" s="17"/>
      <c r="AA34" s="17"/>
      <c r="AB34" s="17"/>
      <c r="AC34" s="88"/>
      <c r="AD34" s="16"/>
      <c r="AI34" s="32">
        <f>G61</f>
        <v>0.74</v>
      </c>
      <c r="AN34" s="32">
        <f>G63</f>
        <v>0.81</v>
      </c>
    </row>
    <row r="35" spans="1:40" ht="18" customHeight="1">
      <c r="A35" s="1"/>
      <c r="C35" s="17" t="s">
        <v>49</v>
      </c>
      <c r="D35" s="18" t="s">
        <v>50</v>
      </c>
      <c r="E35" s="203">
        <f>'入力'!D3</f>
        <v>2</v>
      </c>
      <c r="F35" s="21" t="s">
        <v>111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 t="str">
        <f>D35&amp;Ha&amp;F35</f>
        <v>H=2m</v>
      </c>
      <c r="S35" s="17"/>
      <c r="Y35" s="17"/>
      <c r="Z35" s="17"/>
      <c r="AA35" s="17"/>
      <c r="AB35" s="17"/>
      <c r="AC35" s="52"/>
      <c r="AD35" s="16"/>
      <c r="AI35" s="32">
        <f>AI34</f>
        <v>0.74</v>
      </c>
      <c r="AN35" s="9">
        <f>AN34-C159/scal</f>
        <v>0.3960000000000001</v>
      </c>
    </row>
    <row r="36" spans="1:41" ht="18" customHeight="1">
      <c r="A36" s="210"/>
      <c r="C36" s="17" t="s">
        <v>51</v>
      </c>
      <c r="D36" s="18" t="s">
        <v>257</v>
      </c>
      <c r="E36" s="203">
        <f>'入力'!D4</f>
        <v>0.4</v>
      </c>
      <c r="F36" s="21" t="s">
        <v>111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7" t="str">
        <f>D36&amp;bu&amp;F36</f>
        <v>bu=0.4m</v>
      </c>
      <c r="S36" s="21"/>
      <c r="Y36" s="17"/>
      <c r="Z36" s="17"/>
      <c r="AA36" s="17"/>
      <c r="AB36" s="17"/>
      <c r="AC36" s="76"/>
      <c r="AD36" s="16"/>
      <c r="AI36" s="32">
        <f>E160</f>
        <v>1.27</v>
      </c>
      <c r="AO36" s="32">
        <f>F160</f>
        <v>0.67</v>
      </c>
    </row>
    <row r="37" spans="1:41" ht="18" customHeight="1">
      <c r="A37" s="210"/>
      <c r="C37" s="17" t="s">
        <v>54</v>
      </c>
      <c r="D37" s="18" t="s">
        <v>55</v>
      </c>
      <c r="E37" s="203">
        <f>('入力'!D5+'入力'!D6)*'入力'!D3+'入力'!D4</f>
        <v>1.4</v>
      </c>
      <c r="F37" s="21" t="s">
        <v>111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tr">
        <f>D37&amp;B&amp;F37</f>
        <v>B=1.4m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52"/>
      <c r="AD37" s="16"/>
      <c r="AI37" s="9">
        <f>AI36+D160/'出力'!AK7</f>
        <v>1.436</v>
      </c>
      <c r="AO37" s="9">
        <f>AO36+C160/scal</f>
        <v>0.784</v>
      </c>
    </row>
    <row r="38" spans="1:42" ht="18" customHeight="1">
      <c r="A38" s="210"/>
      <c r="C38" s="17" t="s">
        <v>258</v>
      </c>
      <c r="D38" s="24" t="s">
        <v>259</v>
      </c>
      <c r="E38" s="204">
        <f>'入力'!D5</f>
        <v>0.3</v>
      </c>
      <c r="F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 t="str">
        <f>"1: "&amp;n</f>
        <v>1: 0.3</v>
      </c>
      <c r="S38" s="17"/>
      <c r="T38" s="21"/>
      <c r="U38" s="21"/>
      <c r="V38" s="21"/>
      <c r="W38" s="21"/>
      <c r="X38" s="21"/>
      <c r="Y38" s="17"/>
      <c r="Z38" s="17"/>
      <c r="AA38" s="17"/>
      <c r="AB38" s="17"/>
      <c r="AC38" s="53"/>
      <c r="AD38" s="26"/>
      <c r="AI38" s="32">
        <f>F163</f>
        <v>0.64</v>
      </c>
      <c r="AP38" s="9">
        <f>0</f>
        <v>0</v>
      </c>
    </row>
    <row r="39" spans="1:42" ht="18" customHeight="1">
      <c r="A39" s="210"/>
      <c r="C39" s="17" t="s">
        <v>260</v>
      </c>
      <c r="D39" s="24" t="s">
        <v>261</v>
      </c>
      <c r="E39" s="204">
        <f>'入力'!D6</f>
        <v>0.2</v>
      </c>
      <c r="F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 t="str">
        <f>"1: "&amp;E39</f>
        <v>1: 0.2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D39" s="54"/>
      <c r="AE39" s="16"/>
      <c r="AI39" s="9">
        <f>AI38+D161/'出力'!AK7</f>
        <v>0.806</v>
      </c>
      <c r="AP39" s="9">
        <f>AP38+C161/'出力'!AK7</f>
        <v>0.528</v>
      </c>
    </row>
    <row r="40" spans="1:31" ht="18" customHeight="1">
      <c r="A40" s="210" t="s">
        <v>354</v>
      </c>
      <c r="C40" s="21"/>
      <c r="D40" s="27"/>
      <c r="E40" s="203"/>
      <c r="F40" s="2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E40" s="16"/>
    </row>
    <row r="41" spans="1:31" ht="18" customHeight="1">
      <c r="A41" s="1"/>
      <c r="C41" s="17" t="s">
        <v>56</v>
      </c>
      <c r="D41" s="18" t="s">
        <v>57</v>
      </c>
      <c r="E41" s="203">
        <f>'入力'!D11</f>
        <v>0</v>
      </c>
      <c r="F41" s="21" t="s">
        <v>97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 t="str">
        <f>D41&amp;Ho&amp;F41</f>
        <v>H0=0m</v>
      </c>
      <c r="S41" s="17"/>
      <c r="T41" s="17"/>
      <c r="U41" s="17"/>
      <c r="V41" s="17"/>
      <c r="W41" s="17"/>
      <c r="X41" s="17"/>
      <c r="AE41" s="50"/>
    </row>
    <row r="42" spans="1:31" ht="18" customHeight="1">
      <c r="A42" s="1"/>
      <c r="C42" s="6" t="s">
        <v>155</v>
      </c>
      <c r="D42" s="79" t="s">
        <v>262</v>
      </c>
      <c r="E42" s="204">
        <f>'入力'!D12</f>
        <v>1.5</v>
      </c>
      <c r="F42" s="21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 t="str">
        <f>"1: "&amp;E42</f>
        <v>1: 1.5</v>
      </c>
      <c r="S42" s="17"/>
      <c r="T42" s="17"/>
      <c r="U42" s="17"/>
      <c r="V42" s="17"/>
      <c r="W42" s="17"/>
      <c r="X42" s="17"/>
      <c r="AE42" s="50"/>
    </row>
    <row r="43" spans="1:74" ht="18" customHeight="1">
      <c r="A43" s="210"/>
      <c r="C43" s="136" t="s">
        <v>58</v>
      </c>
      <c r="D43" s="2" t="s">
        <v>59</v>
      </c>
      <c r="E43" s="204">
        <f>IF(E42=0,0,ATAN(1/'入力'!D12)*180/PI())</f>
        <v>33.690067525979785</v>
      </c>
      <c r="F43" s="165" t="s">
        <v>333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7"/>
      <c r="U43" s="17"/>
      <c r="V43" s="17"/>
      <c r="W43" s="17"/>
      <c r="X43" s="17"/>
      <c r="AE43" s="54"/>
      <c r="BT43" s="79" t="s">
        <v>0</v>
      </c>
      <c r="BU43" s="9">
        <f>IF(β=0,100,Ho/TAN(β)-Ha*TAN(α))</f>
        <v>-0.4</v>
      </c>
      <c r="BV43" s="9" t="s">
        <v>1</v>
      </c>
    </row>
    <row r="44" spans="1:77" ht="18" customHeight="1">
      <c r="A44" s="210"/>
      <c r="C44" s="17" t="s">
        <v>60</v>
      </c>
      <c r="D44" s="2" t="s">
        <v>61</v>
      </c>
      <c r="E44" s="204">
        <f>'入力'!D13</f>
        <v>20</v>
      </c>
      <c r="F44" s="21" t="s">
        <v>263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7"/>
      <c r="U44" s="17"/>
      <c r="V44" s="17"/>
      <c r="W44" s="17"/>
      <c r="X44" s="17"/>
      <c r="BT44" s="7" t="s">
        <v>47</v>
      </c>
      <c r="BU44" s="14">
        <f>BW44*180/PI()</f>
        <v>101.30993247402021</v>
      </c>
      <c r="BV44" s="73" t="s">
        <v>48</v>
      </c>
      <c r="BW44" s="15">
        <f>IF(β=0,PI()/2+α,IF(BY44&lt;0,BY44+PI(),BY44))</f>
        <v>1.7681918866447772</v>
      </c>
      <c r="BX44" s="16" t="s">
        <v>9</v>
      </c>
      <c r="BY44" s="9">
        <f>ATAN(H/(Ho/TAN(β)-Ha*TAN(α)))</f>
        <v>-1.373400766945016</v>
      </c>
    </row>
    <row r="45" spans="1:79" ht="18" customHeight="1">
      <c r="A45" s="210"/>
      <c r="C45" s="17" t="s">
        <v>62</v>
      </c>
      <c r="D45" s="2" t="s">
        <v>63</v>
      </c>
      <c r="E45" s="204">
        <f>'入力'!D14</f>
        <v>35</v>
      </c>
      <c r="F45" s="6" t="s">
        <v>198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AI45" s="17"/>
      <c r="AJ45" s="17"/>
      <c r="AK45" s="17"/>
      <c r="AL45" s="17"/>
      <c r="AM45" s="17"/>
      <c r="AN45" s="20"/>
      <c r="BY45" s="16"/>
      <c r="BZ45" s="16"/>
      <c r="CA45" s="16"/>
    </row>
    <row r="46" spans="1:86" ht="18" customHeight="1">
      <c r="A46" s="210"/>
      <c r="C46" s="21" t="s">
        <v>64</v>
      </c>
      <c r="D46" s="27" t="s">
        <v>65</v>
      </c>
      <c r="E46" s="203">
        <v>0</v>
      </c>
      <c r="F46" s="21" t="s">
        <v>264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0"/>
      <c r="Z46" s="20"/>
      <c r="AA46" s="20"/>
      <c r="AI46" s="17"/>
      <c r="AJ46" s="17"/>
      <c r="AK46" s="17"/>
      <c r="AL46" s="17"/>
      <c r="AM46" s="17"/>
      <c r="AN46" s="20"/>
      <c r="BS46" s="16"/>
      <c r="BT46" s="89"/>
      <c r="BU46" s="89"/>
      <c r="BV46" s="89"/>
      <c r="BW46" s="89"/>
      <c r="BX46" s="89" t="s">
        <v>191</v>
      </c>
      <c r="BY46" s="90" t="s">
        <v>118</v>
      </c>
      <c r="BZ46" s="75" t="s">
        <v>119</v>
      </c>
      <c r="CA46" s="89" t="s">
        <v>191</v>
      </c>
      <c r="CB46" s="90" t="s">
        <v>118</v>
      </c>
      <c r="CC46" s="75" t="s">
        <v>119</v>
      </c>
      <c r="CD46" s="91"/>
      <c r="CF46" s="89" t="s">
        <v>191</v>
      </c>
      <c r="CG46" s="90" t="s">
        <v>118</v>
      </c>
      <c r="CH46" s="75" t="s">
        <v>119</v>
      </c>
    </row>
    <row r="47" spans="1:88" ht="18" customHeight="1">
      <c r="A47" s="6" t="s">
        <v>355</v>
      </c>
      <c r="C47" s="21"/>
      <c r="D47" s="18" t="s">
        <v>66</v>
      </c>
      <c r="E47" s="203">
        <f>'入力'!D8</f>
        <v>10</v>
      </c>
      <c r="F47" s="21" t="s">
        <v>265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7" t="str">
        <f>D47&amp;q&amp;F47</f>
        <v>q=10kN/m2</v>
      </c>
      <c r="S47" s="21"/>
      <c r="T47" s="21"/>
      <c r="U47" s="21"/>
      <c r="V47" s="21"/>
      <c r="W47" s="21"/>
      <c r="X47" s="21"/>
      <c r="AI47" s="17"/>
      <c r="AJ47" s="17"/>
      <c r="AK47" s="17"/>
      <c r="AL47" s="17"/>
      <c r="AM47" s="17"/>
      <c r="AN47" s="20"/>
      <c r="BS47" s="16"/>
      <c r="BT47" s="61" t="s">
        <v>10</v>
      </c>
      <c r="BU47" s="4" t="s">
        <v>11</v>
      </c>
      <c r="BV47" s="61" t="s">
        <v>12</v>
      </c>
      <c r="BW47" s="5" t="s">
        <v>53</v>
      </c>
      <c r="BX47" s="61" t="s">
        <v>13</v>
      </c>
      <c r="BY47" s="61" t="s">
        <v>14</v>
      </c>
      <c r="BZ47" s="22" t="s">
        <v>15</v>
      </c>
      <c r="CA47" s="61" t="s">
        <v>16</v>
      </c>
      <c r="CB47" s="61" t="s">
        <v>17</v>
      </c>
      <c r="CC47" s="22" t="s">
        <v>18</v>
      </c>
      <c r="CD47" s="92" t="s">
        <v>19</v>
      </c>
      <c r="CE47" s="9" t="s">
        <v>192</v>
      </c>
      <c r="CF47" s="9" t="s">
        <v>193</v>
      </c>
      <c r="CG47" s="9" t="s">
        <v>194</v>
      </c>
      <c r="CH47" s="9" t="s">
        <v>195</v>
      </c>
      <c r="CI47" s="9" t="s">
        <v>196</v>
      </c>
      <c r="CJ47" s="9" t="s">
        <v>197</v>
      </c>
    </row>
    <row r="48" spans="1:88" ht="18" customHeight="1">
      <c r="A48" s="6" t="s">
        <v>356</v>
      </c>
      <c r="C48" s="17"/>
      <c r="D48" s="18" t="s">
        <v>67</v>
      </c>
      <c r="E48" s="203">
        <v>0</v>
      </c>
      <c r="F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AI48" s="17"/>
      <c r="AJ48" s="17"/>
      <c r="AK48" s="17"/>
      <c r="AL48" s="17"/>
      <c r="AM48" s="17"/>
      <c r="AN48" s="20"/>
      <c r="BS48" s="16"/>
      <c r="BT48" s="93">
        <f>MAX(0,(BV48/COS(θ)*SIN(BW48-φ+θ)-cu*CD48*COS(φ))/COS(BW48-φ-δu-α))</f>
        <v>0</v>
      </c>
      <c r="BU48" s="94">
        <f>φ*180/PI()</f>
        <v>35</v>
      </c>
      <c r="BV48" s="93">
        <f>IF(β=0,BX48,IF(Hb=0,BX48,IF(shoul&lt;=0,BZ48,IF(BW48&gt;ω0,BY48,BZ48))))</f>
        <v>97.68888040452688</v>
      </c>
      <c r="BW48" s="93">
        <f>BU48*PI()/180</f>
        <v>0.6108652381980153</v>
      </c>
      <c r="BX48" s="93">
        <f>1/2*γs*(Ha^2*COS(BW48-α)/COS(α)-zc^2*COS(BW48))/SIN(BW48)+CF48*q</f>
        <v>97.68888040452688</v>
      </c>
      <c r="BY48" s="93">
        <f>1/2*γs*(Ha^2*COS(BW48-α)*COS(α-β)/(COS(α))^2-zc^2*COS(BW48)*COS(β))/SIN(BW48-β)</f>
        <v>1540.862813103843</v>
      </c>
      <c r="BZ48" s="23">
        <f>1/2*γs*(H^2*COS(BW48-α)/SIN(BW48)-Ho^2*COS(α-β)/SIN(β)-zc^2*COS(α)/TAN(BW48))/COS(α)+CH48*q</f>
        <v>97.68888040452688</v>
      </c>
      <c r="CA48" s="95">
        <f>(Ha-zc)/SIN(BW48)</f>
        <v>3.4868935912421963</v>
      </c>
      <c r="CB48" s="95">
        <f>1/SIN(BW48-β)*(COS(α-β)/COS(α)*Ha-COS(β)*zc)</f>
        <v>82.49902106176002</v>
      </c>
      <c r="CC48" s="95">
        <f>(Ho+Ha-zc)/SIN(BW48)</f>
        <v>3.4868935912421963</v>
      </c>
      <c r="CD48" s="95">
        <f>IF(β=0,CA48,IF(Ho=0,CA48,IF($BU$43&lt;=0,CC48,IF(BW48&gt;=ω0,CB48,CC48))))</f>
        <v>3.4868935912421963</v>
      </c>
      <c r="CE48" s="32">
        <f>BT48</f>
        <v>0</v>
      </c>
      <c r="CF48" s="9">
        <f>Ha*(TAN(α)+1/TAN(BW48))</f>
        <v>3.256296013484229</v>
      </c>
      <c r="CG48" s="9">
        <v>0</v>
      </c>
      <c r="CH48" s="9">
        <f>H*(1/TAN(BW48)-1/TAN(ω0))</f>
        <v>3.2562960134842287</v>
      </c>
      <c r="CI48" s="9">
        <f>IF(Ho=0,CF48,IF(β=0,CF48,IF(BW48&lt;=ω0,CH48,CG48)))</f>
        <v>3.256296013484229</v>
      </c>
      <c r="CJ48" s="9">
        <f>$AJ$12/TAN(BW48)</f>
        <v>2.8562960134842292</v>
      </c>
    </row>
    <row r="49" spans="1:88" ht="18" customHeight="1">
      <c r="A49" s="1" t="s">
        <v>357</v>
      </c>
      <c r="C49" s="21"/>
      <c r="D49" s="27"/>
      <c r="E49" s="203"/>
      <c r="F49" s="21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1"/>
      <c r="U49" s="21"/>
      <c r="V49" s="21"/>
      <c r="W49" s="21"/>
      <c r="X49" s="21"/>
      <c r="AI49" s="17"/>
      <c r="AJ49" s="96"/>
      <c r="AK49" s="20"/>
      <c r="AL49" s="20"/>
      <c r="AM49" s="20"/>
      <c r="AN49" s="20"/>
      <c r="BS49" s="16"/>
      <c r="BT49" s="93">
        <f aca="true" t="shared" si="1" ref="BT49:BT97">MAX(0,(BV49/COS(θ)*SIN(BW49-φ+θ)-cu*CD49*COS(φ))/COS(BW49-φ-δu-α))</f>
        <v>1.9828147647542895</v>
      </c>
      <c r="BU49" s="94">
        <f>BU48+1</f>
        <v>36</v>
      </c>
      <c r="BV49" s="93">
        <f aca="true" t="shared" si="2" ref="BV49:BV60">IF(β=0,BX49,IF(Hb=0,BX49,IF(shoul&lt;=0,BZ49,IF(BW49&gt;ω0,BY49,BZ49))))</f>
        <v>94.58291522827042</v>
      </c>
      <c r="BW49" s="93">
        <f>BU49*PI()/180</f>
        <v>0.6283185307179586</v>
      </c>
      <c r="BX49" s="93">
        <f aca="true" t="shared" si="3" ref="BX49:BX62">1/2*γs*(Ha^2*COS(BW49-α)/COS(α)-zc^2*COS(BW49))/SIN(BW49)+CF49*q</f>
        <v>94.58291522827042</v>
      </c>
      <c r="BY49" s="93">
        <f aca="true" t="shared" si="4" ref="BY49:BY62">1/2*γs*(Ha^2*COS(BW49-α)*COS(α-β)/(COS(α))^2-zc^2*COS(BW49)*COS(β))/SIN(BW49-β)</f>
        <v>867.1382940150211</v>
      </c>
      <c r="BZ49" s="23">
        <f aca="true" t="shared" si="5" ref="BZ49:BZ62">1/2*γs*(H^2*COS(BW49-α)/SIN(BW49)-Ho^2*COS(α-β)/SIN(β)-zc^2*COS(α)/TAN(BW49))/COS(α)+CH49*q</f>
        <v>94.58291522827042</v>
      </c>
      <c r="CA49" s="95">
        <f>(Ha-zc)/SIN(BW49)</f>
        <v>3.4026032334081595</v>
      </c>
      <c r="CB49" s="95">
        <f>1/SIN(BW49-β)*(COS(α-β)/COS(α)*Ha-COS(β)*zc)</f>
        <v>46.79271445440148</v>
      </c>
      <c r="CC49" s="95">
        <f>(Ho+Ha-zc)/SIN(BW49)</f>
        <v>3.4026032334081595</v>
      </c>
      <c r="CD49" s="95">
        <f>IF(β=0,CA49,IF(Ho=0,CA49,IF($BU$43&lt;=0,CC49,IF(BW49&gt;=ω0,CB49,CC49))))</f>
        <v>3.4026032334081595</v>
      </c>
      <c r="CE49" s="32">
        <f aca="true" t="shared" si="6" ref="CE49:CE97">BT49</f>
        <v>1.9828147647542895</v>
      </c>
      <c r="CF49" s="9">
        <f aca="true" t="shared" si="7" ref="CF49:CF61">Ha*(TAN(α)+1/TAN(BW49))-zc/TAN(BW49)</f>
        <v>3.152763840942347</v>
      </c>
      <c r="CG49" s="9">
        <v>0</v>
      </c>
      <c r="CH49" s="9">
        <f aca="true" t="shared" si="8" ref="CH49:CH97">H*(1/TAN(BW49)-1/TAN(ω0))</f>
        <v>3.1527638409423466</v>
      </c>
      <c r="CI49" s="9">
        <f aca="true" t="shared" si="9" ref="CI49:CI61">IF(Ho=0,CF49,IF(β=0,CF49,IF(BW49&lt;=ω0,CH49,CG49)))</f>
        <v>3.152763840942347</v>
      </c>
      <c r="CJ49" s="9">
        <f aca="true" t="shared" si="10" ref="CJ49:CJ97">$AJ$12/TAN(BW49)</f>
        <v>2.752763840942347</v>
      </c>
    </row>
    <row r="50" spans="1:88" ht="18" customHeight="1">
      <c r="A50" s="1"/>
      <c r="C50" s="1" t="s">
        <v>93</v>
      </c>
      <c r="D50" s="2" t="s">
        <v>68</v>
      </c>
      <c r="E50" s="204">
        <f>'入力'!D16</f>
        <v>0.6</v>
      </c>
      <c r="F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1"/>
      <c r="U50" s="21"/>
      <c r="V50" s="21"/>
      <c r="W50" s="21"/>
      <c r="X50" s="21"/>
      <c r="AJ50" s="96"/>
      <c r="AK50" s="20"/>
      <c r="AL50" s="20"/>
      <c r="AM50" s="20"/>
      <c r="AN50" s="20"/>
      <c r="BS50" s="16"/>
      <c r="BT50" s="93">
        <f t="shared" si="1"/>
        <v>3.7974034035394384</v>
      </c>
      <c r="BU50" s="94">
        <f>BU49+1</f>
        <v>37</v>
      </c>
      <c r="BV50" s="93">
        <f t="shared" si="2"/>
        <v>91.62268929722461</v>
      </c>
      <c r="BW50" s="93">
        <f>BU50*PI()/180</f>
        <v>0.6457718232379019</v>
      </c>
      <c r="BX50" s="93">
        <f t="shared" si="3"/>
        <v>91.62268929722461</v>
      </c>
      <c r="BY50" s="93">
        <f t="shared" si="4"/>
        <v>600.3812597174114</v>
      </c>
      <c r="BZ50" s="23">
        <f t="shared" si="5"/>
        <v>91.6226892972246</v>
      </c>
      <c r="CA50" s="95">
        <f>(Ha-zc)/SIN(BW50)</f>
        <v>3.3232802822449665</v>
      </c>
      <c r="CB50" s="95">
        <f>1/SIN(BW50-β)*(COS(α-β)/COS(α)*Ha-COS(β)*zc)</f>
        <v>32.66497443295478</v>
      </c>
      <c r="CC50" s="95">
        <f>(Ho+Ha-zc)/SIN(BW50)</f>
        <v>3.3232802822449665</v>
      </c>
      <c r="CD50" s="95">
        <f>IF(β=0,CA50,IF(Ho=0,CA50,IF($BU$43&lt;=0,CC50,IF(BW50&gt;=ω0,CB50,CC50))))</f>
        <v>3.3232802822449665</v>
      </c>
      <c r="CE50" s="32">
        <f t="shared" si="6"/>
        <v>3.7974034035394384</v>
      </c>
      <c r="CF50" s="9">
        <f t="shared" si="7"/>
        <v>3.05408964324082</v>
      </c>
      <c r="CG50" s="9">
        <v>0</v>
      </c>
      <c r="CH50" s="9">
        <f t="shared" si="8"/>
        <v>3.0540896432408196</v>
      </c>
      <c r="CI50" s="9">
        <f t="shared" si="9"/>
        <v>3.05408964324082</v>
      </c>
      <c r="CJ50" s="9">
        <f t="shared" si="10"/>
        <v>2.65408964324082</v>
      </c>
    </row>
    <row r="51" spans="1:88" ht="18" customHeight="1">
      <c r="A51" s="1"/>
      <c r="C51" s="194" t="s">
        <v>266</v>
      </c>
      <c r="D51" s="18" t="s">
        <v>69</v>
      </c>
      <c r="E51" s="203">
        <f>'入力'!D15</f>
        <v>900</v>
      </c>
      <c r="F51" s="21" t="s">
        <v>120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AJ51" s="96"/>
      <c r="AK51" s="20"/>
      <c r="AL51" s="20"/>
      <c r="AM51" s="20"/>
      <c r="AN51" s="20"/>
      <c r="BS51" s="16"/>
      <c r="BT51" s="93">
        <f t="shared" si="1"/>
        <v>5.458804574066066</v>
      </c>
      <c r="BU51" s="94">
        <f>BU50+1</f>
        <v>38</v>
      </c>
      <c r="BV51" s="93">
        <f t="shared" si="2"/>
        <v>88.79649793158474</v>
      </c>
      <c r="BW51" s="93">
        <f>BU51*PI()/180</f>
        <v>0.6632251157578452</v>
      </c>
      <c r="BX51" s="93">
        <f t="shared" si="3"/>
        <v>88.79649793158474</v>
      </c>
      <c r="BY51" s="93">
        <f t="shared" si="4"/>
        <v>457.3151750240522</v>
      </c>
      <c r="BZ51" s="23">
        <f t="shared" si="5"/>
        <v>88.79649793158475</v>
      </c>
      <c r="CA51" s="95">
        <f>(Ha-zc)/SIN(BW51)</f>
        <v>3.2485384909654886</v>
      </c>
      <c r="CB51" s="95">
        <f>1/SIN(BW51-β)*(COS(α-β)/COS(α)*Ha-COS(β)*zc)</f>
        <v>25.09568479343979</v>
      </c>
      <c r="CC51" s="95">
        <f>(Ho+Ha-zc)/SIN(BW51)</f>
        <v>3.2485384909654886</v>
      </c>
      <c r="CD51" s="95">
        <f>IF(β=0,CA51,IF(Ho=0,CA51,IF($BU$43&lt;=0,CC51,IF(BW51&gt;=ω0,CB51,CC51))))</f>
        <v>3.2485384909654886</v>
      </c>
      <c r="CE51" s="32">
        <f t="shared" si="6"/>
        <v>5.458804574066066</v>
      </c>
      <c r="CF51" s="9">
        <f t="shared" si="7"/>
        <v>2.959883264386158</v>
      </c>
      <c r="CG51" s="9">
        <v>0</v>
      </c>
      <c r="CH51" s="9">
        <f t="shared" si="8"/>
        <v>2.9598832643861575</v>
      </c>
      <c r="CI51" s="9">
        <f t="shared" si="9"/>
        <v>2.959883264386158</v>
      </c>
      <c r="CJ51" s="9">
        <f t="shared" si="10"/>
        <v>2.559883264386158</v>
      </c>
    </row>
    <row r="52" spans="1:88" ht="18" customHeight="1">
      <c r="A52" s="1" t="s">
        <v>358</v>
      </c>
      <c r="D52" s="18"/>
      <c r="E52" s="203"/>
      <c r="F52" s="2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AJ52" s="96"/>
      <c r="AK52" s="20"/>
      <c r="AL52" s="20"/>
      <c r="AM52" s="20"/>
      <c r="AN52" s="20"/>
      <c r="BS52" s="16"/>
      <c r="BT52" s="93">
        <f t="shared" si="1"/>
        <v>6.9803572652481085</v>
      </c>
      <c r="BU52" s="94">
        <f>BU51+1</f>
        <v>39</v>
      </c>
      <c r="BV52" s="93">
        <f t="shared" si="2"/>
        <v>86.09382939210309</v>
      </c>
      <c r="BW52" s="93">
        <f aca="true" t="shared" si="11" ref="BW52:BW97">BU52*PI()/180</f>
        <v>0.6806784082777885</v>
      </c>
      <c r="BX52" s="93">
        <f t="shared" si="3"/>
        <v>86.09382939210309</v>
      </c>
      <c r="BY52" s="93">
        <f t="shared" si="4"/>
        <v>368.05718629451235</v>
      </c>
      <c r="BZ52" s="23">
        <f t="shared" si="5"/>
        <v>86.09382939210309</v>
      </c>
      <c r="CA52" s="95">
        <f aca="true" t="shared" si="12" ref="CA52:CA97">(Ha-zc)/SIN(BW52)</f>
        <v>3.1780314581314992</v>
      </c>
      <c r="CB52" s="95">
        <f aca="true" t="shared" si="13" ref="CB52:CB97">1/SIN(BW52-β)*(COS(α-β)/COS(α)*Ha-COS(β)*zc)</f>
        <v>20.379462582180405</v>
      </c>
      <c r="CC52" s="95">
        <f aca="true" t="shared" si="14" ref="CC52:CC97">(Ho+Ha-zc)/SIN(BW52)</f>
        <v>3.1780314581314992</v>
      </c>
      <c r="CD52" s="95">
        <f aca="true" t="shared" si="15" ref="CD52:CD97">IF(β=0,CA52,IF(Ho=0,CA52,IF($BU$43&lt;=0,CC52,IF(BW52&gt;=ω0,CB52,CC52))))</f>
        <v>3.1780314581314992</v>
      </c>
      <c r="CE52" s="32">
        <f t="shared" si="6"/>
        <v>6.9803572652481085</v>
      </c>
      <c r="CF52" s="9">
        <f t="shared" si="7"/>
        <v>2.869794313070103</v>
      </c>
      <c r="CG52" s="9">
        <v>0</v>
      </c>
      <c r="CH52" s="9">
        <f t="shared" si="8"/>
        <v>2.8697943130701025</v>
      </c>
      <c r="CI52" s="9">
        <f t="shared" si="9"/>
        <v>2.869794313070103</v>
      </c>
      <c r="CJ52" s="9">
        <f t="shared" si="10"/>
        <v>2.469794313070103</v>
      </c>
    </row>
    <row r="53" spans="1:88" ht="18" customHeight="1">
      <c r="A53" s="1"/>
      <c r="C53" s="56" t="s">
        <v>90</v>
      </c>
      <c r="D53" s="34" t="s">
        <v>121</v>
      </c>
      <c r="E53" s="203">
        <f>'入力'!D7</f>
        <v>0.5</v>
      </c>
      <c r="F53" s="42" t="s">
        <v>94</v>
      </c>
      <c r="G53" s="3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 t="str">
        <f>D53&amp;Df&amp;F53</f>
        <v>Df=0.5m</v>
      </c>
      <c r="S53" s="17"/>
      <c r="T53" s="17"/>
      <c r="U53" s="17"/>
      <c r="V53" s="17"/>
      <c r="W53" s="17"/>
      <c r="X53" s="17"/>
      <c r="AJ53" s="96"/>
      <c r="AK53" s="20"/>
      <c r="AL53" s="20"/>
      <c r="AM53" s="20"/>
      <c r="AN53" s="20"/>
      <c r="BS53" s="16"/>
      <c r="BT53" s="93">
        <f t="shared" si="1"/>
        <v>8.373924113330961</v>
      </c>
      <c r="BU53" s="94">
        <f aca="true" t="shared" si="16" ref="BU53:BU97">BU52+1</f>
        <v>40</v>
      </c>
      <c r="BV53" s="93">
        <f t="shared" si="2"/>
        <v>83.50521555565261</v>
      </c>
      <c r="BW53" s="93">
        <f t="shared" si="11"/>
        <v>0.6981317007977318</v>
      </c>
      <c r="BX53" s="93">
        <f t="shared" si="3"/>
        <v>83.50521555565261</v>
      </c>
      <c r="BY53" s="93">
        <f t="shared" si="4"/>
        <v>307.0246465900209</v>
      </c>
      <c r="BZ53" s="23">
        <f t="shared" si="5"/>
        <v>83.5052155556526</v>
      </c>
      <c r="CA53" s="95">
        <f t="shared" si="12"/>
        <v>3.111447653720825</v>
      </c>
      <c r="CB53" s="95">
        <f t="shared" si="13"/>
        <v>17.15984642235297</v>
      </c>
      <c r="CC53" s="95">
        <f t="shared" si="14"/>
        <v>3.111447653720825</v>
      </c>
      <c r="CD53" s="95">
        <f t="shared" si="15"/>
        <v>3.111447653720825</v>
      </c>
      <c r="CE53" s="32">
        <f t="shared" si="6"/>
        <v>8.373924113330961</v>
      </c>
      <c r="CF53" s="9">
        <f t="shared" si="7"/>
        <v>2.78350718518842</v>
      </c>
      <c r="CG53" s="9">
        <v>0</v>
      </c>
      <c r="CH53" s="9">
        <f t="shared" si="8"/>
        <v>2.7835071851884194</v>
      </c>
      <c r="CI53" s="9">
        <f t="shared" si="9"/>
        <v>2.78350718518842</v>
      </c>
      <c r="CJ53" s="9">
        <f t="shared" si="10"/>
        <v>2.38350718518842</v>
      </c>
    </row>
    <row r="54" spans="1:88" ht="18" customHeight="1">
      <c r="A54" s="1" t="s">
        <v>359</v>
      </c>
      <c r="E54" s="12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AJ54" s="96"/>
      <c r="AK54" s="20"/>
      <c r="AL54" s="20"/>
      <c r="AM54" s="20"/>
      <c r="AN54" s="20"/>
      <c r="BS54" s="16"/>
      <c r="BT54" s="93">
        <f t="shared" si="1"/>
        <v>9.650080903811865</v>
      </c>
      <c r="BU54" s="94">
        <f t="shared" si="16"/>
        <v>41</v>
      </c>
      <c r="BV54" s="93">
        <f t="shared" si="2"/>
        <v>81.0221044332606</v>
      </c>
      <c r="BW54" s="93">
        <f t="shared" si="11"/>
        <v>0.715584993317675</v>
      </c>
      <c r="BX54" s="93">
        <f t="shared" si="3"/>
        <v>81.0221044332606</v>
      </c>
      <c r="BY54" s="93">
        <f t="shared" si="4"/>
        <v>262.6337367317755</v>
      </c>
      <c r="BZ54" s="23">
        <f t="shared" si="5"/>
        <v>81.0221044332606</v>
      </c>
      <c r="CA54" s="95">
        <f t="shared" si="12"/>
        <v>3.048506173411629</v>
      </c>
      <c r="CB54" s="95">
        <f t="shared" si="13"/>
        <v>14.82263217007313</v>
      </c>
      <c r="CC54" s="95">
        <f t="shared" si="14"/>
        <v>3.048506173411629</v>
      </c>
      <c r="CD54" s="95">
        <f t="shared" si="15"/>
        <v>3.048506173411629</v>
      </c>
      <c r="CE54" s="32">
        <f t="shared" si="6"/>
        <v>9.650080903811865</v>
      </c>
      <c r="CF54" s="9">
        <f t="shared" si="7"/>
        <v>2.7007368144420196</v>
      </c>
      <c r="CG54" s="9">
        <v>0</v>
      </c>
      <c r="CH54" s="9">
        <f t="shared" si="8"/>
        <v>2.700736814442019</v>
      </c>
      <c r="CI54" s="9">
        <f t="shared" si="9"/>
        <v>2.7007368144420196</v>
      </c>
      <c r="CJ54" s="9">
        <f t="shared" si="10"/>
        <v>2.3007368144420197</v>
      </c>
    </row>
    <row r="55" spans="3:88" ht="18" customHeight="1">
      <c r="C55" s="2" t="s">
        <v>199</v>
      </c>
      <c r="D55" s="7" t="s">
        <v>122</v>
      </c>
      <c r="E55" s="204">
        <v>23</v>
      </c>
      <c r="F55" s="16" t="s">
        <v>117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AJ55" s="96"/>
      <c r="AK55" s="20"/>
      <c r="AL55" s="20"/>
      <c r="AM55" s="20"/>
      <c r="AN55" s="20"/>
      <c r="BS55" s="16"/>
      <c r="BT55" s="93">
        <f t="shared" si="1"/>
        <v>10.818278013128282</v>
      </c>
      <c r="BU55" s="94">
        <f t="shared" si="16"/>
        <v>42</v>
      </c>
      <c r="BV55" s="93">
        <f t="shared" si="2"/>
        <v>78.63675088975157</v>
      </c>
      <c r="BW55" s="93">
        <f t="shared" si="11"/>
        <v>0.7330382858376184</v>
      </c>
      <c r="BX55" s="93">
        <f t="shared" si="3"/>
        <v>78.63675088975157</v>
      </c>
      <c r="BY55" s="93">
        <f t="shared" si="4"/>
        <v>228.87651607316386</v>
      </c>
      <c r="BZ55" s="23">
        <f t="shared" si="5"/>
        <v>78.63675088975157</v>
      </c>
      <c r="CA55" s="95">
        <f t="shared" si="12"/>
        <v>2.9889530997292173</v>
      </c>
      <c r="CB55" s="95">
        <f t="shared" si="13"/>
        <v>13.04926445520138</v>
      </c>
      <c r="CC55" s="95">
        <f t="shared" si="14"/>
        <v>2.9889530997292173</v>
      </c>
      <c r="CD55" s="95">
        <f t="shared" si="15"/>
        <v>2.9889530997292173</v>
      </c>
      <c r="CE55" s="32">
        <f t="shared" si="6"/>
        <v>10.818278013128282</v>
      </c>
      <c r="CF55" s="9">
        <f t="shared" si="7"/>
        <v>2.621225029658386</v>
      </c>
      <c r="CG55" s="9">
        <v>0</v>
      </c>
      <c r="CH55" s="9">
        <f t="shared" si="8"/>
        <v>2.6212250296583854</v>
      </c>
      <c r="CI55" s="9">
        <f t="shared" si="9"/>
        <v>2.621225029658386</v>
      </c>
      <c r="CJ55" s="9">
        <f t="shared" si="10"/>
        <v>2.221225029658386</v>
      </c>
    </row>
    <row r="56" spans="2:88" ht="18" customHeight="1">
      <c r="B56" s="16"/>
      <c r="C56" s="16"/>
      <c r="D56" s="16"/>
      <c r="E56" s="28"/>
      <c r="F56" s="10"/>
      <c r="T56" s="17"/>
      <c r="U56" s="17"/>
      <c r="V56" s="17"/>
      <c r="W56" s="17"/>
      <c r="X56" s="17"/>
      <c r="AI56" s="16"/>
      <c r="AK56" s="20"/>
      <c r="AL56" s="20"/>
      <c r="AM56" s="20"/>
      <c r="AN56" s="20"/>
      <c r="BS56" s="16"/>
      <c r="BT56" s="93">
        <f t="shared" si="1"/>
        <v>11.88697845857679</v>
      </c>
      <c r="BU56" s="94">
        <f t="shared" si="16"/>
        <v>43</v>
      </c>
      <c r="BV56" s="93">
        <f t="shared" si="2"/>
        <v>76.34212260148095</v>
      </c>
      <c r="BW56" s="93">
        <f t="shared" si="11"/>
        <v>0.7504915783575616</v>
      </c>
      <c r="BX56" s="93">
        <f t="shared" si="3"/>
        <v>76.34212260148095</v>
      </c>
      <c r="BY56" s="93">
        <f t="shared" si="4"/>
        <v>202.3263365191831</v>
      </c>
      <c r="BZ56" s="23">
        <f t="shared" si="5"/>
        <v>76.34212260148095</v>
      </c>
      <c r="CA56" s="95">
        <f t="shared" si="12"/>
        <v>2.93255837127925</v>
      </c>
      <c r="CB56" s="95">
        <f t="shared" si="13"/>
        <v>11.658055310832088</v>
      </c>
      <c r="CC56" s="95">
        <f t="shared" si="14"/>
        <v>2.93255837127925</v>
      </c>
      <c r="CD56" s="95">
        <f t="shared" si="15"/>
        <v>2.93255837127925</v>
      </c>
      <c r="CE56" s="32">
        <f t="shared" si="6"/>
        <v>11.88697845857679</v>
      </c>
      <c r="CF56" s="9">
        <f t="shared" si="7"/>
        <v>2.5447374200493655</v>
      </c>
      <c r="CG56" s="9">
        <v>0</v>
      </c>
      <c r="CH56" s="9">
        <f t="shared" si="8"/>
        <v>2.544737420049365</v>
      </c>
      <c r="CI56" s="9">
        <f t="shared" si="9"/>
        <v>2.5447374200493655</v>
      </c>
      <c r="CJ56" s="9">
        <f t="shared" si="10"/>
        <v>2.1447374200493656</v>
      </c>
    </row>
    <row r="57" spans="1:88" ht="18" customHeight="1">
      <c r="A57" s="106" t="s">
        <v>360</v>
      </c>
      <c r="B57" s="16"/>
      <c r="C57" s="10"/>
      <c r="D57" s="16"/>
      <c r="E57" s="28"/>
      <c r="F57" s="16"/>
      <c r="T57" s="17"/>
      <c r="U57" s="17"/>
      <c r="V57" s="17"/>
      <c r="W57" s="17"/>
      <c r="X57" s="17"/>
      <c r="AI57" s="16"/>
      <c r="AK57" s="20"/>
      <c r="AL57" s="20"/>
      <c r="AM57" s="20"/>
      <c r="AN57" s="20"/>
      <c r="BS57" s="16"/>
      <c r="BT57" s="93">
        <f t="shared" si="1"/>
        <v>12.86377636346724</v>
      </c>
      <c r="BU57" s="94">
        <f t="shared" si="16"/>
        <v>44</v>
      </c>
      <c r="BV57" s="93">
        <f t="shared" si="2"/>
        <v>74.13181882743417</v>
      </c>
      <c r="BW57" s="93">
        <f t="shared" si="11"/>
        <v>0.767944870877505</v>
      </c>
      <c r="BX57" s="93">
        <f t="shared" si="3"/>
        <v>74.13181882743417</v>
      </c>
      <c r="BY57" s="93">
        <f t="shared" si="4"/>
        <v>180.88599500092178</v>
      </c>
      <c r="BZ57" s="23">
        <f t="shared" si="5"/>
        <v>74.13181882743417</v>
      </c>
      <c r="CA57" s="95">
        <f t="shared" si="12"/>
        <v>2.8791130792514528</v>
      </c>
      <c r="CB57" s="95">
        <f t="shared" si="13"/>
        <v>10.5378076977892</v>
      </c>
      <c r="CC57" s="95">
        <f t="shared" si="14"/>
        <v>2.8791130792514528</v>
      </c>
      <c r="CD57" s="95">
        <f t="shared" si="15"/>
        <v>2.8791130792514528</v>
      </c>
      <c r="CE57" s="32">
        <f t="shared" si="6"/>
        <v>12.86377636346724</v>
      </c>
      <c r="CF57" s="9">
        <f t="shared" si="7"/>
        <v>2.471060627581139</v>
      </c>
      <c r="CG57" s="9">
        <v>0</v>
      </c>
      <c r="CH57" s="9">
        <f t="shared" si="8"/>
        <v>2.4710606275811386</v>
      </c>
      <c r="CI57" s="9">
        <f t="shared" si="9"/>
        <v>2.471060627581139</v>
      </c>
      <c r="CJ57" s="9">
        <f t="shared" si="10"/>
        <v>2.071060627581139</v>
      </c>
    </row>
    <row r="58" spans="1:88" ht="18" customHeight="1">
      <c r="A58" s="85" t="s">
        <v>361</v>
      </c>
      <c r="B58" s="29"/>
      <c r="AI58" s="16"/>
      <c r="AK58" s="20"/>
      <c r="AL58" s="20"/>
      <c r="AM58" s="20"/>
      <c r="AN58" s="20"/>
      <c r="BS58" s="16"/>
      <c r="BT58" s="93">
        <f t="shared" si="1"/>
        <v>13.755498957017862</v>
      </c>
      <c r="BU58" s="94">
        <f t="shared" si="16"/>
        <v>45</v>
      </c>
      <c r="BV58" s="93">
        <f t="shared" si="2"/>
        <v>72</v>
      </c>
      <c r="BW58" s="93">
        <f t="shared" si="11"/>
        <v>0.7853981633974483</v>
      </c>
      <c r="BX58" s="93">
        <f t="shared" si="3"/>
        <v>72</v>
      </c>
      <c r="BY58" s="93">
        <f t="shared" si="4"/>
        <v>163.20000000000002</v>
      </c>
      <c r="BZ58" s="23">
        <f t="shared" si="5"/>
        <v>72</v>
      </c>
      <c r="CA58" s="95">
        <f t="shared" si="12"/>
        <v>2.8284271247461903</v>
      </c>
      <c r="CB58" s="95">
        <f t="shared" si="13"/>
        <v>9.616652224137047</v>
      </c>
      <c r="CC58" s="95">
        <f t="shared" si="14"/>
        <v>2.8284271247461903</v>
      </c>
      <c r="CD58" s="95">
        <f t="shared" si="15"/>
        <v>2.8284271247461903</v>
      </c>
      <c r="CE58" s="32">
        <f t="shared" si="6"/>
        <v>13.755498957017862</v>
      </c>
      <c r="CF58" s="9">
        <f t="shared" si="7"/>
        <v>2.4</v>
      </c>
      <c r="CG58" s="9">
        <v>0</v>
      </c>
      <c r="CH58" s="9">
        <f t="shared" si="8"/>
        <v>2.3999999999999995</v>
      </c>
      <c r="CI58" s="9">
        <f t="shared" si="9"/>
        <v>2.4</v>
      </c>
      <c r="CJ58" s="9">
        <f t="shared" si="10"/>
        <v>2</v>
      </c>
    </row>
    <row r="59" spans="2:88" ht="18" customHeight="1">
      <c r="B59" s="16"/>
      <c r="C59" s="59" t="s">
        <v>20</v>
      </c>
      <c r="D59" s="16"/>
      <c r="E59" s="58" t="str">
        <f>"="</f>
        <v>=</v>
      </c>
      <c r="F59" s="133">
        <f>ROUND(1/2*(bu+B)*Ha*γc,1)</f>
        <v>41.4</v>
      </c>
      <c r="G59" s="30" t="s">
        <v>95</v>
      </c>
      <c r="AI59" s="16"/>
      <c r="AK59" s="20"/>
      <c r="AL59" s="20"/>
      <c r="AM59" s="20"/>
      <c r="AN59" s="20"/>
      <c r="BS59" s="16"/>
      <c r="BT59" s="93">
        <f t="shared" si="1"/>
        <v>14.56829467689312</v>
      </c>
      <c r="BU59" s="94">
        <f t="shared" si="16"/>
        <v>46</v>
      </c>
      <c r="BV59" s="93">
        <f t="shared" si="2"/>
        <v>69.94132648842445</v>
      </c>
      <c r="BW59" s="93">
        <f t="shared" si="11"/>
        <v>0.8028514559173915</v>
      </c>
      <c r="BX59" s="93">
        <f t="shared" si="3"/>
        <v>69.94132648842445</v>
      </c>
      <c r="BY59" s="93">
        <f t="shared" si="4"/>
        <v>148.35330599363672</v>
      </c>
      <c r="BZ59" s="23">
        <f t="shared" si="5"/>
        <v>69.94132648842445</v>
      </c>
      <c r="CA59" s="95">
        <f t="shared" si="12"/>
        <v>2.780327182033358</v>
      </c>
      <c r="CB59" s="95">
        <f t="shared" si="13"/>
        <v>8.846073199660129</v>
      </c>
      <c r="CC59" s="95">
        <f t="shared" si="14"/>
        <v>2.780327182033358</v>
      </c>
      <c r="CD59" s="95">
        <f t="shared" si="15"/>
        <v>2.780327182033358</v>
      </c>
      <c r="CE59" s="32">
        <f t="shared" si="6"/>
        <v>14.56829467689312</v>
      </c>
      <c r="CF59" s="9">
        <f t="shared" si="7"/>
        <v>2.3313775496141482</v>
      </c>
      <c r="CG59" s="9">
        <v>0</v>
      </c>
      <c r="CH59" s="9">
        <f t="shared" si="8"/>
        <v>2.331377549614148</v>
      </c>
      <c r="CI59" s="9">
        <f t="shared" si="9"/>
        <v>2.3313775496141482</v>
      </c>
      <c r="CJ59" s="9">
        <f t="shared" si="10"/>
        <v>1.9313775496141483</v>
      </c>
    </row>
    <row r="60" spans="2:88" ht="18" customHeight="1">
      <c r="B60" s="16"/>
      <c r="D60" s="18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AI60" s="16"/>
      <c r="AK60" s="20"/>
      <c r="AL60" s="20"/>
      <c r="AM60" s="20"/>
      <c r="AN60" s="20"/>
      <c r="BS60" s="16"/>
      <c r="BT60" s="93">
        <f t="shared" si="1"/>
        <v>15.307709497456903</v>
      </c>
      <c r="BU60" s="94">
        <f t="shared" si="16"/>
        <v>47</v>
      </c>
      <c r="BV60" s="93">
        <f t="shared" si="2"/>
        <v>67.95090516825971</v>
      </c>
      <c r="BW60" s="93">
        <f t="shared" si="11"/>
        <v>0.8203047484373349</v>
      </c>
      <c r="BX60" s="93">
        <f t="shared" si="3"/>
        <v>67.95090516825971</v>
      </c>
      <c r="BY60" s="93">
        <f t="shared" si="4"/>
        <v>135.70585574375724</v>
      </c>
      <c r="BZ60" s="23">
        <f t="shared" si="5"/>
        <v>67.95090516825971</v>
      </c>
      <c r="CA60" s="95">
        <f t="shared" si="12"/>
        <v>2.7346549221971905</v>
      </c>
      <c r="CB60" s="95">
        <f t="shared" si="13"/>
        <v>8.192135604265538</v>
      </c>
      <c r="CC60" s="95">
        <f t="shared" si="14"/>
        <v>2.7346549221971905</v>
      </c>
      <c r="CD60" s="95">
        <f t="shared" si="15"/>
        <v>2.7346549221971905</v>
      </c>
      <c r="CE60" s="32">
        <f t="shared" si="6"/>
        <v>15.307709497456903</v>
      </c>
      <c r="CF60" s="9">
        <f t="shared" si="7"/>
        <v>2.265030172275323</v>
      </c>
      <c r="CG60" s="9">
        <v>0</v>
      </c>
      <c r="CH60" s="9">
        <f t="shared" si="8"/>
        <v>2.2650301722753228</v>
      </c>
      <c r="CI60" s="9">
        <f t="shared" si="9"/>
        <v>2.265030172275323</v>
      </c>
      <c r="CJ60" s="9">
        <f t="shared" si="10"/>
        <v>1.8650301722753233</v>
      </c>
    </row>
    <row r="61" spans="3:88" ht="18" customHeight="1">
      <c r="C61" s="7" t="s">
        <v>21</v>
      </c>
      <c r="F61" s="58" t="str">
        <f>"="</f>
        <v>=</v>
      </c>
      <c r="G61" s="201">
        <f>ROUND(B/2+Ha/6*(2*bu+B)*(n-'入力'!D6)/(bu+B),2)</f>
        <v>0.74</v>
      </c>
      <c r="H61" s="20" t="s">
        <v>96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AI61" s="16"/>
      <c r="AK61" s="20"/>
      <c r="AL61" s="20"/>
      <c r="AM61" s="20"/>
      <c r="AN61" s="20"/>
      <c r="BS61" s="16"/>
      <c r="BT61" s="93">
        <f t="shared" si="1"/>
        <v>15.978753246347942</v>
      </c>
      <c r="BU61" s="94">
        <f t="shared" si="16"/>
        <v>48</v>
      </c>
      <c r="BV61" s="93">
        <f aca="true" t="shared" si="17" ref="BV61:BV97">IF(β=0,BX61,IF(Hb=0,BX61,IF($BU$43&lt;=0,BZ61,IF(BW61&gt;ω0,BY61,BZ61))))</f>
        <v>66.02424265787042</v>
      </c>
      <c r="BW61" s="93">
        <f t="shared" si="11"/>
        <v>0.8377580409572781</v>
      </c>
      <c r="BX61" s="93">
        <f t="shared" si="3"/>
        <v>66.02424265787042</v>
      </c>
      <c r="BY61" s="93">
        <f t="shared" si="4"/>
        <v>124.79649720890133</v>
      </c>
      <c r="BZ61" s="23">
        <f t="shared" si="5"/>
        <v>66.0242426578704</v>
      </c>
      <c r="CA61" s="95">
        <f t="shared" si="12"/>
        <v>2.6912654592127527</v>
      </c>
      <c r="CB61" s="95">
        <f t="shared" si="13"/>
        <v>7.630390494051823</v>
      </c>
      <c r="CC61" s="95">
        <f t="shared" si="14"/>
        <v>2.6912654592127527</v>
      </c>
      <c r="CD61" s="95">
        <f t="shared" si="15"/>
        <v>2.6912654592127527</v>
      </c>
      <c r="CE61" s="32">
        <f t="shared" si="6"/>
        <v>15.978753246347942</v>
      </c>
      <c r="CF61" s="9">
        <f t="shared" si="7"/>
        <v>2.20080808859568</v>
      </c>
      <c r="CG61" s="9">
        <v>0</v>
      </c>
      <c r="CH61" s="9">
        <f t="shared" si="8"/>
        <v>2.2008080885956796</v>
      </c>
      <c r="CI61" s="9">
        <f t="shared" si="9"/>
        <v>2.20080808859568</v>
      </c>
      <c r="CJ61" s="9">
        <f t="shared" si="10"/>
        <v>1.80080808859568</v>
      </c>
    </row>
    <row r="62" spans="7:88" ht="18" customHeight="1">
      <c r="G62" s="127"/>
      <c r="T62" s="31"/>
      <c r="U62" s="31"/>
      <c r="V62" s="31"/>
      <c r="W62" s="31"/>
      <c r="X62" s="31"/>
      <c r="AI62" s="16"/>
      <c r="AK62" s="20"/>
      <c r="AL62" s="20"/>
      <c r="AM62" s="20"/>
      <c r="AN62" s="20"/>
      <c r="BS62" s="16"/>
      <c r="BT62" s="93">
        <f t="shared" si="1"/>
        <v>16.585957378525613</v>
      </c>
      <c r="BU62" s="94">
        <f>BU61+1</f>
        <v>49</v>
      </c>
      <c r="BV62" s="93">
        <f t="shared" si="17"/>
        <v>64.1572042689736</v>
      </c>
      <c r="BW62" s="93">
        <f t="shared" si="11"/>
        <v>0.8552113334772214</v>
      </c>
      <c r="BX62" s="93">
        <f t="shared" si="3"/>
        <v>64.1572042689736</v>
      </c>
      <c r="BY62" s="93">
        <f t="shared" si="4"/>
        <v>115.28455564696401</v>
      </c>
      <c r="BZ62" s="23">
        <f t="shared" si="5"/>
        <v>64.1572042689736</v>
      </c>
      <c r="CA62" s="95">
        <f t="shared" si="12"/>
        <v>2.6500259866976226</v>
      </c>
      <c r="CB62" s="95">
        <f t="shared" si="13"/>
        <v>7.1427769915409</v>
      </c>
      <c r="CC62" s="95">
        <f t="shared" si="14"/>
        <v>2.6500259866976226</v>
      </c>
      <c r="CD62" s="95">
        <f t="shared" si="15"/>
        <v>2.6500259866976226</v>
      </c>
      <c r="CE62" s="32">
        <f t="shared" si="6"/>
        <v>16.585957378525613</v>
      </c>
      <c r="CF62" s="9">
        <f aca="true" t="shared" si="18" ref="CF62:CF97">Ha*(TAN(α)+1/TAN(BW62))-zc/TAN(BW62)</f>
        <v>2.1385734756324535</v>
      </c>
      <c r="CG62" s="9">
        <v>0</v>
      </c>
      <c r="CH62" s="9">
        <f t="shared" si="8"/>
        <v>2.138573475632453</v>
      </c>
      <c r="CI62" s="9">
        <f aca="true" t="shared" si="19" ref="CI62:CI97">IF(Ho=0,CF62,IF(β=0,CF62,IF(BW62&lt;=ω0,CH62,CG62)))</f>
        <v>2.1385734756324535</v>
      </c>
      <c r="CJ62" s="9">
        <f t="shared" si="10"/>
        <v>1.7385734756324536</v>
      </c>
    </row>
    <row r="63" spans="6:88" ht="18" customHeight="1">
      <c r="F63" s="58" t="str">
        <f>"="</f>
        <v>=</v>
      </c>
      <c r="G63" s="202">
        <f>ROUND(Ha/3*(2*bu+B)/(bu+B),2)</f>
        <v>0.81</v>
      </c>
      <c r="H63" s="9" t="s">
        <v>96</v>
      </c>
      <c r="T63" s="20"/>
      <c r="U63" s="20"/>
      <c r="V63" s="20"/>
      <c r="W63" s="20"/>
      <c r="X63" s="20"/>
      <c r="AI63" s="16"/>
      <c r="AK63" s="20"/>
      <c r="AL63" s="20"/>
      <c r="AM63" s="20"/>
      <c r="AN63" s="20"/>
      <c r="BS63" s="16"/>
      <c r="BT63" s="93">
        <f t="shared" si="1"/>
        <v>17.13342543696557</v>
      </c>
      <c r="BU63" s="94">
        <f t="shared" si="16"/>
        <v>50</v>
      </c>
      <c r="BV63" s="93">
        <f t="shared" si="17"/>
        <v>62.3459778706368</v>
      </c>
      <c r="BW63" s="93">
        <f t="shared" si="11"/>
        <v>0.8726646259971648</v>
      </c>
      <c r="BX63" s="93">
        <f aca="true" t="shared" si="20" ref="BX63:BX82">1/2*γs*(Ha^2*COS(BW63-α)/COS(α)-zc^2*COS(BW63))/SIN(BW63)+CF63*q</f>
        <v>62.3459778706368</v>
      </c>
      <c r="BY63" s="93">
        <f aca="true" t="shared" si="21" ref="BY63:BY82">1/2*γs*(Ha^2*COS(BW63-α)*COS(α-β)/(COS(α))^2-zc^2*COS(BW63)*COS(β))/SIN(BW63-β)</f>
        <v>106.91289981562798</v>
      </c>
      <c r="BZ63" s="23">
        <f aca="true" t="shared" si="22" ref="BZ63:BZ82">1/2*γs*(H^2*COS(BW63-α)/SIN(BW63)-Ho^2*COS(α-β)/SIN(β)-zc^2*COS(α)/TAN(BW63))/COS(α)+CH63*q</f>
        <v>62.3459778706368</v>
      </c>
      <c r="CA63" s="95">
        <f t="shared" si="12"/>
        <v>2.610814578664557</v>
      </c>
      <c r="CB63" s="95">
        <f t="shared" si="13"/>
        <v>6.715663953457864</v>
      </c>
      <c r="CC63" s="95">
        <f t="shared" si="14"/>
        <v>2.610814578664557</v>
      </c>
      <c r="CD63" s="95">
        <f t="shared" si="15"/>
        <v>2.610814578664557</v>
      </c>
      <c r="CE63" s="32">
        <f t="shared" si="6"/>
        <v>17.13342543696557</v>
      </c>
      <c r="CF63" s="9">
        <f t="shared" si="18"/>
        <v>2.07819926235456</v>
      </c>
      <c r="CG63" s="9">
        <v>0</v>
      </c>
      <c r="CH63" s="9">
        <f t="shared" si="8"/>
        <v>2.0781992623545595</v>
      </c>
      <c r="CI63" s="9">
        <f t="shared" si="19"/>
        <v>2.07819926235456</v>
      </c>
      <c r="CJ63" s="9">
        <f t="shared" si="10"/>
        <v>1.67819926235456</v>
      </c>
    </row>
    <row r="64" spans="35:88" ht="18" customHeight="1">
      <c r="AI64" s="16"/>
      <c r="AK64" s="20"/>
      <c r="AL64" s="20"/>
      <c r="AM64" s="20"/>
      <c r="AN64" s="20"/>
      <c r="BS64" s="16"/>
      <c r="BT64" s="93">
        <f t="shared" si="1"/>
        <v>17.62487723212284</v>
      </c>
      <c r="BU64" s="94">
        <f t="shared" si="16"/>
        <v>51</v>
      </c>
      <c r="BV64" s="93">
        <f t="shared" si="17"/>
        <v>60.587041991700445</v>
      </c>
      <c r="BW64" s="93">
        <f t="shared" si="11"/>
        <v>0.890117918517108</v>
      </c>
      <c r="BX64" s="93">
        <f t="shared" si="20"/>
        <v>60.587041991700445</v>
      </c>
      <c r="BY64" s="93">
        <f t="shared" si="21"/>
        <v>99.48381022698157</v>
      </c>
      <c r="BZ64" s="23">
        <f t="shared" si="22"/>
        <v>60.587041991700445</v>
      </c>
      <c r="CA64" s="95">
        <f t="shared" si="12"/>
        <v>2.573519131786335</v>
      </c>
      <c r="CB64" s="95">
        <f t="shared" si="13"/>
        <v>6.338570439464836</v>
      </c>
      <c r="CC64" s="95">
        <f t="shared" si="14"/>
        <v>2.573519131786335</v>
      </c>
      <c r="CD64" s="95">
        <f t="shared" si="15"/>
        <v>2.573519131786335</v>
      </c>
      <c r="CE64" s="32">
        <f t="shared" si="6"/>
        <v>17.62487723212284</v>
      </c>
      <c r="CF64" s="9">
        <f t="shared" si="18"/>
        <v>2.019568066390015</v>
      </c>
      <c r="CG64" s="9">
        <v>0</v>
      </c>
      <c r="CH64" s="9">
        <f>H*(1/TAN(BW64)-1/TAN(ω0))</f>
        <v>2.0195680663900144</v>
      </c>
      <c r="CI64" s="9">
        <f t="shared" si="19"/>
        <v>2.019568066390015</v>
      </c>
      <c r="CJ64" s="9">
        <f t="shared" si="10"/>
        <v>1.6195680663900147</v>
      </c>
    </row>
    <row r="65" spans="1:88" ht="18" customHeight="1">
      <c r="A65" s="85" t="s">
        <v>362</v>
      </c>
      <c r="AI65" s="16"/>
      <c r="AK65" s="20"/>
      <c r="AL65" s="20"/>
      <c r="AM65" s="20"/>
      <c r="AN65" s="20"/>
      <c r="BS65" s="16"/>
      <c r="BT65" s="93">
        <f t="shared" si="1"/>
        <v>18.06368760979245</v>
      </c>
      <c r="BU65" s="94">
        <f t="shared" si="16"/>
        <v>52</v>
      </c>
      <c r="BV65" s="93">
        <f t="shared" si="17"/>
        <v>58.87713759040304</v>
      </c>
      <c r="BW65" s="93">
        <f t="shared" si="11"/>
        <v>0.9075712110370514</v>
      </c>
      <c r="BX65" s="93">
        <f t="shared" si="20"/>
        <v>58.87713759040304</v>
      </c>
      <c r="BY65" s="93">
        <f t="shared" si="21"/>
        <v>92.84275515199563</v>
      </c>
      <c r="BZ65" s="23">
        <f t="shared" si="22"/>
        <v>58.87713759040304</v>
      </c>
      <c r="CA65" s="95">
        <f t="shared" si="12"/>
        <v>2.5380364301451577</v>
      </c>
      <c r="CB65" s="95">
        <f t="shared" si="13"/>
        <v>6.003305472068863</v>
      </c>
      <c r="CC65" s="95">
        <f t="shared" si="14"/>
        <v>2.5380364301451577</v>
      </c>
      <c r="CD65" s="95">
        <f t="shared" si="15"/>
        <v>2.5380364301451577</v>
      </c>
      <c r="CE65" s="32">
        <f t="shared" si="6"/>
        <v>18.06368760979245</v>
      </c>
      <c r="CF65" s="9">
        <f t="shared" si="18"/>
        <v>1.9625712530134347</v>
      </c>
      <c r="CG65" s="9">
        <v>0</v>
      </c>
      <c r="CH65" s="9">
        <f t="shared" si="8"/>
        <v>1.9625712530134345</v>
      </c>
      <c r="CI65" s="9">
        <f t="shared" si="19"/>
        <v>1.9625712530134347</v>
      </c>
      <c r="CJ65" s="9">
        <f t="shared" si="10"/>
        <v>1.5625712530134348</v>
      </c>
    </row>
    <row r="66" spans="2:88" ht="18" customHeight="1">
      <c r="B66" s="1" t="s">
        <v>200</v>
      </c>
      <c r="AI66" s="16"/>
      <c r="AK66" s="20"/>
      <c r="AL66" s="20"/>
      <c r="AM66" s="20"/>
      <c r="AN66" s="20"/>
      <c r="BS66" s="16"/>
      <c r="BT66" s="93">
        <f t="shared" si="1"/>
        <v>18.452920542494176</v>
      </c>
      <c r="BU66" s="94">
        <f t="shared" si="16"/>
        <v>53</v>
      </c>
      <c r="BV66" s="93">
        <f t="shared" si="17"/>
        <v>57.21324300616766</v>
      </c>
      <c r="BW66" s="93">
        <f t="shared" si="11"/>
        <v>0.9250245035569946</v>
      </c>
      <c r="BX66" s="93">
        <f t="shared" si="20"/>
        <v>57.21324300616766</v>
      </c>
      <c r="BY66" s="93">
        <f t="shared" si="21"/>
        <v>86.8672077541843</v>
      </c>
      <c r="BZ66" s="23">
        <f t="shared" si="22"/>
        <v>57.21324300616766</v>
      </c>
      <c r="CA66" s="95">
        <f t="shared" si="12"/>
        <v>2.5042713163124515</v>
      </c>
      <c r="CB66" s="95">
        <f t="shared" si="13"/>
        <v>5.703375091414779</v>
      </c>
      <c r="CC66" s="95">
        <f t="shared" si="14"/>
        <v>2.5042713163124515</v>
      </c>
      <c r="CD66" s="95">
        <f t="shared" si="15"/>
        <v>2.5042713163124515</v>
      </c>
      <c r="CE66" s="32">
        <f t="shared" si="6"/>
        <v>18.452920542494176</v>
      </c>
      <c r="CF66" s="9">
        <f t="shared" si="18"/>
        <v>1.9071081002055887</v>
      </c>
      <c r="CG66" s="9">
        <v>0</v>
      </c>
      <c r="CH66" s="9">
        <f t="shared" si="8"/>
        <v>1.9071081002055883</v>
      </c>
      <c r="CI66" s="9">
        <f t="shared" si="19"/>
        <v>1.9071081002055887</v>
      </c>
      <c r="CJ66" s="9">
        <f t="shared" si="10"/>
        <v>1.5071081002055886</v>
      </c>
    </row>
    <row r="67" spans="25:88" ht="18" customHeight="1"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42"/>
      <c r="AJ67" s="31"/>
      <c r="AK67" s="20"/>
      <c r="AL67" s="20"/>
      <c r="AM67" s="20"/>
      <c r="AN67" s="20"/>
      <c r="BS67" s="16"/>
      <c r="BT67" s="93">
        <f t="shared" si="1"/>
        <v>18.79535916774974</v>
      </c>
      <c r="BU67" s="94">
        <f t="shared" si="16"/>
        <v>54</v>
      </c>
      <c r="BV67" s="93">
        <f t="shared" si="17"/>
        <v>55.592551680321655</v>
      </c>
      <c r="BW67" s="93">
        <f t="shared" si="11"/>
        <v>0.9424777960769379</v>
      </c>
      <c r="BX67" s="93">
        <f t="shared" si="20"/>
        <v>55.592551680321655</v>
      </c>
      <c r="BY67" s="93">
        <f t="shared" si="21"/>
        <v>81.45876688201577</v>
      </c>
      <c r="BZ67" s="23">
        <f t="shared" si="22"/>
        <v>55.592551680321655</v>
      </c>
      <c r="CA67" s="95">
        <f t="shared" si="12"/>
        <v>2.472135954999579</v>
      </c>
      <c r="CB67" s="95">
        <f t="shared" si="13"/>
        <v>5.4335645793960525</v>
      </c>
      <c r="CC67" s="95">
        <f t="shared" si="14"/>
        <v>2.472135954999579</v>
      </c>
      <c r="CD67" s="95">
        <f t="shared" si="15"/>
        <v>2.472135954999579</v>
      </c>
      <c r="CE67" s="32">
        <f t="shared" si="6"/>
        <v>18.79535916774974</v>
      </c>
      <c r="CF67" s="9">
        <f t="shared" si="18"/>
        <v>1.853085056010722</v>
      </c>
      <c r="CG67" s="9">
        <v>0</v>
      </c>
      <c r="CH67" s="9">
        <f t="shared" si="8"/>
        <v>1.8530850560107217</v>
      </c>
      <c r="CI67" s="9">
        <f t="shared" si="19"/>
        <v>1.853085056010722</v>
      </c>
      <c r="CJ67" s="9">
        <f t="shared" si="10"/>
        <v>1.453085056010722</v>
      </c>
    </row>
    <row r="68" spans="35:88" ht="18" customHeight="1">
      <c r="AI68" s="16"/>
      <c r="AK68" s="20"/>
      <c r="AL68" s="20"/>
      <c r="AM68" s="20"/>
      <c r="AN68" s="20"/>
      <c r="BS68" s="16"/>
      <c r="BT68" s="93">
        <f t="shared" si="1"/>
        <v>19.093532303423174</v>
      </c>
      <c r="BU68" s="97">
        <f t="shared" si="16"/>
        <v>55</v>
      </c>
      <c r="BV68" s="93">
        <f t="shared" si="17"/>
        <v>54.01245229258258</v>
      </c>
      <c r="BW68" s="98">
        <f t="shared" si="11"/>
        <v>0.9599310885968813</v>
      </c>
      <c r="BX68" s="93">
        <f t="shared" si="20"/>
        <v>54.01245229258258</v>
      </c>
      <c r="BY68" s="93">
        <f t="shared" si="21"/>
        <v>76.53749631652683</v>
      </c>
      <c r="BZ68" s="23">
        <f t="shared" si="22"/>
        <v>54.01245229258259</v>
      </c>
      <c r="CA68" s="99">
        <f t="shared" si="12"/>
        <v>2.441549177522912</v>
      </c>
      <c r="CB68" s="99">
        <f t="shared" si="13"/>
        <v>5.189638312541721</v>
      </c>
      <c r="CC68" s="99">
        <f t="shared" si="14"/>
        <v>2.441549177522912</v>
      </c>
      <c r="CD68" s="99">
        <f t="shared" si="15"/>
        <v>2.441549177522912</v>
      </c>
      <c r="CE68" s="32">
        <f t="shared" si="6"/>
        <v>19.093532303423174</v>
      </c>
      <c r="CF68" s="9">
        <f t="shared" si="18"/>
        <v>1.8004150764194198</v>
      </c>
      <c r="CG68" s="9">
        <v>0</v>
      </c>
      <c r="CH68" s="9">
        <f t="shared" si="8"/>
        <v>1.8004150764194193</v>
      </c>
      <c r="CI68" s="9">
        <f t="shared" si="19"/>
        <v>1.8004150764194198</v>
      </c>
      <c r="CJ68" s="9">
        <f t="shared" si="10"/>
        <v>1.4004150764194196</v>
      </c>
    </row>
    <row r="69" spans="35:88" ht="18" customHeight="1">
      <c r="AI69" s="16"/>
      <c r="AK69" s="20"/>
      <c r="AL69" s="20"/>
      <c r="AM69" s="20"/>
      <c r="AN69" s="20"/>
      <c r="BN69" s="16"/>
      <c r="BO69" s="16"/>
      <c r="BP69" s="16"/>
      <c r="BS69" s="16"/>
      <c r="BT69" s="93">
        <f t="shared" si="1"/>
        <v>19.349737892304002</v>
      </c>
      <c r="BU69" s="97">
        <f t="shared" si="16"/>
        <v>56</v>
      </c>
      <c r="BV69" s="93">
        <f t="shared" si="17"/>
        <v>52.47051101054561</v>
      </c>
      <c r="BW69" s="98">
        <f t="shared" si="11"/>
        <v>0.9773843811168246</v>
      </c>
      <c r="BX69" s="93">
        <f t="shared" si="20"/>
        <v>52.47051101054561</v>
      </c>
      <c r="BY69" s="93">
        <f t="shared" si="21"/>
        <v>72.03778640794745</v>
      </c>
      <c r="BZ69" s="23">
        <f t="shared" si="22"/>
        <v>52.47051101054559</v>
      </c>
      <c r="CA69" s="99">
        <f t="shared" si="12"/>
        <v>2.4124358970078106</v>
      </c>
      <c r="CB69" s="99">
        <f t="shared" si="13"/>
        <v>4.968120336294778</v>
      </c>
      <c r="CC69" s="99">
        <f t="shared" si="14"/>
        <v>2.4124358970078106</v>
      </c>
      <c r="CD69" s="99">
        <f t="shared" si="15"/>
        <v>2.4124358970078106</v>
      </c>
      <c r="CE69" s="32">
        <f t="shared" si="6"/>
        <v>19.349737892304002</v>
      </c>
      <c r="CF69" s="9">
        <f t="shared" si="18"/>
        <v>1.7490170336848534</v>
      </c>
      <c r="CG69" s="9">
        <v>0</v>
      </c>
      <c r="CH69" s="9">
        <f t="shared" si="8"/>
        <v>1.749017033684853</v>
      </c>
      <c r="CI69" s="9">
        <f t="shared" si="19"/>
        <v>1.7490170336848534</v>
      </c>
      <c r="CJ69" s="9">
        <f t="shared" si="10"/>
        <v>1.3490170336848533</v>
      </c>
    </row>
    <row r="70" spans="35:88" ht="18" customHeight="1">
      <c r="AI70" s="16"/>
      <c r="AK70" s="20"/>
      <c r="AL70" s="20"/>
      <c r="AM70" s="20"/>
      <c r="AN70" s="20"/>
      <c r="BN70" s="16"/>
      <c r="BO70" s="16"/>
      <c r="BP70" s="16"/>
      <c r="BS70" s="16"/>
      <c r="BT70" s="93">
        <f t="shared" si="1"/>
        <v>19.566063762623752</v>
      </c>
      <c r="BU70" s="97">
        <f t="shared" si="16"/>
        <v>57</v>
      </c>
      <c r="BV70" s="93">
        <f t="shared" si="17"/>
        <v>50.96445559185065</v>
      </c>
      <c r="BW70" s="98">
        <f t="shared" si="11"/>
        <v>0.9948376736367678</v>
      </c>
      <c r="BX70" s="93">
        <f t="shared" si="20"/>
        <v>50.96445559185065</v>
      </c>
      <c r="BY70" s="93">
        <f t="shared" si="21"/>
        <v>67.90528092598262</v>
      </c>
      <c r="BZ70" s="23">
        <f t="shared" si="22"/>
        <v>50.96445559185064</v>
      </c>
      <c r="CA70" s="99">
        <f t="shared" si="12"/>
        <v>2.384726585671895</v>
      </c>
      <c r="CB70" s="99">
        <f t="shared" si="13"/>
        <v>4.766131419961739</v>
      </c>
      <c r="CC70" s="99">
        <f t="shared" si="14"/>
        <v>2.384726585671895</v>
      </c>
      <c r="CD70" s="99">
        <f t="shared" si="15"/>
        <v>2.384726585671895</v>
      </c>
      <c r="CE70" s="32">
        <f t="shared" si="6"/>
        <v>19.566063762623752</v>
      </c>
      <c r="CF70" s="9">
        <f t="shared" si="18"/>
        <v>1.6988151863950214</v>
      </c>
      <c r="CG70" s="9">
        <v>0</v>
      </c>
      <c r="CH70" s="9">
        <f t="shared" si="8"/>
        <v>1.698815186395021</v>
      </c>
      <c r="CI70" s="9">
        <f t="shared" si="19"/>
        <v>1.6988151863950214</v>
      </c>
      <c r="CJ70" s="9">
        <f t="shared" si="10"/>
        <v>1.2988151863950212</v>
      </c>
    </row>
    <row r="71" spans="35:88" ht="18" customHeight="1">
      <c r="AI71" s="16"/>
      <c r="AK71" s="20"/>
      <c r="AL71" s="20"/>
      <c r="AM71" s="20"/>
      <c r="AN71" s="20"/>
      <c r="BN71" s="16"/>
      <c r="BO71" s="16"/>
      <c r="BP71" s="16"/>
      <c r="BS71" s="16"/>
      <c r="BT71" s="93">
        <f t="shared" si="1"/>
        <v>19.744406036024674</v>
      </c>
      <c r="BU71" s="97">
        <f t="shared" si="16"/>
        <v>58</v>
      </c>
      <c r="BV71" s="93">
        <f t="shared" si="17"/>
        <v>49.49216111455964</v>
      </c>
      <c r="BW71" s="98">
        <f t="shared" si="11"/>
        <v>1.0122909661567112</v>
      </c>
      <c r="BX71" s="93">
        <f t="shared" si="20"/>
        <v>49.49216111455964</v>
      </c>
      <c r="BY71" s="93">
        <f t="shared" si="21"/>
        <v>64.09456239729664</v>
      </c>
      <c r="BZ71" s="23">
        <f t="shared" si="22"/>
        <v>49.49216111455965</v>
      </c>
      <c r="CA71" s="99">
        <f t="shared" si="12"/>
        <v>2.358356806724193</v>
      </c>
      <c r="CB71" s="99">
        <f t="shared" si="13"/>
        <v>4.581266328837032</v>
      </c>
      <c r="CC71" s="99">
        <f t="shared" si="14"/>
        <v>2.358356806724193</v>
      </c>
      <c r="CD71" s="99">
        <f t="shared" si="15"/>
        <v>2.358356806724193</v>
      </c>
      <c r="CE71" s="32">
        <f t="shared" si="6"/>
        <v>19.744406036024674</v>
      </c>
      <c r="CF71" s="9">
        <f t="shared" si="18"/>
        <v>1.6497387038186546</v>
      </c>
      <c r="CG71" s="9">
        <v>0</v>
      </c>
      <c r="CH71" s="9">
        <f t="shared" si="8"/>
        <v>1.6497387038186544</v>
      </c>
      <c r="CI71" s="9">
        <f t="shared" si="19"/>
        <v>1.6497387038186546</v>
      </c>
      <c r="CJ71" s="9">
        <f t="shared" si="10"/>
        <v>1.2497387038186547</v>
      </c>
    </row>
    <row r="72" spans="35:88" ht="18" customHeight="1">
      <c r="AI72" s="16"/>
      <c r="AK72" s="20"/>
      <c r="AL72" s="20"/>
      <c r="AM72" s="20"/>
      <c r="AN72" s="20"/>
      <c r="BS72" s="16"/>
      <c r="BT72" s="93">
        <f t="shared" si="1"/>
        <v>19.8864854678687</v>
      </c>
      <c r="BU72" s="97">
        <f t="shared" si="16"/>
        <v>59</v>
      </c>
      <c r="BV72" s="93">
        <f t="shared" si="17"/>
        <v>48.05163714165364</v>
      </c>
      <c r="BW72" s="98">
        <f t="shared" si="11"/>
        <v>1.0297442586766543</v>
      </c>
      <c r="BX72" s="93">
        <f t="shared" si="20"/>
        <v>48.05163714165364</v>
      </c>
      <c r="BY72" s="93">
        <f t="shared" si="21"/>
        <v>60.56738615427568</v>
      </c>
      <c r="BZ72" s="23">
        <f t="shared" si="22"/>
        <v>48.051637141653636</v>
      </c>
      <c r="CA72" s="99">
        <f t="shared" si="12"/>
        <v>2.3332667944306613</v>
      </c>
      <c r="CB72" s="99">
        <f t="shared" si="13"/>
        <v>4.41150019059582</v>
      </c>
      <c r="CC72" s="99">
        <f t="shared" si="14"/>
        <v>2.3332667944306613</v>
      </c>
      <c r="CD72" s="99">
        <f t="shared" si="15"/>
        <v>2.3332667944306613</v>
      </c>
      <c r="CE72" s="32">
        <f t="shared" si="6"/>
        <v>19.8864854678687</v>
      </c>
      <c r="CF72" s="9">
        <f t="shared" si="18"/>
        <v>1.6017212380551213</v>
      </c>
      <c r="CG72" s="9">
        <v>0</v>
      </c>
      <c r="CH72" s="9">
        <f t="shared" si="8"/>
        <v>1.601721238055121</v>
      </c>
      <c r="CI72" s="9">
        <f t="shared" si="19"/>
        <v>1.6017212380551213</v>
      </c>
      <c r="CJ72" s="9">
        <f t="shared" si="10"/>
        <v>1.2017212380551212</v>
      </c>
    </row>
    <row r="73" spans="35:88" ht="18" customHeight="1">
      <c r="AI73" s="16"/>
      <c r="AK73" s="20"/>
      <c r="AL73" s="20"/>
      <c r="AM73" s="20"/>
      <c r="AN73" s="20"/>
      <c r="BS73" s="16"/>
      <c r="BT73" s="93">
        <f t="shared" si="1"/>
        <v>19.99386196523898</v>
      </c>
      <c r="BU73" s="97">
        <f>BU72+1</f>
        <v>60</v>
      </c>
      <c r="BV73" s="93">
        <f t="shared" si="17"/>
        <v>46.641016151377556</v>
      </c>
      <c r="BW73" s="98">
        <f t="shared" si="11"/>
        <v>1.0471975511965976</v>
      </c>
      <c r="BX73" s="93">
        <f t="shared" si="20"/>
        <v>46.641016151377556</v>
      </c>
      <c r="BY73" s="93">
        <f t="shared" si="21"/>
        <v>57.29131710521086</v>
      </c>
      <c r="BZ73" s="23">
        <f t="shared" si="22"/>
        <v>46.641016151377556</v>
      </c>
      <c r="CA73" s="99">
        <f t="shared" si="12"/>
        <v>2.3094010767585034</v>
      </c>
      <c r="CB73" s="99">
        <f t="shared" si="13"/>
        <v>4.255116215165662</v>
      </c>
      <c r="CC73" s="99">
        <f t="shared" si="14"/>
        <v>2.3094010767585034</v>
      </c>
      <c r="CD73" s="99">
        <f t="shared" si="15"/>
        <v>2.3094010767585034</v>
      </c>
      <c r="CE73" s="32">
        <f t="shared" si="6"/>
        <v>19.99386196523898</v>
      </c>
      <c r="CF73" s="9">
        <f t="shared" si="18"/>
        <v>1.5547005383792518</v>
      </c>
      <c r="CG73" s="9">
        <v>0</v>
      </c>
      <c r="CH73" s="9">
        <f t="shared" si="8"/>
        <v>1.5547005383792516</v>
      </c>
      <c r="CI73" s="9">
        <f t="shared" si="19"/>
        <v>1.5547005383792518</v>
      </c>
      <c r="CJ73" s="9">
        <f t="shared" si="10"/>
        <v>1.154700538379252</v>
      </c>
    </row>
    <row r="74" spans="35:88" ht="18" customHeight="1">
      <c r="AI74" s="16"/>
      <c r="AK74" s="20"/>
      <c r="AL74" s="20"/>
      <c r="AM74" s="20"/>
      <c r="AN74" s="20"/>
      <c r="BS74" s="16"/>
      <c r="BT74" s="93">
        <f t="shared" si="1"/>
        <v>20.06794749436152</v>
      </c>
      <c r="BU74" s="97">
        <f t="shared" si="16"/>
        <v>61</v>
      </c>
      <c r="BV74" s="93">
        <f t="shared" si="17"/>
        <v>45.258543087166146</v>
      </c>
      <c r="BW74" s="98">
        <f t="shared" si="11"/>
        <v>1.064650843716541</v>
      </c>
      <c r="BX74" s="93">
        <f t="shared" si="20"/>
        <v>45.258543087166146</v>
      </c>
      <c r="BY74" s="93">
        <f t="shared" si="21"/>
        <v>54.238666001387195</v>
      </c>
      <c r="BZ74" s="23">
        <f t="shared" si="22"/>
        <v>45.25854308716614</v>
      </c>
      <c r="CA74" s="99">
        <f t="shared" si="12"/>
        <v>2.28670813574664</v>
      </c>
      <c r="CB74" s="99">
        <f t="shared" si="13"/>
        <v>4.110649294826299</v>
      </c>
      <c r="CC74" s="99">
        <f t="shared" si="14"/>
        <v>2.28670813574664</v>
      </c>
      <c r="CD74" s="99">
        <f t="shared" si="15"/>
        <v>2.28670813574664</v>
      </c>
      <c r="CE74" s="32">
        <f t="shared" si="6"/>
        <v>20.06794749436152</v>
      </c>
      <c r="CF74" s="9">
        <f t="shared" si="18"/>
        <v>1.508618102905538</v>
      </c>
      <c r="CG74" s="9">
        <v>0</v>
      </c>
      <c r="CH74" s="9">
        <f t="shared" si="8"/>
        <v>1.5086181029055377</v>
      </c>
      <c r="CI74" s="9">
        <f t="shared" si="19"/>
        <v>1.508618102905538</v>
      </c>
      <c r="CJ74" s="9">
        <f t="shared" si="10"/>
        <v>1.108618102905538</v>
      </c>
    </row>
    <row r="75" spans="35:88" ht="18" customHeight="1">
      <c r="AI75" s="16"/>
      <c r="AK75" s="20"/>
      <c r="AL75" s="20"/>
      <c r="AM75" s="20"/>
      <c r="AN75" s="20"/>
      <c r="BS75" s="16"/>
      <c r="BT75" s="93">
        <f t="shared" si="1"/>
        <v>20.110017560487506</v>
      </c>
      <c r="BU75" s="97">
        <f t="shared" si="16"/>
        <v>62</v>
      </c>
      <c r="BV75" s="93">
        <f t="shared" si="17"/>
        <v>43.902565899688724</v>
      </c>
      <c r="BW75" s="98">
        <f t="shared" si="11"/>
        <v>1.0821041362364843</v>
      </c>
      <c r="BX75" s="93">
        <f t="shared" si="20"/>
        <v>43.902565899688724</v>
      </c>
      <c r="BY75" s="93">
        <f t="shared" si="21"/>
        <v>51.385651146387524</v>
      </c>
      <c r="BZ75" s="23">
        <f t="shared" si="22"/>
        <v>43.902565899688724</v>
      </c>
      <c r="CA75" s="99">
        <f t="shared" si="12"/>
        <v>2.2651401013780785</v>
      </c>
      <c r="CB75" s="99">
        <f t="shared" si="13"/>
        <v>3.9768415579531786</v>
      </c>
      <c r="CC75" s="99">
        <f t="shared" si="14"/>
        <v>2.2651401013780785</v>
      </c>
      <c r="CD75" s="99">
        <f t="shared" si="15"/>
        <v>2.2651401013780785</v>
      </c>
      <c r="CE75" s="32">
        <f t="shared" si="6"/>
        <v>20.110017560487506</v>
      </c>
      <c r="CF75" s="9">
        <f t="shared" si="18"/>
        <v>1.4634188633229575</v>
      </c>
      <c r="CG75" s="9">
        <v>0</v>
      </c>
      <c r="CH75" s="9">
        <f t="shared" si="8"/>
        <v>1.4634188633229572</v>
      </c>
      <c r="CI75" s="9">
        <f t="shared" si="19"/>
        <v>1.4634188633229575</v>
      </c>
      <c r="CJ75" s="9">
        <f t="shared" si="10"/>
        <v>1.0634188633229575</v>
      </c>
    </row>
    <row r="76" spans="35:88" ht="18" customHeight="1">
      <c r="AI76" s="16"/>
      <c r="AK76" s="20"/>
      <c r="AL76" s="20"/>
      <c r="AM76" s="20"/>
      <c r="AN76" s="20"/>
      <c r="BS76" s="16"/>
      <c r="BT76" s="93">
        <f t="shared" si="1"/>
        <v>20.12122141872953</v>
      </c>
      <c r="BU76" s="97">
        <f t="shared" si="16"/>
        <v>63</v>
      </c>
      <c r="BV76" s="93">
        <f t="shared" si="17"/>
        <v>42.57152696966574</v>
      </c>
      <c r="BW76" s="98">
        <f t="shared" si="11"/>
        <v>1.0995574287564276</v>
      </c>
      <c r="BX76" s="93">
        <f t="shared" si="20"/>
        <v>42.57152696966574</v>
      </c>
      <c r="BY76" s="93">
        <f t="shared" si="21"/>
        <v>48.71173170577066</v>
      </c>
      <c r="BZ76" s="23">
        <f t="shared" si="22"/>
        <v>42.57152696966573</v>
      </c>
      <c r="CA76" s="99">
        <f t="shared" si="12"/>
        <v>2.2446524752687216</v>
      </c>
      <c r="CB76" s="99">
        <f t="shared" si="13"/>
        <v>3.8526070215626036</v>
      </c>
      <c r="CC76" s="99">
        <f t="shared" si="14"/>
        <v>2.2446524752687216</v>
      </c>
      <c r="CD76" s="99">
        <f t="shared" si="15"/>
        <v>2.2446524752687216</v>
      </c>
      <c r="CE76" s="32">
        <f t="shared" si="6"/>
        <v>20.12122141872953</v>
      </c>
      <c r="CF76" s="9">
        <f t="shared" si="18"/>
        <v>1.419050898988858</v>
      </c>
      <c r="CG76" s="9">
        <v>0</v>
      </c>
      <c r="CH76" s="9">
        <f t="shared" si="8"/>
        <v>1.4190508989888575</v>
      </c>
      <c r="CI76" s="9">
        <f t="shared" si="19"/>
        <v>1.419050898988858</v>
      </c>
      <c r="CJ76" s="9">
        <f t="shared" si="10"/>
        <v>1.0190508989888578</v>
      </c>
    </row>
    <row r="77" spans="35:88" ht="18" customHeight="1">
      <c r="AI77" s="16"/>
      <c r="AK77" s="20"/>
      <c r="AL77" s="20"/>
      <c r="AM77" s="20"/>
      <c r="AN77" s="20"/>
      <c r="BS77" s="16"/>
      <c r="BT77" s="93">
        <f t="shared" si="1"/>
        <v>20.1025911532711</v>
      </c>
      <c r="BU77" s="97">
        <f t="shared" si="16"/>
        <v>64</v>
      </c>
      <c r="BV77" s="93">
        <f t="shared" si="17"/>
        <v>41.26395531395169</v>
      </c>
      <c r="BW77" s="98">
        <f t="shared" si="11"/>
        <v>1.117010721276371</v>
      </c>
      <c r="BX77" s="93">
        <f t="shared" si="20"/>
        <v>41.26395531395169</v>
      </c>
      <c r="BY77" s="93">
        <f t="shared" si="21"/>
        <v>46.1990729862801</v>
      </c>
      <c r="BZ77" s="23">
        <f t="shared" si="22"/>
        <v>41.26395531395169</v>
      </c>
      <c r="CA77" s="99">
        <f t="shared" si="12"/>
        <v>2.2252038809503776</v>
      </c>
      <c r="CB77" s="99">
        <f t="shared" si="13"/>
        <v>3.7370032413236167</v>
      </c>
      <c r="CC77" s="99">
        <f t="shared" si="14"/>
        <v>2.2252038809503776</v>
      </c>
      <c r="CD77" s="99">
        <f t="shared" si="15"/>
        <v>2.2252038809503776</v>
      </c>
      <c r="CE77" s="32">
        <f t="shared" si="6"/>
        <v>20.1025911532711</v>
      </c>
      <c r="CF77" s="9">
        <f t="shared" si="18"/>
        <v>1.375465177131723</v>
      </c>
      <c r="CG77" s="9">
        <v>0</v>
      </c>
      <c r="CH77" s="9">
        <f t="shared" si="8"/>
        <v>1.3754651771317226</v>
      </c>
      <c r="CI77" s="9">
        <f t="shared" si="19"/>
        <v>1.375465177131723</v>
      </c>
      <c r="CJ77" s="9">
        <f t="shared" si="10"/>
        <v>0.975465177131723</v>
      </c>
    </row>
    <row r="78" spans="35:88" ht="18" customHeight="1">
      <c r="AI78" s="16"/>
      <c r="AK78" s="20"/>
      <c r="AL78" s="20"/>
      <c r="AM78" s="20"/>
      <c r="AN78" s="20"/>
      <c r="BS78" s="16"/>
      <c r="BT78" s="93">
        <f t="shared" si="1"/>
        <v>20.0550497442232</v>
      </c>
      <c r="BU78" s="97">
        <f t="shared" si="16"/>
        <v>65</v>
      </c>
      <c r="BV78" s="93">
        <f t="shared" si="17"/>
        <v>39.978459489299915</v>
      </c>
      <c r="BW78" s="98">
        <f t="shared" si="11"/>
        <v>1.1344640137963142</v>
      </c>
      <c r="BX78" s="93">
        <f t="shared" si="20"/>
        <v>39.978459489299915</v>
      </c>
      <c r="BY78" s="93">
        <f t="shared" si="21"/>
        <v>43.832114179804805</v>
      </c>
      <c r="BZ78" s="23">
        <f t="shared" si="22"/>
        <v>39.97845948929991</v>
      </c>
      <c r="CA78" s="99">
        <f t="shared" si="12"/>
        <v>2.2067558379249834</v>
      </c>
      <c r="CB78" s="99">
        <f t="shared" si="13"/>
        <v>3.6292083946143765</v>
      </c>
      <c r="CC78" s="99">
        <f t="shared" si="14"/>
        <v>2.2067558379249834</v>
      </c>
      <c r="CD78" s="99">
        <f t="shared" si="15"/>
        <v>2.2067558379249834</v>
      </c>
      <c r="CE78" s="32">
        <f t="shared" si="6"/>
        <v>20.0550497442232</v>
      </c>
      <c r="CF78" s="9">
        <f t="shared" si="18"/>
        <v>1.3326153163099972</v>
      </c>
      <c r="CG78" s="9">
        <v>0</v>
      </c>
      <c r="CH78" s="9">
        <f t="shared" si="8"/>
        <v>1.3326153163099967</v>
      </c>
      <c r="CI78" s="9">
        <f t="shared" si="19"/>
        <v>1.3326153163099972</v>
      </c>
      <c r="CJ78" s="9">
        <f t="shared" si="10"/>
        <v>0.9326153163099972</v>
      </c>
    </row>
    <row r="79" spans="37:88" ht="18" customHeight="1">
      <c r="AK79" s="20"/>
      <c r="AL79" s="20"/>
      <c r="AM79" s="20"/>
      <c r="AN79" s="20"/>
      <c r="BS79" s="16"/>
      <c r="BT79" s="93">
        <f t="shared" si="1"/>
        <v>19.979418225722693</v>
      </c>
      <c r="BU79" s="97">
        <f t="shared" si="16"/>
        <v>66</v>
      </c>
      <c r="BV79" s="93">
        <f t="shared" si="17"/>
        <v>38.71372111851217</v>
      </c>
      <c r="BW79" s="98">
        <f t="shared" si="11"/>
        <v>1.1519173063162575</v>
      </c>
      <c r="BX79" s="93">
        <f t="shared" si="20"/>
        <v>38.71372111851217</v>
      </c>
      <c r="BY79" s="93">
        <f t="shared" si="21"/>
        <v>41.59721637274019</v>
      </c>
      <c r="BZ79" s="23">
        <f t="shared" si="22"/>
        <v>38.71372111851217</v>
      </c>
      <c r="CA79" s="99">
        <f t="shared" si="12"/>
        <v>2.1892725570120937</v>
      </c>
      <c r="CB79" s="99">
        <f t="shared" si="13"/>
        <v>3.528502619555244</v>
      </c>
      <c r="CC79" s="99">
        <f t="shared" si="14"/>
        <v>2.1892725570120937</v>
      </c>
      <c r="CD79" s="99">
        <f t="shared" si="15"/>
        <v>2.1892725570120937</v>
      </c>
      <c r="CE79" s="32">
        <f t="shared" si="6"/>
        <v>19.979418225722693</v>
      </c>
      <c r="CF79" s="9">
        <f t="shared" si="18"/>
        <v>1.290457370617072</v>
      </c>
      <c r="CG79" s="9">
        <v>0</v>
      </c>
      <c r="CH79" s="9">
        <f>H*(1/TAN(BW79)-1/TAN(ω0))</f>
        <v>1.2904573706170719</v>
      </c>
      <c r="CI79" s="9">
        <f t="shared" si="19"/>
        <v>1.290457370617072</v>
      </c>
      <c r="CJ79" s="9">
        <f t="shared" si="10"/>
        <v>0.8904573706170722</v>
      </c>
    </row>
    <row r="80" spans="37:88" ht="18" customHeight="1">
      <c r="AK80" s="20"/>
      <c r="AL80" s="20"/>
      <c r="AM80" s="20"/>
      <c r="AN80" s="20"/>
      <c r="BS80" s="16"/>
      <c r="BT80" s="93">
        <f t="shared" si="1"/>
        <v>19.87642202527657</v>
      </c>
      <c r="BU80" s="97">
        <f t="shared" si="16"/>
        <v>67</v>
      </c>
      <c r="BV80" s="93">
        <f t="shared" si="17"/>
        <v>37.4684889725763</v>
      </c>
      <c r="BW80" s="98">
        <f t="shared" si="11"/>
        <v>1.1693705988362006</v>
      </c>
      <c r="BX80" s="93">
        <f t="shared" si="20"/>
        <v>37.4684889725763</v>
      </c>
      <c r="BY80" s="93">
        <f t="shared" si="21"/>
        <v>39.482373952973695</v>
      </c>
      <c r="BZ80" s="23">
        <f t="shared" si="22"/>
        <v>37.468488972576296</v>
      </c>
      <c r="CA80" s="99">
        <f t="shared" si="12"/>
        <v>2.1727207548105927</v>
      </c>
      <c r="CB80" s="99">
        <f t="shared" si="13"/>
        <v>3.434252715646168</v>
      </c>
      <c r="CC80" s="99">
        <f t="shared" si="14"/>
        <v>2.1727207548105927</v>
      </c>
      <c r="CD80" s="99">
        <f t="shared" si="15"/>
        <v>2.1727207548105927</v>
      </c>
      <c r="CE80" s="32">
        <f t="shared" si="6"/>
        <v>19.87642202527657</v>
      </c>
      <c r="CF80" s="9">
        <f t="shared" si="18"/>
        <v>1.24894963241921</v>
      </c>
      <c r="CG80" s="9">
        <v>0</v>
      </c>
      <c r="CH80" s="9">
        <f t="shared" si="8"/>
        <v>1.2489496324192095</v>
      </c>
      <c r="CI80" s="9">
        <f t="shared" si="19"/>
        <v>1.24894963241921</v>
      </c>
      <c r="CJ80" s="9">
        <f t="shared" si="10"/>
        <v>0.8489496324192098</v>
      </c>
    </row>
    <row r="81" spans="37:88" ht="18" customHeight="1">
      <c r="AK81" s="20"/>
      <c r="AL81" s="20"/>
      <c r="AM81" s="20"/>
      <c r="AN81" s="20"/>
      <c r="BS81" s="16"/>
      <c r="BT81" s="93">
        <f t="shared" si="1"/>
        <v>19.746696562530314</v>
      </c>
      <c r="BU81" s="97">
        <f t="shared" si="16"/>
        <v>68</v>
      </c>
      <c r="BV81" s="93">
        <f t="shared" si="17"/>
        <v>36.24157355010941</v>
      </c>
      <c r="BW81" s="98">
        <f t="shared" si="11"/>
        <v>1.1868238913561442</v>
      </c>
      <c r="BX81" s="93">
        <f t="shared" si="20"/>
        <v>36.24157355010941</v>
      </c>
      <c r="BY81" s="93">
        <f t="shared" si="21"/>
        <v>37.476976479742696</v>
      </c>
      <c r="BZ81" s="23">
        <f t="shared" si="22"/>
        <v>36.2415735501094</v>
      </c>
      <c r="CA81" s="99">
        <f t="shared" si="12"/>
        <v>2.1570694853551666</v>
      </c>
      <c r="CB81" s="99">
        <f t="shared" si="13"/>
        <v>3.3458995201761415</v>
      </c>
      <c r="CC81" s="99">
        <f t="shared" si="14"/>
        <v>2.1570694853551666</v>
      </c>
      <c r="CD81" s="99">
        <f t="shared" si="15"/>
        <v>2.1570694853551666</v>
      </c>
      <c r="CE81" s="32">
        <f t="shared" si="6"/>
        <v>19.746696562530314</v>
      </c>
      <c r="CF81" s="9">
        <f t="shared" si="18"/>
        <v>1.2080524516703135</v>
      </c>
      <c r="CG81" s="9">
        <v>0</v>
      </c>
      <c r="CH81" s="9">
        <f t="shared" si="8"/>
        <v>1.208052451670313</v>
      </c>
      <c r="CI81" s="9">
        <f t="shared" si="19"/>
        <v>1.2080524516703135</v>
      </c>
      <c r="CJ81" s="9">
        <f t="shared" si="10"/>
        <v>0.8080524516703135</v>
      </c>
    </row>
    <row r="82" spans="37:88" ht="18" customHeight="1">
      <c r="AK82" s="20"/>
      <c r="AL82" s="20"/>
      <c r="AM82" s="20"/>
      <c r="AN82" s="20"/>
      <c r="BS82" s="16"/>
      <c r="BT82" s="93">
        <f t="shared" si="1"/>
        <v>19.590792175309716</v>
      </c>
      <c r="BU82" s="97">
        <f t="shared" si="16"/>
        <v>69</v>
      </c>
      <c r="BV82" s="93">
        <f t="shared" si="17"/>
        <v>35.031842102124955</v>
      </c>
      <c r="BW82" s="98">
        <f t="shared" si="11"/>
        <v>1.2042771838760873</v>
      </c>
      <c r="BX82" s="93">
        <f t="shared" si="20"/>
        <v>35.031842102124955</v>
      </c>
      <c r="BY82" s="93">
        <f t="shared" si="21"/>
        <v>35.571611012165604</v>
      </c>
      <c r="BZ82" s="23">
        <f t="shared" si="22"/>
        <v>35.03184210212495</v>
      </c>
      <c r="CA82" s="99">
        <f t="shared" si="12"/>
        <v>2.142289987274058</v>
      </c>
      <c r="CB82" s="99">
        <f t="shared" si="13"/>
        <v>3.262947429958911</v>
      </c>
      <c r="CC82" s="99">
        <f t="shared" si="14"/>
        <v>2.142289987274058</v>
      </c>
      <c r="CD82" s="99">
        <f t="shared" si="15"/>
        <v>2.142289987274058</v>
      </c>
      <c r="CE82" s="32">
        <f t="shared" si="6"/>
        <v>19.590792175309716</v>
      </c>
      <c r="CF82" s="9">
        <f t="shared" si="18"/>
        <v>1.167728070070832</v>
      </c>
      <c r="CG82" s="9">
        <v>0</v>
      </c>
      <c r="CH82" s="9">
        <f t="shared" si="8"/>
        <v>1.1677280700708315</v>
      </c>
      <c r="CI82" s="9">
        <f t="shared" si="19"/>
        <v>1.167728070070832</v>
      </c>
      <c r="CJ82" s="9">
        <f t="shared" si="10"/>
        <v>0.7677280700708319</v>
      </c>
    </row>
    <row r="83" spans="37:88" ht="18" customHeight="1">
      <c r="AK83" s="20"/>
      <c r="AL83" s="20"/>
      <c r="AM83" s="20"/>
      <c r="AN83" s="20"/>
      <c r="BS83" s="16"/>
      <c r="BT83" s="93">
        <f t="shared" si="1"/>
        <v>19.409178431725387</v>
      </c>
      <c r="BU83" s="97">
        <f t="shared" si="16"/>
        <v>70</v>
      </c>
      <c r="BV83" s="93">
        <f t="shared" si="17"/>
        <v>33.83821405597216</v>
      </c>
      <c r="BW83" s="98">
        <f t="shared" si="11"/>
        <v>1.2217304763960306</v>
      </c>
      <c r="BX83" s="93">
        <f>1/2*γs*(Ha^2*COS(BW83-α)/COS(α)-zc^2*COS(BW83))/SIN(BW83)+CF83*q</f>
        <v>33.83821405597216</v>
      </c>
      <c r="BY83" s="93">
        <f>1/2*γs*(Ha^2*COS(BW83-α)*COS(α-β)/(COS(α))^2-zc^2*COS(BW83)*COS(β))/SIN(BW83-β)</f>
        <v>33.75789709641131</v>
      </c>
      <c r="BZ83" s="23">
        <f>1/2*γs*(H^2*COS(BW83-α)/SIN(BW83)-Ho^2*COS(α-β)/SIN(β)-zc^2*COS(α)/TAN(BW83))/COS(α)+CH83*q</f>
        <v>33.838214055972145</v>
      </c>
      <c r="CA83" s="99">
        <f t="shared" si="12"/>
        <v>2.1283555449518246</v>
      </c>
      <c r="CB83" s="99">
        <f t="shared" si="13"/>
        <v>3.1849556548203557</v>
      </c>
      <c r="CC83" s="99">
        <f t="shared" si="14"/>
        <v>2.1283555449518246</v>
      </c>
      <c r="CD83" s="99">
        <f t="shared" si="15"/>
        <v>2.1283555449518246</v>
      </c>
      <c r="CE83" s="32">
        <f t="shared" si="6"/>
        <v>19.409178431725387</v>
      </c>
      <c r="CF83" s="9">
        <f t="shared" si="18"/>
        <v>1.127940468532405</v>
      </c>
      <c r="CG83" s="9">
        <v>0</v>
      </c>
      <c r="CH83" s="9">
        <f t="shared" si="8"/>
        <v>1.1279404685324046</v>
      </c>
      <c r="CI83" s="9">
        <f t="shared" si="19"/>
        <v>1.127940468532405</v>
      </c>
      <c r="CJ83" s="9">
        <f t="shared" si="10"/>
        <v>0.7279404685324049</v>
      </c>
    </row>
    <row r="84" spans="2:88" ht="18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AK84" s="20"/>
      <c r="AL84" s="20"/>
      <c r="AM84" s="20"/>
      <c r="AN84" s="20"/>
      <c r="BS84" s="16"/>
      <c r="BT84" s="93">
        <f t="shared" si="1"/>
        <v>19.20224787914497</v>
      </c>
      <c r="BU84" s="97">
        <f t="shared" si="16"/>
        <v>71</v>
      </c>
      <c r="BV84" s="93">
        <f t="shared" si="17"/>
        <v>32.65965679737992</v>
      </c>
      <c r="BW84" s="98">
        <f t="shared" si="11"/>
        <v>1.239183768915974</v>
      </c>
      <c r="BX84" s="93">
        <f aca="true" t="shared" si="23" ref="BX84:BX97">1/2*γs*(Ha^2*COS(BW84-α)/COS(α)-zc^2*COS(BW84))/SIN(BW84)+CF84*q</f>
        <v>32.65965679737992</v>
      </c>
      <c r="BY84" s="93">
        <f aca="true" t="shared" si="24" ref="BY84:BY97">1/2*γs*(Ha^2*COS(BW84-α)*COS(α-β)/(COS(α))^2-zc^2*COS(BW84)*COS(β))/SIN(BW84-β)</f>
        <v>32.02834828394558</v>
      </c>
      <c r="BZ84" s="23">
        <f aca="true" t="shared" si="25" ref="BZ84:BZ97">1/2*γs*(H^2*COS(BW84-α)/SIN(BW84)-Ho^2*COS(α-β)/SIN(β)-zc^2*COS(α)/TAN(BW84))/COS(α)+CH84*q</f>
        <v>32.65965679737992</v>
      </c>
      <c r="CA84" s="99">
        <f t="shared" si="12"/>
        <v>2.1152413623733413</v>
      </c>
      <c r="CB84" s="99">
        <f t="shared" si="13"/>
        <v>3.111530877942473</v>
      </c>
      <c r="CC84" s="99">
        <f t="shared" si="14"/>
        <v>2.1152413623733413</v>
      </c>
      <c r="CD84" s="99">
        <f t="shared" si="15"/>
        <v>2.1152413623733413</v>
      </c>
      <c r="CE84" s="32">
        <f t="shared" si="6"/>
        <v>19.20224787914497</v>
      </c>
      <c r="CF84" s="9">
        <f t="shared" si="18"/>
        <v>1.0886552265793306</v>
      </c>
      <c r="CG84" s="9">
        <v>0</v>
      </c>
      <c r="CH84" s="9">
        <f t="shared" si="8"/>
        <v>1.0886552265793303</v>
      </c>
      <c r="CI84" s="9">
        <f t="shared" si="19"/>
        <v>1.0886552265793306</v>
      </c>
      <c r="CJ84" s="9">
        <f t="shared" si="10"/>
        <v>0.6886552265793306</v>
      </c>
    </row>
    <row r="85" spans="2:88" ht="18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AK85" s="20"/>
      <c r="AL85" s="20"/>
      <c r="AM85" s="20"/>
      <c r="AN85" s="20"/>
      <c r="BS85" s="16"/>
      <c r="BT85" s="93">
        <f t="shared" si="1"/>
        <v>18.97031927376465</v>
      </c>
      <c r="BU85" s="97">
        <f t="shared" si="16"/>
        <v>72</v>
      </c>
      <c r="BV85" s="93">
        <f t="shared" si="17"/>
        <v>31.49518177397439</v>
      </c>
      <c r="BW85" s="98">
        <f t="shared" si="11"/>
        <v>1.2566370614359172</v>
      </c>
      <c r="BX85" s="93">
        <f t="shared" si="23"/>
        <v>31.49518177397439</v>
      </c>
      <c r="BY85" s="93">
        <f t="shared" si="24"/>
        <v>30.376255332854655</v>
      </c>
      <c r="BZ85" s="23">
        <f t="shared" si="25"/>
        <v>31.495181773974387</v>
      </c>
      <c r="CA85" s="99">
        <f t="shared" si="12"/>
        <v>2.1029244484765344</v>
      </c>
      <c r="CB85" s="99">
        <f t="shared" si="13"/>
        <v>3.0423210660151487</v>
      </c>
      <c r="CC85" s="99">
        <f t="shared" si="14"/>
        <v>2.1029244484765344</v>
      </c>
      <c r="CD85" s="99">
        <f t="shared" si="15"/>
        <v>2.1029244484765344</v>
      </c>
      <c r="CE85" s="32">
        <f t="shared" si="6"/>
        <v>18.97031927376465</v>
      </c>
      <c r="CF85" s="9">
        <f t="shared" si="18"/>
        <v>1.0498393924658127</v>
      </c>
      <c r="CG85" s="9">
        <v>0</v>
      </c>
      <c r="CH85" s="9">
        <f t="shared" si="8"/>
        <v>1.0498393924658125</v>
      </c>
      <c r="CI85" s="9">
        <f t="shared" si="19"/>
        <v>1.0498393924658127</v>
      </c>
      <c r="CJ85" s="9">
        <f t="shared" si="10"/>
        <v>0.6498393924658128</v>
      </c>
    </row>
    <row r="86" spans="2:88" ht="18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AK86" s="20"/>
      <c r="AL86" s="20"/>
      <c r="AM86" s="20"/>
      <c r="AN86" s="20"/>
      <c r="BS86" s="16"/>
      <c r="BT86" s="93">
        <f t="shared" si="1"/>
        <v>18.713640328208616</v>
      </c>
      <c r="BU86" s="97">
        <f>BU85+1</f>
        <v>73</v>
      </c>
      <c r="BV86" s="93">
        <f t="shared" si="17"/>
        <v>30.34384088751962</v>
      </c>
      <c r="BW86" s="98">
        <f t="shared" si="11"/>
        <v>1.2740903539558606</v>
      </c>
      <c r="BX86" s="93">
        <f t="shared" si="23"/>
        <v>30.34384088751962</v>
      </c>
      <c r="BY86" s="93">
        <f t="shared" si="24"/>
        <v>28.795587230853325</v>
      </c>
      <c r="BZ86" s="23">
        <f t="shared" si="25"/>
        <v>30.343840887519615</v>
      </c>
      <c r="CA86" s="99">
        <f t="shared" si="12"/>
        <v>2.091383512974296</v>
      </c>
      <c r="CB86" s="99">
        <f t="shared" si="13"/>
        <v>2.9770102244598817</v>
      </c>
      <c r="CC86" s="99">
        <f t="shared" si="14"/>
        <v>2.091383512974296</v>
      </c>
      <c r="CD86" s="99">
        <f t="shared" si="15"/>
        <v>2.091383512974296</v>
      </c>
      <c r="CE86" s="32">
        <f t="shared" si="6"/>
        <v>18.713640328208616</v>
      </c>
      <c r="CF86" s="9">
        <f t="shared" si="18"/>
        <v>1.0114613629173208</v>
      </c>
      <c r="CG86" s="9">
        <v>0</v>
      </c>
      <c r="CH86" s="9">
        <f t="shared" si="8"/>
        <v>1.0114613629173204</v>
      </c>
      <c r="CI86" s="9">
        <f t="shared" si="19"/>
        <v>1.0114613629173208</v>
      </c>
      <c r="CJ86" s="9">
        <f t="shared" si="10"/>
        <v>0.6114613629173208</v>
      </c>
    </row>
    <row r="87" spans="20:88" ht="18" customHeight="1">
      <c r="T87" s="31"/>
      <c r="U87" s="31"/>
      <c r="V87" s="31"/>
      <c r="W87" s="31"/>
      <c r="X87" s="31"/>
      <c r="AK87" s="20"/>
      <c r="AL87" s="20"/>
      <c r="AM87" s="20"/>
      <c r="AN87" s="20"/>
      <c r="BS87" s="16"/>
      <c r="BT87" s="93">
        <f t="shared" si="1"/>
        <v>18.432390008931453</v>
      </c>
      <c r="BU87" s="97">
        <f t="shared" si="16"/>
        <v>74</v>
      </c>
      <c r="BV87" s="93">
        <f t="shared" si="17"/>
        <v>29.204723145528476</v>
      </c>
      <c r="BW87" s="98">
        <f t="shared" si="11"/>
        <v>1.2915436464758039</v>
      </c>
      <c r="BX87" s="93">
        <f t="shared" si="23"/>
        <v>29.204723145528476</v>
      </c>
      <c r="BY87" s="93">
        <f t="shared" si="24"/>
        <v>27.280906944911905</v>
      </c>
      <c r="BZ87" s="23">
        <f t="shared" si="25"/>
        <v>29.20472314552848</v>
      </c>
      <c r="CA87" s="99">
        <f t="shared" si="12"/>
        <v>2.080598871723204</v>
      </c>
      <c r="CB87" s="99">
        <f t="shared" si="13"/>
        <v>2.9153139336227545</v>
      </c>
      <c r="CC87" s="99">
        <f t="shared" si="14"/>
        <v>2.080598871723204</v>
      </c>
      <c r="CD87" s="99">
        <f t="shared" si="15"/>
        <v>2.080598871723204</v>
      </c>
      <c r="CE87" s="32">
        <f t="shared" si="6"/>
        <v>18.432390008931453</v>
      </c>
      <c r="CF87" s="9">
        <f t="shared" si="18"/>
        <v>0.9734907715176159</v>
      </c>
      <c r="CG87" s="9">
        <v>0</v>
      </c>
      <c r="CH87" s="9">
        <f t="shared" si="8"/>
        <v>0.9734907715176155</v>
      </c>
      <c r="CI87" s="9">
        <f t="shared" si="19"/>
        <v>0.9734907715176159</v>
      </c>
      <c r="CJ87" s="9">
        <f t="shared" si="10"/>
        <v>0.5734907715176158</v>
      </c>
    </row>
    <row r="88" spans="20:88" ht="18" customHeight="1">
      <c r="T88" s="31"/>
      <c r="U88" s="31"/>
      <c r="V88" s="31"/>
      <c r="W88" s="31"/>
      <c r="X88" s="31"/>
      <c r="AE88" s="104"/>
      <c r="AI88" s="16"/>
      <c r="AK88" s="20"/>
      <c r="AL88" s="20"/>
      <c r="AM88" s="20"/>
      <c r="AN88" s="20"/>
      <c r="BS88" s="16"/>
      <c r="BT88" s="93">
        <f t="shared" si="1"/>
        <v>18.12668041008773</v>
      </c>
      <c r="BU88" s="97">
        <f t="shared" si="16"/>
        <v>75</v>
      </c>
      <c r="BV88" s="93">
        <f t="shared" si="17"/>
        <v>28.076951545867356</v>
      </c>
      <c r="BW88" s="98">
        <f t="shared" si="11"/>
        <v>1.3089969389957472</v>
      </c>
      <c r="BX88" s="93">
        <f t="shared" si="23"/>
        <v>28.076951545867356</v>
      </c>
      <c r="BY88" s="93">
        <f t="shared" si="24"/>
        <v>25.82729940180444</v>
      </c>
      <c r="BZ88" s="23">
        <f t="shared" si="25"/>
        <v>28.076951545867356</v>
      </c>
      <c r="CA88" s="99">
        <f t="shared" si="12"/>
        <v>2.070552360820166</v>
      </c>
      <c r="CB88" s="99">
        <f t="shared" si="13"/>
        <v>2.8569755336145115</v>
      </c>
      <c r="CC88" s="99">
        <f t="shared" si="14"/>
        <v>2.070552360820166</v>
      </c>
      <c r="CD88" s="99">
        <f t="shared" si="15"/>
        <v>2.070552360820166</v>
      </c>
      <c r="CE88" s="32">
        <f t="shared" si="6"/>
        <v>18.12668041008773</v>
      </c>
      <c r="CF88" s="9">
        <f t="shared" si="18"/>
        <v>0.9358983848622454</v>
      </c>
      <c r="CG88" s="9">
        <v>0</v>
      </c>
      <c r="CH88" s="9">
        <f t="shared" si="8"/>
        <v>0.9358983848622451</v>
      </c>
      <c r="CI88" s="9">
        <f t="shared" si="19"/>
        <v>0.9358983848622454</v>
      </c>
      <c r="CJ88" s="9">
        <f t="shared" si="10"/>
        <v>0.5358983848622454</v>
      </c>
    </row>
    <row r="89" spans="35:88" ht="18" customHeight="1">
      <c r="AI89" s="16"/>
      <c r="AK89" s="20"/>
      <c r="AL89" s="20"/>
      <c r="AM89" s="20"/>
      <c r="AN89" s="20"/>
      <c r="BT89" s="93">
        <f>MAX(0,(BV89/COS(θ)*SIN(BW89-φ+θ)-cu*CD89*COS(φ))/COS(BW89-φ-δu-α))</f>
        <v>17.796558225875316</v>
      </c>
      <c r="BU89" s="97">
        <f>BU88+1</f>
        <v>76</v>
      </c>
      <c r="BV89" s="93">
        <f t="shared" si="17"/>
        <v>26.959680170590847</v>
      </c>
      <c r="BW89" s="98">
        <f t="shared" si="11"/>
        <v>1.3264502315156903</v>
      </c>
      <c r="BX89" s="93">
        <f t="shared" si="23"/>
        <v>26.959680170590847</v>
      </c>
      <c r="BY89" s="93">
        <f t="shared" si="24"/>
        <v>24.430309675755186</v>
      </c>
      <c r="BZ89" s="23">
        <f t="shared" si="25"/>
        <v>26.959680170590847</v>
      </c>
      <c r="CA89" s="99">
        <f t="shared" si="12"/>
        <v>2.0612272586997964</v>
      </c>
      <c r="CB89" s="99">
        <f t="shared" si="13"/>
        <v>2.8017628504960315</v>
      </c>
      <c r="CC89" s="99">
        <f t="shared" si="14"/>
        <v>2.0612272586997964</v>
      </c>
      <c r="CD89" s="99">
        <f t="shared" si="15"/>
        <v>2.0612272586997964</v>
      </c>
      <c r="CE89" s="32">
        <f t="shared" si="6"/>
        <v>17.796558225875316</v>
      </c>
      <c r="CF89" s="9">
        <f t="shared" si="18"/>
        <v>0.8986560056863617</v>
      </c>
      <c r="CG89" s="9">
        <v>0</v>
      </c>
      <c r="CH89" s="9">
        <f t="shared" si="8"/>
        <v>0.8986560056863613</v>
      </c>
      <c r="CI89" s="9">
        <f t="shared" si="19"/>
        <v>0.8986560056863617</v>
      </c>
      <c r="CJ89" s="9">
        <f t="shared" si="10"/>
        <v>0.4986560056863617</v>
      </c>
    </row>
    <row r="90" spans="35:88" ht="18" customHeight="1">
      <c r="AI90" s="16"/>
      <c r="AK90" s="20"/>
      <c r="AL90" s="20"/>
      <c r="AM90" s="20"/>
      <c r="AN90" s="20"/>
      <c r="BS90" s="16"/>
      <c r="BT90" s="93">
        <f t="shared" si="1"/>
        <v>17.442005839070735</v>
      </c>
      <c r="BU90" s="97">
        <f>BU89+1</f>
        <v>77</v>
      </c>
      <c r="BV90" s="93">
        <f t="shared" si="17"/>
        <v>25.852091467533782</v>
      </c>
      <c r="BW90" s="98">
        <f t="shared" si="11"/>
        <v>1.3439035240356338</v>
      </c>
      <c r="BX90" s="93">
        <f t="shared" si="23"/>
        <v>25.852091467533782</v>
      </c>
      <c r="BY90" s="93">
        <f t="shared" si="24"/>
        <v>23.085889733173502</v>
      </c>
      <c r="BZ90" s="23">
        <f t="shared" si="25"/>
        <v>25.852091467533775</v>
      </c>
      <c r="CA90" s="99">
        <f t="shared" si="12"/>
        <v>2.0526082155867833</v>
      </c>
      <c r="CB90" s="99">
        <f t="shared" si="13"/>
        <v>2.7494653763285846</v>
      </c>
      <c r="CC90" s="99">
        <f t="shared" si="14"/>
        <v>2.0526082155867833</v>
      </c>
      <c r="CD90" s="99">
        <f t="shared" si="15"/>
        <v>2.0526082155867833</v>
      </c>
      <c r="CE90" s="32">
        <f t="shared" si="6"/>
        <v>17.442005839070735</v>
      </c>
      <c r="CF90" s="9">
        <f t="shared" si="18"/>
        <v>0.8617363822511261</v>
      </c>
      <c r="CG90" s="9">
        <v>0</v>
      </c>
      <c r="CH90" s="9">
        <f t="shared" si="8"/>
        <v>0.8617363822511257</v>
      </c>
      <c r="CI90" s="9">
        <f t="shared" si="19"/>
        <v>0.8617363822511261</v>
      </c>
      <c r="CJ90" s="9">
        <f t="shared" si="10"/>
        <v>0.46173638225112607</v>
      </c>
    </row>
    <row r="91" spans="2:88" ht="18" customHeigh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AI91" s="16"/>
      <c r="AK91" s="20"/>
      <c r="AL91" s="20"/>
      <c r="AM91" s="20"/>
      <c r="AN91" s="20"/>
      <c r="BS91" s="16"/>
      <c r="BT91" s="93">
        <f t="shared" si="1"/>
        <v>17.062942039486458</v>
      </c>
      <c r="BU91" s="97">
        <f t="shared" si="16"/>
        <v>78</v>
      </c>
      <c r="BV91" s="93">
        <f t="shared" si="17"/>
        <v>24.753393700201336</v>
      </c>
      <c r="BW91" s="98">
        <f t="shared" si="11"/>
        <v>1.361356816555577</v>
      </c>
      <c r="BX91" s="93">
        <f t="shared" si="23"/>
        <v>24.753393700201336</v>
      </c>
      <c r="BY91" s="93">
        <f t="shared" si="24"/>
        <v>21.790352382355437</v>
      </c>
      <c r="BZ91" s="23">
        <f t="shared" si="25"/>
        <v>24.75339370020133</v>
      </c>
      <c r="CA91" s="99">
        <f t="shared" si="12"/>
        <v>2.0446811897300585</v>
      </c>
      <c r="CB91" s="99">
        <f t="shared" si="13"/>
        <v>2.699891831403467</v>
      </c>
      <c r="CC91" s="99">
        <f t="shared" si="14"/>
        <v>2.0446811897300585</v>
      </c>
      <c r="CD91" s="99">
        <f t="shared" si="15"/>
        <v>2.0446811897300585</v>
      </c>
      <c r="CE91" s="32">
        <f>BT91</f>
        <v>17.062942039486458</v>
      </c>
      <c r="CF91" s="9">
        <f t="shared" si="18"/>
        <v>0.8251131233400446</v>
      </c>
      <c r="CG91" s="9">
        <v>0</v>
      </c>
      <c r="CH91" s="9">
        <f t="shared" si="8"/>
        <v>0.8251131233400442</v>
      </c>
      <c r="CI91" s="9">
        <f t="shared" si="19"/>
        <v>0.8251131233400446</v>
      </c>
      <c r="CJ91" s="9">
        <f t="shared" si="10"/>
        <v>0.42511312334004453</v>
      </c>
    </row>
    <row r="92" spans="71:88" ht="18" customHeight="1">
      <c r="BS92" s="16"/>
      <c r="BT92" s="93">
        <f t="shared" si="1"/>
        <v>16.65922238232366</v>
      </c>
      <c r="BU92" s="97">
        <f t="shared" si="16"/>
        <v>79</v>
      </c>
      <c r="BV92" s="93">
        <f t="shared" si="17"/>
        <v>23.662818548263118</v>
      </c>
      <c r="BW92" s="98">
        <f t="shared" si="11"/>
        <v>1.3788101090755203</v>
      </c>
      <c r="BX92" s="93">
        <f t="shared" si="23"/>
        <v>23.662818548263118</v>
      </c>
      <c r="BY92" s="93">
        <f t="shared" si="24"/>
        <v>20.540331314743984</v>
      </c>
      <c r="BZ92" s="23">
        <f t="shared" si="25"/>
        <v>23.662818548263118</v>
      </c>
      <c r="CA92" s="99">
        <f t="shared" si="12"/>
        <v>2.0374333899104284</v>
      </c>
      <c r="CB92" s="99">
        <f t="shared" si="13"/>
        <v>2.6528680496234016</v>
      </c>
      <c r="CC92" s="99">
        <f t="shared" si="14"/>
        <v>2.0374333899104284</v>
      </c>
      <c r="CD92" s="99">
        <f t="shared" si="15"/>
        <v>2.0374333899104284</v>
      </c>
      <c r="CE92" s="32">
        <f t="shared" si="6"/>
        <v>16.65922238232366</v>
      </c>
      <c r="CF92" s="9">
        <f t="shared" si="18"/>
        <v>0.7887606182754372</v>
      </c>
      <c r="CG92" s="9">
        <v>0</v>
      </c>
      <c r="CH92" s="9">
        <f t="shared" si="8"/>
        <v>0.7887606182754368</v>
      </c>
      <c r="CI92" s="9">
        <f t="shared" si="19"/>
        <v>0.7887606182754372</v>
      </c>
      <c r="CJ92" s="9">
        <f t="shared" si="10"/>
        <v>0.3887606182754372</v>
      </c>
    </row>
    <row r="93" spans="20:88" ht="18" customHeight="1">
      <c r="T93" s="31"/>
      <c r="U93" s="31"/>
      <c r="V93" s="31"/>
      <c r="W93" s="31"/>
      <c r="X93" s="31"/>
      <c r="BS93" s="16"/>
      <c r="BT93" s="93">
        <f t="shared" si="1"/>
        <v>16.230639192812276</v>
      </c>
      <c r="BU93" s="97">
        <f t="shared" si="16"/>
        <v>80</v>
      </c>
      <c r="BV93" s="93">
        <f t="shared" si="17"/>
        <v>22.5796188425079</v>
      </c>
      <c r="BW93" s="98">
        <f t="shared" si="11"/>
        <v>1.3962634015954636</v>
      </c>
      <c r="BX93" s="93">
        <f t="shared" si="23"/>
        <v>22.5796188425079</v>
      </c>
      <c r="BY93" s="93">
        <f t="shared" si="24"/>
        <v>19.332746316663762</v>
      </c>
      <c r="BZ93" s="23">
        <f t="shared" si="25"/>
        <v>22.579618842507898</v>
      </c>
      <c r="CA93" s="99">
        <f t="shared" si="12"/>
        <v>2.0308532237714902</v>
      </c>
      <c r="CB93" s="99">
        <f t="shared" si="13"/>
        <v>2.6082351382060933</v>
      </c>
      <c r="CC93" s="99">
        <f t="shared" si="14"/>
        <v>2.0308532237714902</v>
      </c>
      <c r="CD93" s="99">
        <f t="shared" si="15"/>
        <v>2.0308532237714902</v>
      </c>
      <c r="CE93" s="32">
        <f t="shared" si="6"/>
        <v>16.230639192812276</v>
      </c>
      <c r="CF93" s="9">
        <f t="shared" si="18"/>
        <v>0.7526539614169301</v>
      </c>
      <c r="CG93" s="9">
        <v>0</v>
      </c>
      <c r="CH93" s="9">
        <f t="shared" si="8"/>
        <v>0.7526539614169298</v>
      </c>
      <c r="CI93" s="9">
        <f t="shared" si="19"/>
        <v>0.7526539614169301</v>
      </c>
      <c r="CJ93" s="9">
        <f t="shared" si="10"/>
        <v>0.3526539614169301</v>
      </c>
    </row>
    <row r="94" spans="71:88" ht="18" customHeight="1">
      <c r="BS94" s="16"/>
      <c r="BT94" s="93">
        <f t="shared" si="1"/>
        <v>15.776921220065322</v>
      </c>
      <c r="BU94" s="97">
        <f t="shared" si="16"/>
        <v>81</v>
      </c>
      <c r="BV94" s="93">
        <f t="shared" si="17"/>
        <v>21.503066419472187</v>
      </c>
      <c r="BW94" s="98">
        <f t="shared" si="11"/>
        <v>1.413716694115407</v>
      </c>
      <c r="BX94" s="93">
        <f t="shared" si="23"/>
        <v>21.503066419472187</v>
      </c>
      <c r="BY94" s="93">
        <f t="shared" si="24"/>
        <v>18.16477288617882</v>
      </c>
      <c r="BZ94" s="23">
        <f t="shared" si="25"/>
        <v>21.503066419472184</v>
      </c>
      <c r="CA94" s="99">
        <f t="shared" si="12"/>
        <v>2.0249302515760057</v>
      </c>
      <c r="CB94" s="99">
        <f t="shared" si="13"/>
        <v>2.5658478711382275</v>
      </c>
      <c r="CC94" s="99">
        <f t="shared" si="14"/>
        <v>2.0249302515760057</v>
      </c>
      <c r="CD94" s="99">
        <f t="shared" si="15"/>
        <v>2.0249302515760057</v>
      </c>
      <c r="CE94" s="32">
        <f t="shared" si="6"/>
        <v>15.776921220065322</v>
      </c>
      <c r="CF94" s="9">
        <f t="shared" si="18"/>
        <v>0.7167688806490726</v>
      </c>
      <c r="CG94" s="9">
        <v>0</v>
      </c>
      <c r="CH94" s="9">
        <f>H*(1/TAN(BW94)-1/TAN(ω0))</f>
        <v>0.7167688806490723</v>
      </c>
      <c r="CI94" s="9">
        <f t="shared" si="19"/>
        <v>0.7167688806490726</v>
      </c>
      <c r="CJ94" s="9">
        <f t="shared" si="10"/>
        <v>0.31676888064907266</v>
      </c>
    </row>
    <row r="95" spans="71:88" ht="18" customHeight="1">
      <c r="BS95" s="16"/>
      <c r="BT95" s="93">
        <f t="shared" si="1"/>
        <v>15.297732939675074</v>
      </c>
      <c r="BU95" s="97">
        <f t="shared" si="16"/>
        <v>82</v>
      </c>
      <c r="BV95" s="93">
        <f t="shared" si="17"/>
        <v>20.432450082143507</v>
      </c>
      <c r="BW95" s="98">
        <f t="shared" si="11"/>
        <v>1.43116998663535</v>
      </c>
      <c r="BX95" s="93">
        <f t="shared" si="23"/>
        <v>20.432450082143507</v>
      </c>
      <c r="BY95" s="93">
        <f t="shared" si="24"/>
        <v>17.033815616442766</v>
      </c>
      <c r="BZ95" s="23">
        <f t="shared" si="25"/>
        <v>20.432450082143504</v>
      </c>
      <c r="CA95" s="99">
        <f t="shared" si="12"/>
        <v>2.019655145037236</v>
      </c>
      <c r="CB95" s="99">
        <f t="shared" si="13"/>
        <v>2.525573282527887</v>
      </c>
      <c r="CC95" s="99">
        <f t="shared" si="14"/>
        <v>2.019655145037236</v>
      </c>
      <c r="CD95" s="99">
        <f t="shared" si="15"/>
        <v>2.019655145037236</v>
      </c>
      <c r="CE95" s="32">
        <f t="shared" si="6"/>
        <v>15.297732939675074</v>
      </c>
      <c r="CF95" s="9">
        <f t="shared" si="18"/>
        <v>0.6810816694047834</v>
      </c>
      <c r="CG95" s="9">
        <v>0</v>
      </c>
      <c r="CH95" s="9">
        <f t="shared" si="8"/>
        <v>0.681081669404783</v>
      </c>
      <c r="CI95" s="9">
        <f t="shared" si="19"/>
        <v>0.6810816694047834</v>
      </c>
      <c r="CJ95" s="9">
        <f t="shared" si="10"/>
        <v>0.2810816694047834</v>
      </c>
    </row>
    <row r="96" spans="71:88" ht="18" customHeight="1">
      <c r="BS96" s="16"/>
      <c r="BT96" s="93">
        <f t="shared" si="1"/>
        <v>14.79267350119312</v>
      </c>
      <c r="BU96" s="97">
        <f t="shared" si="16"/>
        <v>83</v>
      </c>
      <c r="BV96" s="93">
        <f t="shared" si="17"/>
        <v>19.367073654174284</v>
      </c>
      <c r="BW96" s="98">
        <f t="shared" si="11"/>
        <v>1.4486232791552935</v>
      </c>
      <c r="BX96" s="93">
        <f t="shared" si="23"/>
        <v>19.367073654174284</v>
      </c>
      <c r="BY96" s="93">
        <f t="shared" si="24"/>
        <v>15.937484810501074</v>
      </c>
      <c r="BZ96" s="23">
        <f t="shared" si="25"/>
        <v>19.36707365417428</v>
      </c>
      <c r="CA96" s="99">
        <f t="shared" si="12"/>
        <v>2.0150196509176967</v>
      </c>
      <c r="CB96" s="99">
        <f t="shared" si="13"/>
        <v>2.4872894314965492</v>
      </c>
      <c r="CC96" s="99">
        <f t="shared" si="14"/>
        <v>2.0150196509176967</v>
      </c>
      <c r="CD96" s="99">
        <f t="shared" si="15"/>
        <v>2.0150196509176967</v>
      </c>
      <c r="CE96" s="32">
        <f t="shared" si="6"/>
        <v>14.79267350119312</v>
      </c>
      <c r="CF96" s="9">
        <f t="shared" si="18"/>
        <v>0.6455691218058093</v>
      </c>
      <c r="CG96" s="9">
        <v>0</v>
      </c>
      <c r="CH96" s="9">
        <f t="shared" si="8"/>
        <v>0.6455691218058088</v>
      </c>
      <c r="CI96" s="9">
        <f t="shared" si="19"/>
        <v>0.6455691218058093</v>
      </c>
      <c r="CJ96" s="9">
        <f t="shared" si="10"/>
        <v>0.2455691218058092</v>
      </c>
    </row>
    <row r="97" spans="72:88" ht="18" customHeight="1">
      <c r="BT97" s="93">
        <f t="shared" si="1"/>
        <v>14.261275313213336</v>
      </c>
      <c r="BU97" s="97">
        <f t="shared" si="16"/>
        <v>84</v>
      </c>
      <c r="BV97" s="93">
        <f t="shared" si="17"/>
        <v>18.306254115940586</v>
      </c>
      <c r="BW97" s="98">
        <f t="shared" si="11"/>
        <v>1.4660765716752369</v>
      </c>
      <c r="BX97" s="93">
        <f t="shared" si="23"/>
        <v>18.306254115940586</v>
      </c>
      <c r="BY97" s="93">
        <f t="shared" si="24"/>
        <v>14.873575877562116</v>
      </c>
      <c r="BZ97" s="23">
        <f t="shared" si="25"/>
        <v>18.306254115940582</v>
      </c>
      <c r="CA97" s="99">
        <f t="shared" si="12"/>
        <v>2.011016559127033</v>
      </c>
      <c r="CB97" s="99">
        <f t="shared" si="13"/>
        <v>2.4508843147624715</v>
      </c>
      <c r="CC97" s="99">
        <f t="shared" si="14"/>
        <v>2.011016559127033</v>
      </c>
      <c r="CD97" s="99">
        <f t="shared" si="15"/>
        <v>2.011016559127033</v>
      </c>
      <c r="CE97" s="32">
        <f t="shared" si="6"/>
        <v>14.261275313213336</v>
      </c>
      <c r="CF97" s="9">
        <f t="shared" si="18"/>
        <v>0.6102084705313529</v>
      </c>
      <c r="CG97" s="9">
        <v>0</v>
      </c>
      <c r="CH97" s="9">
        <f t="shared" si="8"/>
        <v>0.6102084705313525</v>
      </c>
      <c r="CI97" s="9">
        <f t="shared" si="19"/>
        <v>0.6102084705313529</v>
      </c>
      <c r="CJ97" s="9">
        <f t="shared" si="10"/>
        <v>0.2102084705313529</v>
      </c>
    </row>
    <row r="98" spans="71:88" ht="18" customHeight="1">
      <c r="BS98" s="100" t="s">
        <v>25</v>
      </c>
      <c r="BT98" s="101">
        <f>MAX(BT48:BT97)</f>
        <v>20.12122141872953</v>
      </c>
      <c r="BU98" s="102" t="s">
        <v>70</v>
      </c>
      <c r="BV98" s="103">
        <f>VLOOKUP(Pmax,$BT$48:$CI$98,2,FALSE)</f>
        <v>63</v>
      </c>
      <c r="BW98" s="99" t="s">
        <v>26</v>
      </c>
      <c r="BX98" s="57" t="s">
        <v>27</v>
      </c>
      <c r="CD98" s="103">
        <f>VLOOKUP(Pmax,$BT$48:$CI$98,11,FALSE)</f>
        <v>2.2446524752687216</v>
      </c>
      <c r="CI98" s="103">
        <f>VLOOKUP(Pmax,$BT$48:$CI$98,16,FALSE)</f>
        <v>1.419050898988858</v>
      </c>
      <c r="CJ98" s="135">
        <f>VLOOKUP(Pmax,$BT$48:$CJ$98,17,FALSE)</f>
        <v>1.0190508989888578</v>
      </c>
    </row>
    <row r="99" spans="71:77" ht="18" customHeight="1">
      <c r="BS99" s="15"/>
      <c r="BT99" s="16"/>
      <c r="BU99" s="102" t="s">
        <v>71</v>
      </c>
      <c r="BV99" s="103">
        <f>BV98*PI()/180</f>
        <v>1.0995574287564276</v>
      </c>
      <c r="BW99" s="99" t="s">
        <v>9</v>
      </c>
      <c r="BY99" s="16"/>
    </row>
    <row r="100" spans="58:76" ht="18" customHeight="1">
      <c r="BF100" s="32"/>
      <c r="BR100" s="16"/>
      <c r="BS100" s="54"/>
      <c r="BT100" s="16"/>
      <c r="BU100" s="16"/>
      <c r="BV100" s="16"/>
      <c r="BW100" s="16"/>
      <c r="BX100" s="16"/>
    </row>
    <row r="101" spans="70:76" ht="18" customHeight="1">
      <c r="BR101" s="16"/>
      <c r="BS101" s="54"/>
      <c r="BU101" s="16"/>
      <c r="BV101" s="16"/>
      <c r="BW101" s="16"/>
      <c r="BX101" s="16"/>
    </row>
    <row r="102" spans="30:70" ht="18" customHeight="1">
      <c r="AD102" s="16"/>
      <c r="BR102" s="16"/>
    </row>
    <row r="103" spans="1:30" s="31" customFormat="1" ht="18" customHeight="1">
      <c r="A103" s="12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66"/>
    </row>
    <row r="104" spans="1:82" s="31" customFormat="1" ht="18" customHeight="1">
      <c r="A104" s="12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AD104" s="42"/>
      <c r="CD104" s="147"/>
    </row>
    <row r="105" spans="1:30" s="31" customFormat="1" ht="18" customHeight="1">
      <c r="A105" s="12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AC105" s="42"/>
      <c r="AD105" s="42"/>
    </row>
    <row r="106" spans="25:30" ht="18" customHeight="1">
      <c r="Y106" s="31"/>
      <c r="Z106" s="31"/>
      <c r="AA106" s="31"/>
      <c r="AB106" s="31"/>
      <c r="AC106" s="82"/>
      <c r="AD106" s="16"/>
    </row>
    <row r="107" spans="29:30" ht="18" customHeight="1">
      <c r="AC107" s="16"/>
      <c r="AD107" s="16"/>
    </row>
    <row r="108" spans="29:81" ht="18" customHeight="1">
      <c r="AC108" s="16"/>
      <c r="AD108" s="16"/>
      <c r="BU108" s="79"/>
      <c r="BV108" s="30"/>
      <c r="BY108" s="16"/>
      <c r="BZ108" s="16"/>
      <c r="CA108" s="16"/>
      <c r="CB108" s="16"/>
      <c r="CC108" s="16"/>
    </row>
    <row r="109" spans="25:81" ht="18" customHeight="1">
      <c r="Y109" s="16"/>
      <c r="Z109" s="16"/>
      <c r="AA109" s="16"/>
      <c r="AC109" s="16"/>
      <c r="AD109" s="16"/>
      <c r="BY109" s="16"/>
      <c r="BZ109" s="16"/>
      <c r="CA109" s="16"/>
      <c r="CB109" s="16"/>
      <c r="CC109" s="16"/>
    </row>
    <row r="110" spans="1:81" s="31" customFormat="1" ht="18" customHeight="1">
      <c r="A110" s="12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66"/>
      <c r="Z110" s="66"/>
      <c r="AA110" s="66"/>
      <c r="AB110" s="42"/>
      <c r="AC110" s="42"/>
      <c r="AD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</row>
    <row r="111" spans="25:81" ht="18" customHeight="1">
      <c r="Y111" s="42"/>
      <c r="Z111" s="42"/>
      <c r="AA111" s="42"/>
      <c r="AB111" s="82"/>
      <c r="AC111" s="16"/>
      <c r="AD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</row>
    <row r="112" spans="25:80" ht="18" customHeight="1">
      <c r="Y112" s="16"/>
      <c r="Z112" s="16"/>
      <c r="AA112" s="16"/>
      <c r="AB112" s="16"/>
      <c r="AC112" s="16"/>
      <c r="AD112" s="16"/>
      <c r="BS112" s="16"/>
      <c r="BT112" s="105"/>
      <c r="BU112" s="16"/>
      <c r="BV112" s="16"/>
      <c r="BW112" s="16"/>
      <c r="BX112" s="13"/>
      <c r="BY112" s="13"/>
      <c r="BZ112" s="13"/>
      <c r="CA112" s="13"/>
      <c r="CB112" s="13"/>
    </row>
    <row r="113" spans="25:79" ht="18" customHeight="1">
      <c r="Y113" s="16"/>
      <c r="Z113" s="16"/>
      <c r="AA113" s="16"/>
      <c r="AB113" s="16"/>
      <c r="AC113" s="16"/>
      <c r="BS113" s="16"/>
      <c r="BT113" s="15"/>
      <c r="BU113" s="15"/>
      <c r="BV113" s="15"/>
      <c r="BW113" s="15"/>
      <c r="BX113" s="16"/>
      <c r="BY113" s="16"/>
      <c r="BZ113" s="16"/>
      <c r="CA113" s="16"/>
    </row>
    <row r="114" spans="2:79" ht="18" customHeight="1">
      <c r="B114" s="27" t="s">
        <v>50</v>
      </c>
      <c r="C114" s="205">
        <f>Ha</f>
        <v>2</v>
      </c>
      <c r="D114" s="31" t="s">
        <v>334</v>
      </c>
      <c r="E114" s="31"/>
      <c r="F114" s="49" t="s">
        <v>57</v>
      </c>
      <c r="G114" s="202">
        <f>Ho</f>
        <v>0</v>
      </c>
      <c r="H114" s="31" t="s">
        <v>334</v>
      </c>
      <c r="Y114" s="16"/>
      <c r="Z114" s="16"/>
      <c r="AA114" s="16"/>
      <c r="AB114" s="16"/>
      <c r="AC114" s="16"/>
      <c r="BS114" s="16"/>
      <c r="BT114" s="15"/>
      <c r="BU114" s="15"/>
      <c r="BV114" s="15"/>
      <c r="BW114" s="15"/>
      <c r="BX114" s="16"/>
      <c r="BY114" s="16"/>
      <c r="BZ114" s="16"/>
      <c r="CA114" s="16"/>
    </row>
    <row r="115" spans="2:79" ht="18" customHeight="1">
      <c r="B115" s="111" t="s">
        <v>123</v>
      </c>
      <c r="C115" s="205">
        <f>IF(Ho=0,0,β*180/PI())</f>
        <v>0</v>
      </c>
      <c r="D115" s="166" t="s">
        <v>333</v>
      </c>
      <c r="E115" s="31"/>
      <c r="F115" s="111" t="s">
        <v>124</v>
      </c>
      <c r="G115" s="202">
        <f>α*180/PI()</f>
        <v>11.309932474020213</v>
      </c>
      <c r="H115" s="166" t="s">
        <v>333</v>
      </c>
      <c r="Y115" s="16"/>
      <c r="Z115" s="16"/>
      <c r="AA115" s="16"/>
      <c r="AB115" s="16"/>
      <c r="AC115" s="16"/>
      <c r="BS115" s="16"/>
      <c r="BT115" s="15"/>
      <c r="BU115" s="15"/>
      <c r="BV115" s="15"/>
      <c r="BW115" s="15"/>
      <c r="BX115" s="16"/>
      <c r="BY115" s="16"/>
      <c r="BZ115" s="16"/>
      <c r="CA115" s="16"/>
    </row>
    <row r="116" spans="2:79" ht="18" customHeight="1">
      <c r="B116" s="111" t="s">
        <v>125</v>
      </c>
      <c r="C116" s="208">
        <f>γs</f>
        <v>20</v>
      </c>
      <c r="D116" s="31" t="s">
        <v>335</v>
      </c>
      <c r="E116" s="31"/>
      <c r="F116" s="2" t="s">
        <v>126</v>
      </c>
      <c r="G116" s="124">
        <f>φ*180/PI()</f>
        <v>35</v>
      </c>
      <c r="H116" s="166" t="s">
        <v>333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Y116" s="16"/>
      <c r="Z116" s="16"/>
      <c r="AA116" s="16"/>
      <c r="AB116" s="16"/>
      <c r="BS116" s="16"/>
      <c r="BT116" s="15"/>
      <c r="BU116" s="15"/>
      <c r="BV116" s="15"/>
      <c r="BW116" s="15"/>
      <c r="BX116" s="16"/>
      <c r="BY116" s="16"/>
      <c r="BZ116" s="16"/>
      <c r="CA116" s="16"/>
    </row>
    <row r="117" spans="2:79" ht="18" customHeight="1">
      <c r="B117" s="49" t="s">
        <v>65</v>
      </c>
      <c r="C117" s="96">
        <f>cu</f>
        <v>0</v>
      </c>
      <c r="D117" s="9" t="s">
        <v>336</v>
      </c>
      <c r="F117" s="111" t="s">
        <v>127</v>
      </c>
      <c r="G117" s="205">
        <f>δu*180/PI()</f>
        <v>23.33333333333333</v>
      </c>
      <c r="H117" s="166" t="s">
        <v>333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Y117" s="16"/>
      <c r="Z117" s="16"/>
      <c r="AA117" s="16"/>
      <c r="AB117" s="16"/>
      <c r="BS117" s="16"/>
      <c r="BT117" s="15"/>
      <c r="BU117" s="15"/>
      <c r="BV117" s="15"/>
      <c r="BW117" s="15"/>
      <c r="BX117" s="16"/>
      <c r="BY117" s="16"/>
      <c r="BZ117" s="16"/>
      <c r="CA117" s="16"/>
    </row>
    <row r="118" spans="2:79" ht="18" customHeight="1">
      <c r="B118" s="49" t="s">
        <v>66</v>
      </c>
      <c r="C118" s="209">
        <f>q</f>
        <v>10</v>
      </c>
      <c r="D118" s="9" t="s">
        <v>336</v>
      </c>
      <c r="F118" s="111" t="s">
        <v>267</v>
      </c>
      <c r="G118" s="206">
        <f>θ*180/PI()</f>
        <v>0</v>
      </c>
      <c r="H118" s="166" t="s">
        <v>333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16"/>
      <c r="Z118" s="16"/>
      <c r="AA118" s="16"/>
      <c r="AB118" s="16"/>
      <c r="BS118" s="16"/>
      <c r="BT118" s="15"/>
      <c r="BU118" s="15"/>
      <c r="BV118" s="15"/>
      <c r="BW118" s="15"/>
      <c r="BX118" s="16"/>
      <c r="BY118" s="16"/>
      <c r="BZ118" s="16"/>
      <c r="CA118" s="16"/>
    </row>
    <row r="119" spans="2:79" ht="18" customHeight="1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16"/>
      <c r="Z119" s="16"/>
      <c r="AA119" s="16"/>
      <c r="AB119" s="16"/>
      <c r="BS119" s="16"/>
      <c r="BT119" s="15"/>
      <c r="BU119" s="15"/>
      <c r="BV119" s="15"/>
      <c r="BW119" s="15"/>
      <c r="BX119" s="16"/>
      <c r="BY119" s="16"/>
      <c r="BZ119" s="16"/>
      <c r="CA119" s="16"/>
    </row>
    <row r="120" spans="2:79" ht="18" customHeight="1">
      <c r="B120" s="31"/>
      <c r="C120" s="31"/>
      <c r="D120" s="45" t="str">
        <f>"="</f>
        <v>=</v>
      </c>
      <c r="E120" s="25">
        <f>ROUND(2*C117/γs*TAN(PI()/4+φ/2),2)</f>
        <v>0</v>
      </c>
      <c r="F120" s="20" t="s">
        <v>100</v>
      </c>
      <c r="T120" s="31"/>
      <c r="U120" s="31"/>
      <c r="V120" s="31"/>
      <c r="W120" s="31"/>
      <c r="X120" s="31"/>
      <c r="Y120" s="16"/>
      <c r="Z120" s="16"/>
      <c r="AA120" s="16"/>
      <c r="AB120" s="16"/>
      <c r="BS120" s="16"/>
      <c r="BT120" s="15"/>
      <c r="BU120" s="15"/>
      <c r="BV120" s="15"/>
      <c r="BW120" s="15"/>
      <c r="BX120" s="16"/>
      <c r="BY120" s="16"/>
      <c r="BZ120" s="16"/>
      <c r="CA120" s="16"/>
    </row>
    <row r="121" spans="20:79" ht="18" customHeight="1">
      <c r="T121" s="31"/>
      <c r="U121" s="31"/>
      <c r="V121" s="31"/>
      <c r="W121" s="31"/>
      <c r="X121" s="31"/>
      <c r="Y121" s="16"/>
      <c r="Z121" s="16"/>
      <c r="AA121" s="16"/>
      <c r="AB121" s="16"/>
      <c r="BS121" s="16"/>
      <c r="BT121" s="15"/>
      <c r="BU121" s="15"/>
      <c r="BV121" s="15"/>
      <c r="BW121" s="15"/>
      <c r="BX121" s="16"/>
      <c r="BY121" s="16"/>
      <c r="BZ121" s="16"/>
      <c r="CA121" s="16"/>
    </row>
    <row r="122" spans="1:79" ht="18" customHeight="1">
      <c r="A122" s="140"/>
      <c r="B122" s="16"/>
      <c r="C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Y122" s="16"/>
      <c r="Z122" s="16"/>
      <c r="AA122" s="16"/>
      <c r="AB122" s="16"/>
      <c r="BS122" s="16"/>
      <c r="BT122" s="16"/>
      <c r="BU122" s="15"/>
      <c r="BV122" s="15"/>
      <c r="BW122" s="15"/>
      <c r="BX122" s="16"/>
      <c r="BY122" s="16"/>
      <c r="BZ122" s="16"/>
      <c r="CA122" s="16"/>
    </row>
    <row r="123" spans="2:81" ht="18" customHeight="1">
      <c r="B123" s="62" t="s">
        <v>268</v>
      </c>
      <c r="C123" s="63" t="s">
        <v>23</v>
      </c>
      <c r="D123" s="63" t="s">
        <v>22</v>
      </c>
      <c r="E123" s="63" t="s">
        <v>24</v>
      </c>
      <c r="F123" s="8" t="s">
        <v>269</v>
      </c>
      <c r="G123" s="31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Y123" s="16"/>
      <c r="Z123" s="16"/>
      <c r="AA123" s="16"/>
      <c r="AB123" s="16"/>
      <c r="BV123" s="16"/>
      <c r="BW123" s="16"/>
      <c r="BX123" s="16"/>
      <c r="BY123" s="16"/>
      <c r="BZ123" s="16"/>
      <c r="CA123" s="16"/>
      <c r="CB123" s="16"/>
      <c r="CC123" s="16"/>
    </row>
    <row r="124" spans="2:81" ht="18" customHeight="1">
      <c r="B124" s="64">
        <f>ωu-4</f>
        <v>59</v>
      </c>
      <c r="C124" s="114">
        <f aca="true" t="shared" si="26" ref="C124:C132">VLOOKUP($B124,$BU$48:$CI$97,15,FALSE)</f>
        <v>1.6017212380551213</v>
      </c>
      <c r="D124" s="114">
        <f aca="true" t="shared" si="27" ref="D124:D132">VLOOKUP($B124,$BU$48:$CI$97,10,FALSE)</f>
        <v>2.3332667944306613</v>
      </c>
      <c r="E124" s="114">
        <f aca="true" t="shared" si="28" ref="E124:E132">VLOOKUP($B124,$BU$48:$CI$97,2,FALSE)</f>
        <v>48.05163714165364</v>
      </c>
      <c r="F124" s="115">
        <f aca="true" t="shared" si="29" ref="F124:F132">VLOOKUP($B124,$BU$48:$CI$97,11,FALSE)</f>
        <v>19.8864854678687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BV124" s="54" t="s">
        <v>35</v>
      </c>
      <c r="BW124" s="107">
        <f>E41</f>
        <v>0</v>
      </c>
      <c r="BX124" s="16" t="s">
        <v>1</v>
      </c>
      <c r="BZ124" s="16"/>
      <c r="CA124" s="16"/>
      <c r="CB124" s="16"/>
      <c r="CC124" s="16"/>
    </row>
    <row r="125" spans="2:81" ht="18" customHeight="1">
      <c r="B125" s="64">
        <f aca="true" t="shared" si="30" ref="B125:B132">B124+1</f>
        <v>60</v>
      </c>
      <c r="C125" s="116">
        <f t="shared" si="26"/>
        <v>1.5547005383792518</v>
      </c>
      <c r="D125" s="116">
        <f t="shared" si="27"/>
        <v>2.3094010767585034</v>
      </c>
      <c r="E125" s="116">
        <f t="shared" si="28"/>
        <v>46.641016151377556</v>
      </c>
      <c r="F125" s="117">
        <f t="shared" si="29"/>
        <v>19.99386196523898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82"/>
      <c r="U125" s="82"/>
      <c r="V125" s="82"/>
      <c r="W125" s="82"/>
      <c r="X125" s="82"/>
      <c r="Y125" s="16"/>
      <c r="Z125" s="16"/>
      <c r="AA125" s="16"/>
      <c r="AB125" s="16"/>
      <c r="BV125" s="7" t="s">
        <v>78</v>
      </c>
      <c r="BW125" s="15">
        <f>ATAN('入力'!D6)</f>
        <v>0.19739555984988078</v>
      </c>
      <c r="BX125" s="16" t="s">
        <v>9</v>
      </c>
      <c r="BZ125" s="16"/>
      <c r="CA125" s="16"/>
      <c r="CB125" s="16"/>
      <c r="CC125" s="16"/>
    </row>
    <row r="126" spans="2:81" ht="18" customHeight="1">
      <c r="B126" s="64">
        <f t="shared" si="30"/>
        <v>61</v>
      </c>
      <c r="C126" s="116">
        <f t="shared" si="26"/>
        <v>1.508618102905538</v>
      </c>
      <c r="D126" s="116">
        <f t="shared" si="27"/>
        <v>2.28670813574664</v>
      </c>
      <c r="E126" s="116">
        <f t="shared" si="28"/>
        <v>45.258543087166146</v>
      </c>
      <c r="F126" s="117">
        <f t="shared" si="29"/>
        <v>20.06794749436152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32"/>
      <c r="Z126" s="32"/>
      <c r="AA126" s="32"/>
      <c r="AB126" s="16"/>
      <c r="BV126" s="7" t="s">
        <v>59</v>
      </c>
      <c r="BW126" s="15">
        <f>IF(m=0,0,E43*PI()/180)</f>
        <v>0.5880026035475675</v>
      </c>
      <c r="BX126" s="16" t="s">
        <v>9</v>
      </c>
      <c r="BZ126" s="16"/>
      <c r="CA126" s="16"/>
      <c r="CB126" s="16"/>
      <c r="CC126" s="16"/>
    </row>
    <row r="127" spans="2:81" ht="18" customHeight="1">
      <c r="B127" s="64">
        <f t="shared" si="30"/>
        <v>62</v>
      </c>
      <c r="C127" s="116">
        <f t="shared" si="26"/>
        <v>1.4634188633229575</v>
      </c>
      <c r="D127" s="116">
        <f t="shared" si="27"/>
        <v>2.2651401013780785</v>
      </c>
      <c r="E127" s="116">
        <f t="shared" si="28"/>
        <v>43.902565899688724</v>
      </c>
      <c r="F127" s="117">
        <f t="shared" si="29"/>
        <v>20.110017560487506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32"/>
      <c r="Z127" s="32"/>
      <c r="AA127" s="32"/>
      <c r="BV127" s="7" t="s">
        <v>63</v>
      </c>
      <c r="BW127" s="15">
        <f>Fai*PI()/180</f>
        <v>0.6108652381980153</v>
      </c>
      <c r="BX127" s="108" t="s">
        <v>9</v>
      </c>
      <c r="BZ127" s="108"/>
      <c r="CA127" s="108"/>
      <c r="CB127" s="108"/>
      <c r="CC127" s="108"/>
    </row>
    <row r="128" spans="2:81" ht="18" customHeight="1">
      <c r="B128" s="211">
        <f t="shared" si="30"/>
        <v>63</v>
      </c>
      <c r="C128" s="212">
        <f t="shared" si="26"/>
        <v>1.419050898988858</v>
      </c>
      <c r="D128" s="212">
        <f t="shared" si="27"/>
        <v>2.2446524752687216</v>
      </c>
      <c r="E128" s="212">
        <f t="shared" si="28"/>
        <v>42.57152696966574</v>
      </c>
      <c r="F128" s="213">
        <f t="shared" si="29"/>
        <v>20.12122141872953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32"/>
      <c r="Z128" s="32"/>
      <c r="AA128" s="32"/>
      <c r="AC128" s="44"/>
      <c r="BV128" s="7" t="s">
        <v>79</v>
      </c>
      <c r="BW128" s="15">
        <f>IF(Kh=0,2/3*φ,φ/2)</f>
        <v>0.40724349213201017</v>
      </c>
      <c r="BX128" s="16" t="s">
        <v>9</v>
      </c>
      <c r="BZ128" s="16"/>
      <c r="CA128" s="16"/>
      <c r="CB128" s="16"/>
      <c r="CC128" s="16"/>
    </row>
    <row r="129" spans="2:81" ht="18" customHeight="1">
      <c r="B129" s="64">
        <f t="shared" si="30"/>
        <v>64</v>
      </c>
      <c r="C129" s="116">
        <f t="shared" si="26"/>
        <v>1.375465177131723</v>
      </c>
      <c r="D129" s="116">
        <f t="shared" si="27"/>
        <v>2.2252038809503776</v>
      </c>
      <c r="E129" s="116">
        <f t="shared" si="28"/>
        <v>41.26395531395169</v>
      </c>
      <c r="F129" s="117">
        <f t="shared" si="29"/>
        <v>20.1025911532711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32"/>
      <c r="Z129" s="32"/>
      <c r="AA129" s="32"/>
      <c r="AC129" s="44"/>
      <c r="BV129" s="109" t="s">
        <v>80</v>
      </c>
      <c r="BW129" s="15">
        <f>ATAN(Kh)</f>
        <v>0</v>
      </c>
      <c r="BX129" s="16" t="s">
        <v>9</v>
      </c>
      <c r="BZ129" s="16"/>
      <c r="CA129" s="16"/>
      <c r="CB129" s="16"/>
      <c r="CC129" s="16"/>
    </row>
    <row r="130" spans="2:81" ht="18" customHeight="1">
      <c r="B130" s="64">
        <f t="shared" si="30"/>
        <v>65</v>
      </c>
      <c r="C130" s="116">
        <f t="shared" si="26"/>
        <v>1.3326153163099972</v>
      </c>
      <c r="D130" s="116">
        <f t="shared" si="27"/>
        <v>2.2067558379249834</v>
      </c>
      <c r="E130" s="116">
        <f t="shared" si="28"/>
        <v>39.978459489299915</v>
      </c>
      <c r="F130" s="117">
        <f t="shared" si="29"/>
        <v>20.0550497442232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32"/>
      <c r="Z130" s="32"/>
      <c r="AA130" s="32"/>
      <c r="AC130" s="44"/>
      <c r="BV130" s="54" t="s">
        <v>36</v>
      </c>
      <c r="BW130" s="16">
        <f>Ha+Hb</f>
        <v>2</v>
      </c>
      <c r="BX130" s="16" t="s">
        <v>1</v>
      </c>
      <c r="BZ130" s="16"/>
      <c r="CA130" s="16"/>
      <c r="CB130" s="16"/>
      <c r="CC130" s="16"/>
    </row>
    <row r="131" spans="2:81" ht="18" customHeight="1">
      <c r="B131" s="64">
        <f t="shared" si="30"/>
        <v>66</v>
      </c>
      <c r="C131" s="116">
        <f t="shared" si="26"/>
        <v>1.290457370617072</v>
      </c>
      <c r="D131" s="116">
        <f t="shared" si="27"/>
        <v>2.1892725570120937</v>
      </c>
      <c r="E131" s="116">
        <f t="shared" si="28"/>
        <v>38.71372111851217</v>
      </c>
      <c r="F131" s="117">
        <f t="shared" si="29"/>
        <v>19.979418225722693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32"/>
      <c r="Z131" s="32"/>
      <c r="AA131" s="32"/>
      <c r="AC131" s="44"/>
      <c r="BV131" s="16"/>
      <c r="BW131" s="16"/>
      <c r="BX131" s="16"/>
      <c r="BZ131" s="16"/>
      <c r="CA131" s="16"/>
      <c r="CB131" s="16"/>
      <c r="CC131" s="16"/>
    </row>
    <row r="132" spans="2:81" ht="18" customHeight="1">
      <c r="B132" s="65">
        <f t="shared" si="30"/>
        <v>67</v>
      </c>
      <c r="C132" s="118">
        <f t="shared" si="26"/>
        <v>1.24894963241921</v>
      </c>
      <c r="D132" s="118">
        <f t="shared" si="27"/>
        <v>2.1727207548105927</v>
      </c>
      <c r="E132" s="118">
        <f t="shared" si="28"/>
        <v>37.4684889725763</v>
      </c>
      <c r="F132" s="119">
        <f t="shared" si="29"/>
        <v>19.87642202527657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32"/>
      <c r="Z132" s="32"/>
      <c r="AA132" s="32"/>
      <c r="AC132" s="44"/>
      <c r="BV132" s="54" t="s">
        <v>37</v>
      </c>
      <c r="BW132" s="16">
        <f>Ha*n</f>
        <v>0.6</v>
      </c>
      <c r="BX132" s="16" t="s">
        <v>1</v>
      </c>
      <c r="BZ132" s="16"/>
      <c r="CA132" s="16"/>
      <c r="CB132" s="16"/>
      <c r="CC132" s="16"/>
    </row>
    <row r="133" spans="2:81" ht="18" customHeight="1">
      <c r="B133" s="13"/>
      <c r="C133" s="13"/>
      <c r="D133" s="33"/>
      <c r="E133" s="33"/>
      <c r="F133" s="33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32"/>
      <c r="Z133" s="32"/>
      <c r="AA133" s="32"/>
      <c r="BV133" s="54" t="s">
        <v>38</v>
      </c>
      <c r="BW133" s="16">
        <f>B-bu-BW132</f>
        <v>0.3999999999999999</v>
      </c>
      <c r="BX133" s="16" t="s">
        <v>1</v>
      </c>
      <c r="BZ133" s="16"/>
      <c r="CA133" s="16"/>
      <c r="CB133" s="16"/>
      <c r="CC133" s="16"/>
    </row>
    <row r="134" spans="2:81" ht="18" customHeight="1">
      <c r="B134" s="13"/>
      <c r="C134" s="13"/>
      <c r="D134" s="33"/>
      <c r="E134" s="33"/>
      <c r="F134" s="33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32"/>
      <c r="Z134" s="32"/>
      <c r="AA134" s="32"/>
      <c r="AC134" s="44"/>
      <c r="BV134" s="54" t="s">
        <v>39</v>
      </c>
      <c r="BW134" s="16">
        <f>BW133/Ha</f>
        <v>0.19999999999999996</v>
      </c>
      <c r="BX134" s="16"/>
      <c r="BY134" s="16"/>
      <c r="BZ134" s="16"/>
      <c r="CA134" s="16"/>
      <c r="CB134" s="16"/>
      <c r="CC134" s="16"/>
    </row>
    <row r="135" spans="2:81" ht="18" customHeight="1">
      <c r="B135" s="13"/>
      <c r="C135" s="13"/>
      <c r="D135" s="33"/>
      <c r="E135" s="33"/>
      <c r="F135" s="33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32"/>
      <c r="Z135" s="32"/>
      <c r="AA135" s="32"/>
      <c r="AC135" s="44"/>
      <c r="BV135" s="16"/>
      <c r="BW135" s="16"/>
      <c r="BX135" s="16"/>
      <c r="BY135" s="16"/>
      <c r="BZ135" s="16"/>
      <c r="CA135" s="16"/>
      <c r="CB135" s="16"/>
      <c r="CC135" s="16"/>
    </row>
    <row r="136" spans="2:81" ht="18" customHeight="1">
      <c r="B136" s="13"/>
      <c r="C136" s="13"/>
      <c r="D136" s="33"/>
      <c r="E136" s="33"/>
      <c r="F136" s="33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32"/>
      <c r="Z136" s="32"/>
      <c r="AA136" s="32"/>
      <c r="AC136" s="44"/>
      <c r="BU136" s="79"/>
      <c r="BV136" s="32"/>
      <c r="BW136" s="16"/>
      <c r="BX136" s="16"/>
      <c r="BY136" s="16"/>
      <c r="BZ136" s="16"/>
      <c r="CA136" s="16"/>
      <c r="CB136" s="16"/>
      <c r="CC136" s="16"/>
    </row>
    <row r="137" spans="2:27" ht="18" customHeight="1">
      <c r="B137" s="13"/>
      <c r="C137" s="13"/>
      <c r="D137" s="33"/>
      <c r="E137" s="33"/>
      <c r="F137" s="33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32"/>
      <c r="Z137" s="32"/>
      <c r="AA137" s="32"/>
    </row>
    <row r="138" spans="1:27" s="31" customFormat="1" ht="18" customHeight="1">
      <c r="A138" s="123"/>
      <c r="B138" s="13"/>
      <c r="C138" s="13"/>
      <c r="D138" s="33"/>
      <c r="E138" s="33"/>
      <c r="F138" s="33"/>
      <c r="G138" s="9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39"/>
      <c r="Z138" s="39"/>
      <c r="AA138" s="39"/>
    </row>
    <row r="139" spans="1:27" s="31" customFormat="1" ht="18" customHeight="1">
      <c r="A139" s="141"/>
      <c r="B139" s="148"/>
      <c r="C139" s="83"/>
      <c r="D139" s="1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6"/>
      <c r="U139" s="16"/>
      <c r="V139" s="16"/>
      <c r="W139" s="16"/>
      <c r="X139" s="16"/>
      <c r="Y139" s="39"/>
      <c r="Z139" s="39"/>
      <c r="AA139" s="39"/>
    </row>
    <row r="140" spans="1:27" s="31" customFormat="1" ht="18" customHeight="1">
      <c r="A140" s="141"/>
      <c r="B140" s="148"/>
      <c r="C140" s="83"/>
      <c r="D140" s="1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6"/>
      <c r="U140" s="16"/>
      <c r="V140" s="16"/>
      <c r="W140" s="16"/>
      <c r="X140" s="16"/>
      <c r="Y140" s="39"/>
      <c r="Z140" s="39"/>
      <c r="AA140" s="39"/>
    </row>
    <row r="141" spans="1:27" s="31" customFormat="1" ht="18" customHeight="1">
      <c r="A141" s="141"/>
      <c r="B141" s="148"/>
      <c r="C141" s="83"/>
      <c r="D141" s="1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1:27" ht="18" customHeight="1">
      <c r="A142" s="141"/>
      <c r="B142" s="148"/>
      <c r="C142" s="83"/>
      <c r="D142" s="1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2"/>
      <c r="Z142" s="32"/>
      <c r="AA142" s="32"/>
    </row>
    <row r="143" spans="1:27" ht="18" customHeight="1">
      <c r="A143" s="141"/>
      <c r="B143" s="148"/>
      <c r="C143" s="83"/>
      <c r="D143" s="1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2"/>
      <c r="Z143" s="32"/>
      <c r="AA143" s="32"/>
    </row>
    <row r="144" spans="1:27" ht="18" customHeight="1">
      <c r="A144" s="141"/>
      <c r="B144" s="50"/>
      <c r="C144" s="33"/>
      <c r="D144" s="50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9"/>
      <c r="U144" s="39"/>
      <c r="V144" s="39"/>
      <c r="W144" s="39"/>
      <c r="X144" s="39"/>
      <c r="Y144" s="32"/>
      <c r="Z144" s="32"/>
      <c r="AA144" s="32"/>
    </row>
    <row r="145" spans="1:27" ht="18" customHeight="1">
      <c r="A145" s="141"/>
      <c r="B145" s="50"/>
      <c r="C145" s="33"/>
      <c r="D145" s="5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9"/>
      <c r="U145" s="39"/>
      <c r="V145" s="39"/>
      <c r="W145" s="39"/>
      <c r="X145" s="39"/>
      <c r="Y145" s="32"/>
      <c r="Z145" s="32"/>
      <c r="AA145" s="32"/>
    </row>
    <row r="146" spans="1:27" ht="18" customHeight="1">
      <c r="A146" s="141"/>
      <c r="B146" s="50"/>
      <c r="C146" s="33"/>
      <c r="D146" s="5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18" customHeight="1">
      <c r="A147" s="141"/>
      <c r="B147" s="50"/>
      <c r="C147" s="33"/>
      <c r="D147" s="5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18" customHeight="1">
      <c r="A148" s="141"/>
      <c r="B148" s="1" t="s">
        <v>28</v>
      </c>
      <c r="D148" s="3" t="s">
        <v>72</v>
      </c>
      <c r="E148" s="127">
        <f>ωu</f>
        <v>63</v>
      </c>
      <c r="F148" s="1" t="s">
        <v>270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18" customHeight="1">
      <c r="A149" s="141"/>
      <c r="B149" s="1" t="s">
        <v>29</v>
      </c>
      <c r="C149" s="3" t="s">
        <v>30</v>
      </c>
      <c r="D149" s="18" t="s">
        <v>73</v>
      </c>
      <c r="E149" s="157">
        <f>F128</f>
        <v>20.12122141872953</v>
      </c>
      <c r="F149" s="36" t="s">
        <v>98</v>
      </c>
      <c r="G149" s="31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2"/>
      <c r="U149" s="32"/>
      <c r="V149" s="32"/>
      <c r="W149" s="32"/>
      <c r="X149" s="32"/>
      <c r="Y149" s="32"/>
      <c r="Z149" s="32"/>
      <c r="AA149" s="32"/>
    </row>
    <row r="150" spans="1:27" ht="18" customHeight="1">
      <c r="A150" s="141"/>
      <c r="C150" s="2" t="s">
        <v>31</v>
      </c>
      <c r="D150" s="18" t="s">
        <v>74</v>
      </c>
      <c r="E150" s="157">
        <f>ROUND(E149*SIN(α+δu),1)</f>
        <v>11.4</v>
      </c>
      <c r="F150" s="36" t="s">
        <v>98</v>
      </c>
      <c r="G150" s="31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2"/>
      <c r="U150" s="32"/>
      <c r="V150" s="32"/>
      <c r="W150" s="32"/>
      <c r="X150" s="32"/>
      <c r="Y150" s="32"/>
      <c r="Z150" s="32"/>
      <c r="AA150" s="32"/>
    </row>
    <row r="151" spans="1:27" ht="18" customHeight="1">
      <c r="A151" s="141"/>
      <c r="C151" s="2" t="s">
        <v>32</v>
      </c>
      <c r="D151" s="38" t="s">
        <v>75</v>
      </c>
      <c r="E151" s="157">
        <f>ROUND(E149*COS(α+δu),1)</f>
        <v>16.6</v>
      </c>
      <c r="F151" s="36" t="s">
        <v>98</v>
      </c>
      <c r="G151" s="31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2"/>
      <c r="Z151" s="32"/>
      <c r="AA151" s="32"/>
    </row>
    <row r="152" spans="1:27" ht="18" customHeight="1">
      <c r="A152" s="141"/>
      <c r="B152" s="1" t="s">
        <v>33</v>
      </c>
      <c r="C152" s="79"/>
      <c r="D152" s="18" t="s">
        <v>128</v>
      </c>
      <c r="E152" s="206">
        <f>ROUND(2*E149/(γs*Ha^2),5)</f>
        <v>0.50303</v>
      </c>
      <c r="F152" s="39" t="s">
        <v>338</v>
      </c>
      <c r="G152" s="31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2"/>
      <c r="Z152" s="32"/>
      <c r="AA152" s="32"/>
    </row>
    <row r="153" spans="2:24" ht="18" customHeight="1">
      <c r="B153" s="1" t="s">
        <v>34</v>
      </c>
      <c r="D153" s="18" t="s">
        <v>76</v>
      </c>
      <c r="E153" s="205">
        <f>ROUND(Ha/3,2)</f>
        <v>0.67</v>
      </c>
      <c r="F153" s="60" t="s">
        <v>99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9"/>
      <c r="U153" s="39"/>
      <c r="V153" s="39"/>
      <c r="W153" s="39"/>
      <c r="X153" s="39"/>
    </row>
    <row r="154" spans="3:24" ht="18" customHeight="1">
      <c r="C154" s="18"/>
      <c r="D154" s="18" t="s">
        <v>77</v>
      </c>
      <c r="E154" s="207">
        <f>ROUND(B-E153*nb,2)</f>
        <v>1.27</v>
      </c>
      <c r="F154" s="60" t="s">
        <v>99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9"/>
      <c r="U154" s="39"/>
      <c r="V154" s="39"/>
      <c r="W154" s="39"/>
      <c r="X154" s="39"/>
    </row>
    <row r="155" spans="3:24" ht="18" customHeight="1">
      <c r="C155" s="79"/>
      <c r="D155" s="18"/>
      <c r="E155" s="48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8" customHeight="1">
      <c r="A156" s="106" t="s">
        <v>363</v>
      </c>
      <c r="B156" s="33"/>
      <c r="C156" s="33"/>
      <c r="D156" s="33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1"/>
      <c r="U156" s="31"/>
      <c r="V156" s="31"/>
      <c r="W156" s="31"/>
      <c r="X156" s="31"/>
    </row>
    <row r="157" spans="1:27" ht="18" customHeight="1">
      <c r="A157" s="142"/>
      <c r="B157" s="33"/>
      <c r="C157" s="33"/>
      <c r="D157" s="33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1"/>
      <c r="U157" s="31"/>
      <c r="V157" s="31"/>
      <c r="W157" s="31"/>
      <c r="X157" s="31"/>
      <c r="Y157" s="32"/>
      <c r="Z157" s="32"/>
      <c r="AA157" s="32"/>
    </row>
    <row r="158" spans="2:29" ht="18" customHeight="1">
      <c r="B158" s="67" t="s">
        <v>40</v>
      </c>
      <c r="C158" s="63" t="s">
        <v>81</v>
      </c>
      <c r="D158" s="63" t="s">
        <v>82</v>
      </c>
      <c r="E158" s="63" t="s">
        <v>83</v>
      </c>
      <c r="F158" s="63" t="s">
        <v>84</v>
      </c>
      <c r="G158" s="63" t="s">
        <v>85</v>
      </c>
      <c r="H158" s="8" t="s">
        <v>86</v>
      </c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32"/>
      <c r="U158" s="32"/>
      <c r="V158" s="32"/>
      <c r="W158" s="32"/>
      <c r="X158" s="32"/>
      <c r="Y158" s="32"/>
      <c r="Z158" s="32"/>
      <c r="AA158" s="32"/>
      <c r="AC158" s="16"/>
    </row>
    <row r="159" spans="2:29" ht="18" customHeight="1">
      <c r="B159" s="68" t="s">
        <v>41</v>
      </c>
      <c r="C159" s="149">
        <f>F59</f>
        <v>41.4</v>
      </c>
      <c r="D159" s="149">
        <v>0</v>
      </c>
      <c r="E159" s="150">
        <f>G61</f>
        <v>0.74</v>
      </c>
      <c r="F159" s="150" t="s">
        <v>201</v>
      </c>
      <c r="G159" s="149">
        <f>C159*E159</f>
        <v>30.636</v>
      </c>
      <c r="H159" s="151">
        <v>0</v>
      </c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32"/>
      <c r="U159" s="32"/>
      <c r="V159" s="32"/>
      <c r="W159" s="32"/>
      <c r="X159" s="32"/>
      <c r="Y159" s="32"/>
      <c r="Z159" s="32"/>
      <c r="AA159" s="32"/>
      <c r="AC159" s="13"/>
    </row>
    <row r="160" spans="1:29" s="31" customFormat="1" ht="18" customHeight="1">
      <c r="A160" s="123"/>
      <c r="B160" s="68" t="s">
        <v>42</v>
      </c>
      <c r="C160" s="149">
        <f>E150</f>
        <v>11.4</v>
      </c>
      <c r="D160" s="149">
        <f>E151</f>
        <v>16.6</v>
      </c>
      <c r="E160" s="150">
        <f>E154</f>
        <v>1.27</v>
      </c>
      <c r="F160" s="150">
        <f>E153</f>
        <v>0.67</v>
      </c>
      <c r="G160" s="149">
        <f>C160*E160</f>
        <v>14.478000000000002</v>
      </c>
      <c r="H160" s="151">
        <f>D160*F160</f>
        <v>11.122000000000002</v>
      </c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6"/>
      <c r="U160" s="66"/>
      <c r="V160" s="66"/>
      <c r="W160" s="66"/>
      <c r="X160" s="66"/>
      <c r="Y160" s="32"/>
      <c r="Z160" s="32"/>
      <c r="AA160" s="32"/>
      <c r="AB160" s="9"/>
      <c r="AC160" s="120"/>
    </row>
    <row r="161" spans="1:29" s="31" customFormat="1" ht="18" customHeight="1">
      <c r="A161" s="123"/>
      <c r="B161" s="71" t="s">
        <v>43</v>
      </c>
      <c r="C161" s="72">
        <f>SUM(C159:C160)</f>
        <v>52.8</v>
      </c>
      <c r="D161" s="72">
        <f>SUM(D159:D160)</f>
        <v>16.6</v>
      </c>
      <c r="E161" s="214" t="s">
        <v>344</v>
      </c>
      <c r="F161" s="214" t="s">
        <v>344</v>
      </c>
      <c r="G161" s="72">
        <f>SUM(G159:G160)</f>
        <v>45.114000000000004</v>
      </c>
      <c r="H161" s="47">
        <f>SUM(H159:H160)</f>
        <v>11.122000000000002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39"/>
      <c r="Z161" s="39"/>
      <c r="AA161" s="39"/>
      <c r="AC161" s="83"/>
    </row>
    <row r="162" spans="1:27" s="31" customFormat="1" ht="18" customHeight="1">
      <c r="A162" s="12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33"/>
      <c r="U162" s="133"/>
      <c r="V162" s="133"/>
      <c r="W162" s="133"/>
      <c r="X162" s="133"/>
      <c r="Y162" s="39"/>
      <c r="Z162" s="39"/>
      <c r="AA162" s="39"/>
    </row>
    <row r="163" spans="1:27" s="31" customFormat="1" ht="18" customHeight="1">
      <c r="A163" s="123"/>
      <c r="B163" s="9"/>
      <c r="C163" s="1" t="s">
        <v>44</v>
      </c>
      <c r="D163" s="9"/>
      <c r="E163" s="18"/>
      <c r="F163" s="205">
        <f>ROUND((G161-H161)/C161,2)</f>
        <v>0.64</v>
      </c>
      <c r="G163" s="31" t="s">
        <v>96</v>
      </c>
      <c r="T163" s="133"/>
      <c r="U163" s="133"/>
      <c r="V163" s="133"/>
      <c r="W163" s="133"/>
      <c r="X163" s="133"/>
      <c r="Y163" s="39"/>
      <c r="Z163" s="39"/>
      <c r="AA163" s="39"/>
    </row>
    <row r="164" spans="1:27" s="31" customFormat="1" ht="18" customHeight="1">
      <c r="A164" s="123"/>
      <c r="B164" s="9"/>
      <c r="C164" s="9"/>
      <c r="D164" s="9"/>
      <c r="E164" s="9"/>
      <c r="F164" s="127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39"/>
      <c r="Z164" s="39"/>
      <c r="AA164" s="39"/>
    </row>
    <row r="165" spans="5:40" ht="18" customHeight="1">
      <c r="E165" s="18"/>
      <c r="F165" s="205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9"/>
      <c r="Z165" s="39"/>
      <c r="AA165" s="39"/>
      <c r="AB165" s="31"/>
      <c r="AC165" s="31"/>
      <c r="AD165" s="31"/>
      <c r="AE165" s="31"/>
      <c r="AF165" s="31"/>
      <c r="AG165" s="31"/>
      <c r="AH165" s="31"/>
      <c r="AI165" s="42"/>
      <c r="AJ165" s="42"/>
      <c r="AK165" s="42"/>
      <c r="AL165" s="42"/>
      <c r="AM165" s="30"/>
      <c r="AN165" s="16"/>
    </row>
    <row r="166" spans="3:40" ht="18" customHeight="1">
      <c r="C166" s="1" t="s">
        <v>45</v>
      </c>
      <c r="E166" s="18"/>
      <c r="F166" s="205">
        <f>ROUND(B/2-F163,2)</f>
        <v>0.06</v>
      </c>
      <c r="G166" s="31" t="s">
        <v>96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Y166" s="32"/>
      <c r="Z166" s="32"/>
      <c r="AA166" s="32"/>
      <c r="AI166" s="16"/>
      <c r="AJ166" s="16"/>
      <c r="AK166" s="16"/>
      <c r="AL166" s="16"/>
      <c r="AM166" s="15"/>
      <c r="AN166" s="16"/>
    </row>
    <row r="167" spans="2:40" ht="18" customHeight="1">
      <c r="B167" s="31"/>
      <c r="C167" s="31"/>
      <c r="D167" s="31"/>
      <c r="E167" s="37"/>
      <c r="F167" s="40"/>
      <c r="T167" s="31"/>
      <c r="U167" s="31"/>
      <c r="V167" s="31"/>
      <c r="W167" s="31"/>
      <c r="X167" s="31"/>
      <c r="Y167" s="32"/>
      <c r="Z167" s="32"/>
      <c r="AA167" s="32"/>
      <c r="AI167" s="16"/>
      <c r="AJ167" s="16"/>
      <c r="AK167" s="16"/>
      <c r="AL167" s="16"/>
      <c r="AM167" s="16"/>
      <c r="AN167" s="16"/>
    </row>
    <row r="168" spans="3:40" ht="18" customHeight="1">
      <c r="C168" s="3" t="s">
        <v>46</v>
      </c>
      <c r="D168" s="27" t="s">
        <v>87</v>
      </c>
      <c r="E168" s="157">
        <f>IF($F$166&lt;=B/6,$C$161/B*(1+6*$F$166/B),2*$C$161/(3*$F$163))</f>
        <v>47.412244897959184</v>
      </c>
      <c r="F168" s="31" t="s">
        <v>271</v>
      </c>
      <c r="G168" s="49" t="s">
        <v>88</v>
      </c>
      <c r="H168" s="96">
        <f>IF($F$166&lt;=B/6,$C$161/B*(1-6*$F$166/B),0)</f>
        <v>28.016326530612247</v>
      </c>
      <c r="I168" s="9" t="s">
        <v>271</v>
      </c>
      <c r="T168" s="31"/>
      <c r="U168" s="31"/>
      <c r="V168" s="31"/>
      <c r="W168" s="31"/>
      <c r="X168" s="31"/>
      <c r="Y168" s="32"/>
      <c r="Z168" s="32"/>
      <c r="AA168" s="32"/>
      <c r="AC168" s="33"/>
      <c r="AI168" s="16"/>
      <c r="AJ168" s="15"/>
      <c r="AK168" s="16"/>
      <c r="AL168" s="16"/>
      <c r="AM168" s="30"/>
      <c r="AN168" s="16"/>
    </row>
    <row r="169" spans="4:40" ht="18" customHeight="1">
      <c r="D169" s="27" t="s">
        <v>89</v>
      </c>
      <c r="E169" s="157">
        <f>MAX(E168,H168)</f>
        <v>47.412244897959184</v>
      </c>
      <c r="F169" s="31" t="s">
        <v>271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Y169" s="32"/>
      <c r="Z169" s="32"/>
      <c r="AA169" s="32"/>
      <c r="AC169" s="33"/>
      <c r="AI169" s="16"/>
      <c r="AJ169" s="15"/>
      <c r="AK169" s="16"/>
      <c r="AL169" s="16"/>
      <c r="AM169" s="30"/>
      <c r="AN169" s="16"/>
    </row>
    <row r="170" spans="2:40" ht="18" customHeight="1">
      <c r="B170" s="31"/>
      <c r="C170" s="31"/>
      <c r="D170" s="31"/>
      <c r="E170" s="37"/>
      <c r="F170" s="40"/>
      <c r="Y170" s="32"/>
      <c r="Z170" s="32"/>
      <c r="AA170" s="32"/>
      <c r="AC170" s="33"/>
      <c r="AI170" s="16"/>
      <c r="AJ170" s="15"/>
      <c r="AK170" s="16"/>
      <c r="AL170" s="16"/>
      <c r="AM170" s="30"/>
      <c r="AN170" s="16"/>
    </row>
    <row r="171" spans="5:40" ht="18" customHeight="1">
      <c r="E171" s="18"/>
      <c r="F171" s="48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9"/>
      <c r="Z171" s="39"/>
      <c r="AA171" s="39"/>
      <c r="AB171" s="31"/>
      <c r="AC171" s="83"/>
      <c r="AD171" s="31"/>
      <c r="AE171" s="31"/>
      <c r="AF171" s="31"/>
      <c r="AG171" s="31"/>
      <c r="AH171" s="31"/>
      <c r="AI171" s="42"/>
      <c r="AJ171" s="43"/>
      <c r="AK171" s="42"/>
      <c r="AL171" s="42"/>
      <c r="AM171" s="30"/>
      <c r="AN171" s="16"/>
    </row>
    <row r="172" spans="2:40" ht="18" customHeight="1">
      <c r="B172" s="31"/>
      <c r="C172" s="31"/>
      <c r="D172" s="31"/>
      <c r="E172" s="37"/>
      <c r="F172" s="40"/>
      <c r="Y172" s="39"/>
      <c r="Z172" s="39"/>
      <c r="AA172" s="39"/>
      <c r="AB172" s="31"/>
      <c r="AC172" s="83"/>
      <c r="AD172" s="31"/>
      <c r="AE172" s="31"/>
      <c r="AF172" s="31"/>
      <c r="AG172" s="31"/>
      <c r="AH172" s="31"/>
      <c r="AI172" s="42"/>
      <c r="AJ172" s="43"/>
      <c r="AK172" s="42"/>
      <c r="AL172" s="42"/>
      <c r="AM172" s="30"/>
      <c r="AN172" s="16"/>
    </row>
    <row r="173" spans="2:40" ht="18" customHeight="1">
      <c r="B173" s="31"/>
      <c r="C173" s="31"/>
      <c r="D173" s="31"/>
      <c r="E173" s="37"/>
      <c r="F173" s="40"/>
      <c r="T173" s="31"/>
      <c r="U173" s="31"/>
      <c r="V173" s="31"/>
      <c r="W173" s="31"/>
      <c r="X173" s="31"/>
      <c r="Y173" s="39"/>
      <c r="Z173" s="39"/>
      <c r="AA173" s="39"/>
      <c r="AB173" s="31"/>
      <c r="AC173" s="83"/>
      <c r="AD173" s="31"/>
      <c r="AE173" s="31"/>
      <c r="AF173" s="31"/>
      <c r="AG173" s="31"/>
      <c r="AH173" s="31"/>
      <c r="AI173" s="42"/>
      <c r="AJ173" s="43"/>
      <c r="AK173" s="42"/>
      <c r="AL173" s="42"/>
      <c r="AM173" s="30"/>
      <c r="AN173" s="16"/>
    </row>
    <row r="174" spans="5:40" ht="18" customHeight="1">
      <c r="E174" s="18"/>
      <c r="F174" s="48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Y174" s="82"/>
      <c r="Z174" s="82"/>
      <c r="AA174" s="82"/>
      <c r="AC174" s="33"/>
      <c r="AI174" s="16"/>
      <c r="AJ174" s="15"/>
      <c r="AK174" s="16"/>
      <c r="AL174" s="16"/>
      <c r="AM174" s="30"/>
      <c r="AN174" s="16"/>
    </row>
    <row r="175" spans="2:40" ht="18" customHeight="1">
      <c r="B175" s="31"/>
      <c r="C175" s="31"/>
      <c r="D175" s="31"/>
      <c r="E175" s="37"/>
      <c r="F175" s="40"/>
      <c r="Y175" s="132"/>
      <c r="Z175" s="132"/>
      <c r="AA175" s="132"/>
      <c r="AB175" s="31"/>
      <c r="AC175" s="83"/>
      <c r="AD175" s="31"/>
      <c r="AE175" s="31"/>
      <c r="AF175" s="42"/>
      <c r="AG175" s="31"/>
      <c r="AH175" s="31"/>
      <c r="AI175" s="42"/>
      <c r="AJ175" s="43"/>
      <c r="AK175" s="42"/>
      <c r="AL175" s="42"/>
      <c r="AM175" s="30"/>
      <c r="AN175" s="16"/>
    </row>
    <row r="176" spans="5:40" ht="18" customHeight="1">
      <c r="E176" s="18"/>
      <c r="F176" s="48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132"/>
      <c r="Z176" s="132"/>
      <c r="AA176" s="132"/>
      <c r="AB176" s="31"/>
      <c r="AC176" s="83"/>
      <c r="AD176" s="31"/>
      <c r="AE176" s="31"/>
      <c r="AF176" s="121"/>
      <c r="AG176" s="31"/>
      <c r="AH176" s="31"/>
      <c r="AI176" s="42"/>
      <c r="AJ176" s="43"/>
      <c r="AK176" s="42"/>
      <c r="AL176" s="42"/>
      <c r="AM176" s="30"/>
      <c r="AN176" s="16"/>
    </row>
    <row r="177" spans="2:40" ht="18" customHeight="1">
      <c r="B177" s="31"/>
      <c r="C177" s="31"/>
      <c r="D177" s="31"/>
      <c r="E177" s="37"/>
      <c r="F177" s="40"/>
      <c r="Y177" s="132"/>
      <c r="Z177" s="132"/>
      <c r="AA177" s="132"/>
      <c r="AB177" s="31"/>
      <c r="AC177" s="83"/>
      <c r="AD177" s="31"/>
      <c r="AE177" s="31"/>
      <c r="AF177" s="83"/>
      <c r="AG177" s="31"/>
      <c r="AH177" s="31"/>
      <c r="AI177" s="42"/>
      <c r="AJ177" s="43"/>
      <c r="AK177" s="42"/>
      <c r="AL177" s="42"/>
      <c r="AM177" s="30"/>
      <c r="AN177" s="16"/>
    </row>
    <row r="178" spans="5:40" ht="18" customHeight="1">
      <c r="E178" s="18"/>
      <c r="F178" s="48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83"/>
      <c r="AD178" s="31"/>
      <c r="AE178" s="31"/>
      <c r="AF178" s="83"/>
      <c r="AG178" s="31"/>
      <c r="AH178" s="31"/>
      <c r="AI178" s="42"/>
      <c r="AJ178" s="43"/>
      <c r="AK178" s="42"/>
      <c r="AL178" s="42"/>
      <c r="AM178" s="30"/>
      <c r="AN178" s="16"/>
    </row>
    <row r="179" spans="2:40" ht="18" customHeight="1">
      <c r="B179" s="31"/>
      <c r="C179" s="31"/>
      <c r="D179" s="31"/>
      <c r="E179" s="37"/>
      <c r="F179" s="40"/>
      <c r="AC179" s="33"/>
      <c r="AF179" s="33"/>
      <c r="AG179" s="16"/>
      <c r="AI179" s="16"/>
      <c r="AJ179" s="15"/>
      <c r="AK179" s="16"/>
      <c r="AL179" s="16"/>
      <c r="AM179" s="30"/>
      <c r="AN179" s="16"/>
    </row>
    <row r="180" spans="5:40" ht="18" customHeight="1">
      <c r="E180" s="18"/>
      <c r="F180" s="48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AC180" s="33"/>
      <c r="AF180" s="33"/>
      <c r="AG180" s="16"/>
      <c r="AH180" s="16"/>
      <c r="AI180" s="16"/>
      <c r="AJ180" s="15"/>
      <c r="AK180" s="16"/>
      <c r="AL180" s="16"/>
      <c r="AM180" s="30"/>
      <c r="AN180" s="16"/>
    </row>
    <row r="181" spans="2:40" ht="18" customHeight="1">
      <c r="B181" s="31"/>
      <c r="C181" s="31"/>
      <c r="D181" s="31"/>
      <c r="E181" s="37"/>
      <c r="F181" s="40"/>
      <c r="Y181" s="31"/>
      <c r="Z181" s="31"/>
      <c r="AA181" s="31"/>
      <c r="AB181" s="31"/>
      <c r="AC181" s="31"/>
      <c r="AD181" s="31"/>
      <c r="AE181" s="31"/>
      <c r="AF181" s="83"/>
      <c r="AG181" s="42"/>
      <c r="AH181" s="42"/>
      <c r="AI181" s="42"/>
      <c r="AJ181" s="43"/>
      <c r="AK181" s="42"/>
      <c r="AL181" s="42"/>
      <c r="AM181" s="30"/>
      <c r="AN181" s="16"/>
    </row>
    <row r="182" spans="2:40" ht="18" customHeight="1">
      <c r="B182" s="31"/>
      <c r="C182" s="31"/>
      <c r="D182" s="31"/>
      <c r="E182" s="37"/>
      <c r="F182" s="40"/>
      <c r="T182" s="31"/>
      <c r="U182" s="31"/>
      <c r="V182" s="31"/>
      <c r="W182" s="31"/>
      <c r="X182" s="31"/>
      <c r="AF182" s="33"/>
      <c r="AG182" s="14"/>
      <c r="AH182" s="16"/>
      <c r="AI182" s="16"/>
      <c r="AJ182" s="15"/>
      <c r="AK182" s="16"/>
      <c r="AL182" s="16"/>
      <c r="AM182" s="30"/>
      <c r="AN182" s="16"/>
    </row>
    <row r="183" spans="5:40" ht="18" customHeight="1">
      <c r="E183" s="18"/>
      <c r="F183" s="48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AF183" s="33"/>
      <c r="AG183" s="14"/>
      <c r="AH183" s="14"/>
      <c r="AI183" s="16"/>
      <c r="AJ183" s="15"/>
      <c r="AK183" s="16"/>
      <c r="AL183" s="16"/>
      <c r="AM183" s="30"/>
      <c r="AN183" s="16"/>
    </row>
    <row r="184" spans="2:40" ht="18" customHeight="1">
      <c r="B184" s="31"/>
      <c r="C184" s="31"/>
      <c r="D184" s="31"/>
      <c r="E184" s="37"/>
      <c r="F184" s="40"/>
      <c r="AA184" s="122"/>
      <c r="AF184" s="33"/>
      <c r="AG184" s="14"/>
      <c r="AH184" s="14"/>
      <c r="AI184" s="16"/>
      <c r="AJ184" s="15"/>
      <c r="AK184" s="16"/>
      <c r="AL184" s="16"/>
      <c r="AM184" s="30"/>
      <c r="AN184" s="16"/>
    </row>
    <row r="185" spans="5:40" ht="18" customHeight="1">
      <c r="E185" s="18"/>
      <c r="F185" s="48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AF185" s="33"/>
      <c r="AG185" s="14"/>
      <c r="AH185" s="14"/>
      <c r="AI185" s="16"/>
      <c r="AJ185" s="15"/>
      <c r="AK185" s="16"/>
      <c r="AL185" s="16"/>
      <c r="AM185" s="30"/>
      <c r="AN185" s="16"/>
    </row>
    <row r="186" spans="2:40" ht="18" customHeight="1">
      <c r="B186" s="31"/>
      <c r="C186" s="31"/>
      <c r="D186" s="31"/>
      <c r="E186" s="37"/>
      <c r="F186" s="40"/>
      <c r="Y186" s="31"/>
      <c r="Z186" s="31"/>
      <c r="AA186" s="31"/>
      <c r="AB186" s="31"/>
      <c r="AC186" s="31"/>
      <c r="AD186" s="31"/>
      <c r="AE186" s="31"/>
      <c r="AF186" s="83"/>
      <c r="AG186" s="110"/>
      <c r="AH186" s="110"/>
      <c r="AI186" s="42"/>
      <c r="AJ186" s="43"/>
      <c r="AK186" s="42"/>
      <c r="AL186" s="42"/>
      <c r="AM186" s="30"/>
      <c r="AN186" s="16"/>
    </row>
    <row r="187" spans="5:40" ht="18" customHeight="1">
      <c r="E187" s="18"/>
      <c r="F187" s="48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AF187" s="33"/>
      <c r="AG187" s="14"/>
      <c r="AH187" s="14"/>
      <c r="AI187" s="16"/>
      <c r="AJ187" s="15"/>
      <c r="AK187" s="16"/>
      <c r="AL187" s="16"/>
      <c r="AM187" s="30"/>
      <c r="AN187" s="16"/>
    </row>
    <row r="188" spans="2:40" ht="18" customHeight="1">
      <c r="B188" s="31"/>
      <c r="C188" s="31"/>
      <c r="D188" s="31"/>
      <c r="E188" s="37"/>
      <c r="F188" s="40"/>
      <c r="Y188" s="31"/>
      <c r="Z188" s="31"/>
      <c r="AA188" s="31"/>
      <c r="AB188" s="31"/>
      <c r="AC188" s="31"/>
      <c r="AD188" s="31"/>
      <c r="AE188" s="31"/>
      <c r="AF188" s="83"/>
      <c r="AG188" s="110"/>
      <c r="AH188" s="110"/>
      <c r="AI188" s="42"/>
      <c r="AJ188" s="43"/>
      <c r="AK188" s="42"/>
      <c r="AL188" s="42"/>
      <c r="AM188" s="30"/>
      <c r="AN188" s="16"/>
    </row>
    <row r="189" spans="1:40" s="31" customFormat="1" ht="18" customHeight="1">
      <c r="A189" s="123"/>
      <c r="B189" s="9"/>
      <c r="C189" s="9"/>
      <c r="D189" s="9"/>
      <c r="E189" s="18"/>
      <c r="F189" s="48"/>
      <c r="AF189" s="83"/>
      <c r="AG189" s="110"/>
      <c r="AH189" s="110"/>
      <c r="AI189" s="42"/>
      <c r="AJ189" s="42"/>
      <c r="AK189" s="42"/>
      <c r="AL189" s="42"/>
      <c r="AM189" s="42"/>
      <c r="AN189" s="42"/>
    </row>
    <row r="190" spans="2:34" ht="18" customHeight="1">
      <c r="B190" s="31"/>
      <c r="C190" s="31"/>
      <c r="D190" s="31"/>
      <c r="E190" s="37"/>
      <c r="F190" s="40"/>
      <c r="AF190" s="33"/>
      <c r="AG190" s="14"/>
      <c r="AH190" s="14"/>
    </row>
    <row r="191" spans="5:34" ht="18" customHeight="1">
      <c r="E191" s="18"/>
      <c r="F191" s="48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AF191" s="33"/>
      <c r="AG191" s="14"/>
      <c r="AH191" s="14"/>
    </row>
    <row r="192" spans="1:34" s="31" customFormat="1" ht="18" customHeight="1">
      <c r="A192" s="123"/>
      <c r="E192" s="37"/>
      <c r="F192" s="40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AF192" s="83"/>
      <c r="AG192" s="110"/>
      <c r="AH192" s="110"/>
    </row>
    <row r="193" spans="5:34" ht="18" customHeight="1">
      <c r="E193" s="18"/>
      <c r="F193" s="48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AE193" s="16"/>
      <c r="AF193" s="33"/>
      <c r="AG193" s="14"/>
      <c r="AH193" s="14"/>
    </row>
    <row r="194" spans="1:34" s="31" customFormat="1" ht="18" customHeight="1">
      <c r="A194" s="123"/>
      <c r="E194" s="37"/>
      <c r="F194" s="40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AE194" s="121"/>
      <c r="AF194" s="83"/>
      <c r="AG194" s="110"/>
      <c r="AH194" s="110"/>
    </row>
    <row r="195" spans="1:34" s="31" customFormat="1" ht="18" customHeight="1">
      <c r="A195" s="123"/>
      <c r="B195" s="9"/>
      <c r="C195" s="9"/>
      <c r="D195" s="9"/>
      <c r="E195" s="18"/>
      <c r="F195" s="48"/>
      <c r="Y195" s="9"/>
      <c r="Z195" s="9"/>
      <c r="AA195" s="9"/>
      <c r="AB195" s="9"/>
      <c r="AC195" s="9"/>
      <c r="AD195" s="9"/>
      <c r="AE195" s="120"/>
      <c r="AF195" s="83"/>
      <c r="AG195" s="110"/>
      <c r="AH195" s="110"/>
    </row>
    <row r="196" spans="2:34" ht="18" customHeight="1">
      <c r="B196" s="31"/>
      <c r="C196" s="31"/>
      <c r="D196" s="31"/>
      <c r="E196" s="37"/>
      <c r="F196" s="40"/>
      <c r="AE196" s="33"/>
      <c r="AF196" s="33"/>
      <c r="AG196" s="14"/>
      <c r="AH196" s="14"/>
    </row>
    <row r="197" spans="1:34" s="31" customFormat="1" ht="18" customHeight="1">
      <c r="A197" s="123"/>
      <c r="B197" s="9"/>
      <c r="C197" s="9"/>
      <c r="D197" s="9"/>
      <c r="E197" s="18"/>
      <c r="F197" s="48"/>
      <c r="AE197" s="83"/>
      <c r="AF197" s="83"/>
      <c r="AG197" s="110"/>
      <c r="AH197" s="110"/>
    </row>
    <row r="198" spans="1:34" ht="18" customHeight="1">
      <c r="A198" s="123" t="s">
        <v>364</v>
      </c>
      <c r="B198" s="79"/>
      <c r="C198" s="27"/>
      <c r="D198" s="35"/>
      <c r="E198" s="31"/>
      <c r="F198" s="31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AE198" s="33"/>
      <c r="AF198" s="16"/>
      <c r="AG198" s="14"/>
      <c r="AH198" s="14"/>
    </row>
    <row r="199" spans="1:34" s="31" customFormat="1" ht="18" customHeight="1">
      <c r="A199" s="123" t="s">
        <v>365</v>
      </c>
      <c r="C199" s="49"/>
      <c r="D199" s="122"/>
      <c r="E199" s="9"/>
      <c r="F199" s="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AE199" s="83"/>
      <c r="AG199" s="110"/>
      <c r="AH199" s="110"/>
    </row>
    <row r="200" spans="2:34" ht="18" customHeight="1">
      <c r="B200" s="1" t="s">
        <v>102</v>
      </c>
      <c r="C200" s="27" t="s">
        <v>103</v>
      </c>
      <c r="D200" s="205">
        <f>B</f>
        <v>1.4</v>
      </c>
      <c r="E200" s="31" t="s">
        <v>101</v>
      </c>
      <c r="F200" s="1" t="s">
        <v>91</v>
      </c>
      <c r="G200" s="49" t="s">
        <v>104</v>
      </c>
      <c r="H200" s="127">
        <f>e</f>
        <v>0.06</v>
      </c>
      <c r="I200" s="122" t="s">
        <v>202</v>
      </c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45"/>
      <c r="U200" s="45"/>
      <c r="V200" s="45"/>
      <c r="W200" s="45"/>
      <c r="X200" s="45"/>
      <c r="AE200" s="33"/>
      <c r="AG200" s="14"/>
      <c r="AH200" s="14"/>
    </row>
    <row r="201" spans="1:34" s="31" customFormat="1" ht="18" customHeight="1">
      <c r="A201" s="123"/>
      <c r="B201" s="9"/>
      <c r="C201" s="79"/>
      <c r="D201" s="127"/>
      <c r="E201" s="9"/>
      <c r="F201" s="9"/>
      <c r="G201" s="9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79"/>
      <c r="U201" s="79"/>
      <c r="V201" s="79"/>
      <c r="W201" s="79"/>
      <c r="X201" s="79"/>
      <c r="Y201" s="45"/>
      <c r="Z201" s="45"/>
      <c r="AA201" s="45"/>
      <c r="AB201" s="35"/>
      <c r="AE201" s="83"/>
      <c r="AG201" s="110"/>
      <c r="AH201" s="110"/>
    </row>
    <row r="202" spans="2:34" ht="18" customHeight="1">
      <c r="B202" s="1" t="s">
        <v>105</v>
      </c>
      <c r="C202" s="31"/>
      <c r="D202" s="205">
        <f>ROUND(B/ABS(2*H200),2)</f>
        <v>11.67</v>
      </c>
      <c r="E202" s="124" t="str">
        <f>IF(D202&gt;F202,"&gt;","&lt;")</f>
        <v>&gt;</v>
      </c>
      <c r="F202" s="48">
        <v>3</v>
      </c>
      <c r="G202" s="31"/>
      <c r="H202" s="124" t="str">
        <f>IF(D202&gt;F202,"SAFE","OUT")</f>
        <v>SAFE</v>
      </c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2"/>
      <c r="U202" s="122"/>
      <c r="V202" s="122"/>
      <c r="W202" s="122"/>
      <c r="X202" s="122"/>
      <c r="Y202" s="79"/>
      <c r="Z202" s="79"/>
      <c r="AA202" s="79"/>
      <c r="AB202" s="122"/>
      <c r="AE202" s="33"/>
      <c r="AG202" s="14"/>
      <c r="AH202" s="14"/>
    </row>
    <row r="203" spans="1:34" s="31" customFormat="1" ht="18" customHeight="1">
      <c r="A203" s="123"/>
      <c r="D203" s="205"/>
      <c r="E203" s="124"/>
      <c r="F203" s="48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27"/>
      <c r="U203" s="27"/>
      <c r="V203" s="27"/>
      <c r="W203" s="27"/>
      <c r="X203" s="27"/>
      <c r="Y203" s="35"/>
      <c r="Z203" s="35"/>
      <c r="AA203" s="45"/>
      <c r="AE203" s="83"/>
      <c r="AG203" s="42"/>
      <c r="AH203" s="110"/>
    </row>
    <row r="204" spans="1:34" s="31" customFormat="1" ht="18" customHeight="1">
      <c r="A204" s="123" t="s">
        <v>366</v>
      </c>
      <c r="B204" s="49"/>
      <c r="C204" s="9"/>
      <c r="D204" s="12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24"/>
      <c r="U204" s="124"/>
      <c r="V204" s="124"/>
      <c r="W204" s="124"/>
      <c r="X204" s="124"/>
      <c r="Y204" s="27"/>
      <c r="Z204" s="27"/>
      <c r="AA204" s="27"/>
      <c r="AB204" s="35"/>
      <c r="AE204" s="83"/>
      <c r="AH204" s="42"/>
    </row>
    <row r="205" spans="2:31" ht="18" customHeight="1">
      <c r="B205" s="2" t="s">
        <v>106</v>
      </c>
      <c r="C205" s="2" t="s">
        <v>129</v>
      </c>
      <c r="D205" s="202">
        <f>C161</f>
        <v>52.8</v>
      </c>
      <c r="E205" s="9" t="s">
        <v>107</v>
      </c>
      <c r="T205" s="124"/>
      <c r="U205" s="124"/>
      <c r="V205" s="124"/>
      <c r="W205" s="124"/>
      <c r="X205" s="124"/>
      <c r="Y205" s="127"/>
      <c r="Z205" s="127"/>
      <c r="AA205" s="127"/>
      <c r="AE205" s="33"/>
    </row>
    <row r="206" spans="1:31" s="31" customFormat="1" ht="18" customHeight="1">
      <c r="A206" s="123"/>
      <c r="B206" s="2" t="s">
        <v>108</v>
      </c>
      <c r="C206" s="2" t="s">
        <v>130</v>
      </c>
      <c r="D206" s="202">
        <f>D161</f>
        <v>16.6</v>
      </c>
      <c r="E206" s="9" t="s">
        <v>109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24"/>
      <c r="Z206" s="124"/>
      <c r="AA206" s="124"/>
      <c r="AE206" s="83"/>
    </row>
    <row r="207" spans="2:31" ht="18" customHeight="1">
      <c r="B207" s="2" t="s">
        <v>110</v>
      </c>
      <c r="C207" s="2" t="s">
        <v>131</v>
      </c>
      <c r="D207" s="127">
        <f>μ</f>
        <v>0.6</v>
      </c>
      <c r="AE207" s="33"/>
    </row>
    <row r="208" spans="1:31" s="31" customFormat="1" ht="18" customHeight="1">
      <c r="A208" s="123"/>
      <c r="B208" s="2" t="s">
        <v>339</v>
      </c>
      <c r="C208" s="79"/>
      <c r="D208" s="12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AE208" s="83"/>
    </row>
    <row r="209" spans="2:31" ht="18" customHeight="1">
      <c r="B209" s="79"/>
      <c r="C209" s="34" t="s">
        <v>132</v>
      </c>
      <c r="D209" s="203">
        <f>Df</f>
        <v>0.5</v>
      </c>
      <c r="E209" s="42" t="s">
        <v>111</v>
      </c>
      <c r="F209" s="7" t="s">
        <v>133</v>
      </c>
      <c r="G209" s="203">
        <f>γs</f>
        <v>20</v>
      </c>
      <c r="H209" s="42" t="s">
        <v>134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AE209" s="33"/>
    </row>
    <row r="210" spans="1:31" s="31" customFormat="1" ht="18" customHeight="1">
      <c r="A210" s="123"/>
      <c r="B210" s="45"/>
      <c r="C210" s="7" t="s">
        <v>135</v>
      </c>
      <c r="D210" s="203">
        <f>Fai</f>
        <v>35</v>
      </c>
      <c r="E210" s="57" t="s">
        <v>270</v>
      </c>
      <c r="F210" s="84" t="s">
        <v>136</v>
      </c>
      <c r="G210" s="204">
        <v>0</v>
      </c>
      <c r="H210" s="21" t="s">
        <v>137</v>
      </c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9"/>
      <c r="U210" s="9"/>
      <c r="V210" s="9"/>
      <c r="W210" s="9"/>
      <c r="X210" s="9"/>
      <c r="AE210" s="83"/>
    </row>
    <row r="211" spans="2:31" ht="18" customHeight="1">
      <c r="B211" s="79"/>
      <c r="T211" s="42"/>
      <c r="U211" s="42"/>
      <c r="V211" s="42"/>
      <c r="W211" s="42"/>
      <c r="X211" s="42"/>
      <c r="AE211" s="33"/>
    </row>
    <row r="212" spans="1:32" s="31" customFormat="1" ht="18" customHeight="1">
      <c r="A212" s="123"/>
      <c r="B212" s="79"/>
      <c r="C212" s="9"/>
      <c r="D212" s="79" t="str">
        <f>"="</f>
        <v>=</v>
      </c>
      <c r="E212" s="40">
        <f>(TAN(PI()/4+D210*PI()/180/2))^2</f>
        <v>3.690172332142666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21"/>
      <c r="U212" s="21"/>
      <c r="V212" s="21"/>
      <c r="W212" s="21"/>
      <c r="X212" s="21"/>
      <c r="Y212" s="42"/>
      <c r="Z212" s="42"/>
      <c r="AA212" s="42"/>
      <c r="AE212" s="83"/>
      <c r="AF212" s="42"/>
    </row>
    <row r="213" spans="2:32" ht="18" customHeight="1">
      <c r="B213" s="79"/>
      <c r="C213" s="79"/>
      <c r="Y213" s="21"/>
      <c r="Z213" s="21"/>
      <c r="AA213" s="21"/>
      <c r="AE213" s="33"/>
      <c r="AF213" s="16"/>
    </row>
    <row r="214" spans="1:32" s="31" customFormat="1" ht="18" customHeight="1">
      <c r="A214" s="123"/>
      <c r="B214" s="79"/>
      <c r="C214" s="79"/>
      <c r="D214" s="9"/>
      <c r="E214" s="79" t="str">
        <f>"="</f>
        <v>=</v>
      </c>
      <c r="F214" s="138">
        <f>0.5*G209*Df^2*E212+2*G210*D209*(E212)^0.5</f>
        <v>9.225430830356665</v>
      </c>
      <c r="G214" s="9" t="s">
        <v>98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AE214" s="83"/>
      <c r="AF214" s="42"/>
    </row>
    <row r="215" spans="2:32" ht="18" customHeight="1">
      <c r="B215" s="79"/>
      <c r="C215" s="79"/>
      <c r="AE215" s="33"/>
      <c r="AF215" s="16"/>
    </row>
    <row r="216" spans="1:32" s="31" customFormat="1" ht="18" customHeight="1">
      <c r="A216" s="123"/>
      <c r="B216" s="27"/>
      <c r="T216" s="9"/>
      <c r="U216" s="9"/>
      <c r="V216" s="9"/>
      <c r="W216" s="9"/>
      <c r="X216" s="9"/>
      <c r="AE216" s="83"/>
      <c r="AF216" s="42"/>
    </row>
    <row r="217" spans="2:32" ht="18" customHeight="1">
      <c r="B217" s="1" t="s">
        <v>112</v>
      </c>
      <c r="C217" s="31"/>
      <c r="D217" s="31"/>
      <c r="E217" s="124">
        <f>ROUND((D205*μ+F214*0.5)/D206,2)</f>
        <v>2.19</v>
      </c>
      <c r="F217" s="124" t="str">
        <f>IF(E217&gt;G217,"&gt;","&lt;")</f>
        <v>&gt;</v>
      </c>
      <c r="G217" s="205">
        <v>1.5</v>
      </c>
      <c r="H217" s="124" t="str">
        <f>IF(E217&gt;G217,"SAFE","OUT")</f>
        <v>SAFE</v>
      </c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AE217" s="16"/>
      <c r="AF217" s="16"/>
    </row>
    <row r="218" spans="1:32" s="31" customFormat="1" ht="18" customHeight="1">
      <c r="A218" s="123"/>
      <c r="C218" s="49"/>
      <c r="D218" s="9"/>
      <c r="E218" s="127"/>
      <c r="F218" s="9"/>
      <c r="G218" s="127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AE218" s="42"/>
      <c r="AF218" s="42"/>
    </row>
    <row r="219" spans="1:32" ht="18" customHeight="1">
      <c r="A219" s="123" t="s">
        <v>367</v>
      </c>
      <c r="B219" s="125"/>
      <c r="C219" s="27"/>
      <c r="D219" s="31"/>
      <c r="E219" s="124"/>
      <c r="F219" s="31"/>
      <c r="G219" s="124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124"/>
      <c r="U219" s="124"/>
      <c r="V219" s="124"/>
      <c r="W219" s="124"/>
      <c r="X219" s="124"/>
      <c r="AE219" s="16"/>
      <c r="AF219" s="16"/>
    </row>
    <row r="220" spans="1:32" s="31" customFormat="1" ht="18" customHeight="1">
      <c r="A220" s="123"/>
      <c r="B220" s="126" t="s">
        <v>113</v>
      </c>
      <c r="C220" s="49"/>
      <c r="D220" s="49" t="s">
        <v>138</v>
      </c>
      <c r="E220" s="96">
        <f>qd</f>
        <v>900</v>
      </c>
      <c r="F220" s="9" t="s">
        <v>116</v>
      </c>
      <c r="G220" s="127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24"/>
      <c r="Z220" s="124"/>
      <c r="AA220" s="124"/>
      <c r="AE220" s="42"/>
      <c r="AF220" s="42"/>
    </row>
    <row r="221" spans="2:32" ht="18" customHeight="1">
      <c r="B221" s="126" t="s">
        <v>272</v>
      </c>
      <c r="C221" s="27"/>
      <c r="D221" s="27" t="s">
        <v>345</v>
      </c>
      <c r="E221" s="157">
        <f>E169</f>
        <v>47.412244897959184</v>
      </c>
      <c r="F221" s="31" t="s">
        <v>115</v>
      </c>
      <c r="G221" s="124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AF221" s="16"/>
    </row>
    <row r="222" spans="1:32" s="31" customFormat="1" ht="18" customHeight="1">
      <c r="A222" s="123"/>
      <c r="C222" s="49"/>
      <c r="D222" s="9"/>
      <c r="E222" s="127"/>
      <c r="F222" s="9"/>
      <c r="G222" s="127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AF222" s="42"/>
    </row>
    <row r="223" spans="3:32" ht="18" customHeight="1">
      <c r="C223" s="1" t="s">
        <v>114</v>
      </c>
      <c r="D223" s="31"/>
      <c r="E223" s="124">
        <f>ROUND(qd/E169,2)</f>
        <v>18.98</v>
      </c>
      <c r="F223" s="124" t="str">
        <f>IF(E223&gt;G223,"&gt;","&lt;")</f>
        <v>&gt;</v>
      </c>
      <c r="G223" s="205">
        <v>3</v>
      </c>
      <c r="H223" s="124" t="str">
        <f>IF(E223&gt;G223,"SAFE","OUT")</f>
        <v>SAFE</v>
      </c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31"/>
      <c r="U223" s="31"/>
      <c r="V223" s="31"/>
      <c r="W223" s="31"/>
      <c r="X223" s="31"/>
      <c r="AF223" s="16"/>
    </row>
    <row r="224" spans="1:32" s="31" customFormat="1" ht="18" customHeight="1">
      <c r="A224" s="12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AF224" s="42"/>
    </row>
    <row r="225" spans="1:32" ht="18" customHeight="1">
      <c r="A225" s="123" t="s">
        <v>368</v>
      </c>
      <c r="B225" s="87"/>
      <c r="T225" s="124"/>
      <c r="U225" s="124"/>
      <c r="V225" s="124"/>
      <c r="W225" s="124"/>
      <c r="X225" s="124"/>
      <c r="AF225" s="16"/>
    </row>
    <row r="226" spans="1:32" ht="18" customHeight="1">
      <c r="A226" s="85" t="s">
        <v>369</v>
      </c>
      <c r="B226" s="11"/>
      <c r="F226" s="12"/>
      <c r="Y226" s="127"/>
      <c r="Z226" s="127"/>
      <c r="AA226" s="127"/>
      <c r="AF226" s="16"/>
    </row>
    <row r="227" spans="1:32" s="31" customFormat="1" ht="18" customHeight="1">
      <c r="A227" s="12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AB227" s="124"/>
      <c r="AF227" s="42"/>
    </row>
    <row r="228" spans="1:32" s="31" customFormat="1" ht="18" customHeight="1">
      <c r="A228" s="12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AF228" s="42"/>
    </row>
    <row r="229" spans="1:24" s="31" customFormat="1" ht="18" customHeight="1">
      <c r="A229" s="12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5" spans="1:24" s="31" customFormat="1" ht="18" customHeight="1">
      <c r="A235" s="12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2:19" ht="18" customHeight="1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2:19" ht="18" customHeight="1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2:24" ht="18" customHeight="1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</row>
    <row r="239" spans="20:24" ht="18" customHeight="1">
      <c r="T239" s="31"/>
      <c r="U239" s="31"/>
      <c r="V239" s="31"/>
      <c r="W239" s="31"/>
      <c r="X239" s="31"/>
    </row>
    <row r="240" spans="2:24" ht="18" customHeight="1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</row>
    <row r="241" spans="2:17" ht="18" customHeight="1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9" s="31" customFormat="1" ht="18" customHeight="1">
      <c r="A242" s="123"/>
      <c r="R242" s="17"/>
      <c r="S242" s="17"/>
    </row>
    <row r="243" spans="1:24" s="31" customFormat="1" ht="18" customHeight="1">
      <c r="A243" s="123"/>
      <c r="R243" s="21"/>
      <c r="S243" s="21"/>
      <c r="T243" s="9"/>
      <c r="U243" s="9"/>
      <c r="V243" s="9"/>
      <c r="W243" s="9"/>
      <c r="X243" s="9"/>
    </row>
    <row r="244" spans="2:24" ht="18" customHeight="1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17"/>
      <c r="S244" s="17"/>
      <c r="T244" s="17"/>
      <c r="U244" s="17"/>
      <c r="V244" s="17"/>
      <c r="W244" s="17"/>
      <c r="X244" s="17"/>
    </row>
    <row r="245" spans="1:24" s="31" customFormat="1" ht="18" customHeight="1">
      <c r="A245" s="123"/>
      <c r="R245" s="17"/>
      <c r="S245" s="17"/>
      <c r="T245" s="21"/>
      <c r="U245" s="21"/>
      <c r="V245" s="21"/>
      <c r="W245" s="21"/>
      <c r="X245" s="21"/>
    </row>
    <row r="246" spans="1:24" ht="18" customHeight="1">
      <c r="A246" s="199" t="s">
        <v>370</v>
      </c>
      <c r="B246" s="31"/>
      <c r="R246" s="17"/>
      <c r="S246" s="17"/>
      <c r="T246" s="17"/>
      <c r="U246" s="17"/>
      <c r="V246" s="17"/>
      <c r="W246" s="17"/>
      <c r="X246" s="17"/>
    </row>
    <row r="247" spans="1:24" s="31" customFormat="1" ht="18" customHeight="1">
      <c r="A247" s="166"/>
      <c r="B247" s="9"/>
      <c r="C247" s="196" t="s">
        <v>49</v>
      </c>
      <c r="D247" s="18" t="s">
        <v>50</v>
      </c>
      <c r="E247" s="203">
        <f>'入力'!E3</f>
        <v>4</v>
      </c>
      <c r="F247" s="21" t="s">
        <v>111</v>
      </c>
      <c r="G247" s="9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55">
        <f>'入力'!E5</f>
        <v>0.5</v>
      </c>
      <c r="U247" s="17"/>
      <c r="V247" s="17"/>
      <c r="W247" s="17"/>
      <c r="X247" s="17"/>
    </row>
    <row r="248" spans="1:24" s="31" customFormat="1" ht="18" customHeight="1">
      <c r="A248" s="199"/>
      <c r="C248" s="196" t="s">
        <v>51</v>
      </c>
      <c r="D248" s="18" t="s">
        <v>52</v>
      </c>
      <c r="E248" s="203">
        <f>'入力'!E4</f>
        <v>0.4</v>
      </c>
      <c r="F248" s="21" t="s">
        <v>111</v>
      </c>
      <c r="G248" s="9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17"/>
      <c r="S248" s="17"/>
      <c r="T248" s="200">
        <f>'入力'!E6</f>
        <v>0</v>
      </c>
      <c r="U248" s="17"/>
      <c r="V248" s="17"/>
      <c r="W248" s="17"/>
      <c r="X248" s="17"/>
    </row>
    <row r="249" spans="1:24" ht="18" customHeight="1">
      <c r="A249" s="199"/>
      <c r="C249" s="196" t="s">
        <v>54</v>
      </c>
      <c r="D249" s="18" t="s">
        <v>55</v>
      </c>
      <c r="E249" s="203">
        <f>'入力'!E4+('入力'!E5+'入力'!E6)*'入力'!E3</f>
        <v>2.4</v>
      </c>
      <c r="F249" s="21" t="s">
        <v>111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21" t="str">
        <f>D247&amp;Hl&amp;F247</f>
        <v>H=4m</v>
      </c>
      <c r="S249" s="21"/>
      <c r="T249" s="17"/>
      <c r="U249" s="17"/>
      <c r="V249" s="17"/>
      <c r="W249" s="17"/>
      <c r="X249" s="17"/>
    </row>
    <row r="250" spans="1:24" s="31" customFormat="1" ht="18" customHeight="1">
      <c r="A250" s="199"/>
      <c r="B250" s="9"/>
      <c r="C250" s="196" t="s">
        <v>340</v>
      </c>
      <c r="D250" s="24" t="s">
        <v>342</v>
      </c>
      <c r="E250" s="124" t="str">
        <f>"1: "&amp;T247</f>
        <v>1: 0.5</v>
      </c>
      <c r="F250" s="17"/>
      <c r="G250" s="9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21" t="str">
        <f>D248&amp;bol&amp;F248</f>
        <v>b=0.4m</v>
      </c>
      <c r="S250" s="21"/>
      <c r="T250" s="17"/>
      <c r="U250" s="17"/>
      <c r="V250" s="17"/>
      <c r="W250" s="17"/>
      <c r="X250" s="17"/>
    </row>
    <row r="251" spans="1:24" ht="18" customHeight="1">
      <c r="A251" s="199"/>
      <c r="C251" s="198" t="s">
        <v>341</v>
      </c>
      <c r="D251" s="24" t="s">
        <v>343</v>
      </c>
      <c r="E251" s="124" t="str">
        <f>"1: "&amp;T248</f>
        <v>1: 0</v>
      </c>
      <c r="F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21" t="str">
        <f>D249&amp;Bl&amp;F249</f>
        <v>B=2.4m</v>
      </c>
      <c r="S251" s="21"/>
      <c r="T251" s="21"/>
      <c r="U251" s="21"/>
      <c r="V251" s="21"/>
      <c r="W251" s="21"/>
      <c r="X251" s="21"/>
    </row>
    <row r="252" spans="1:24" ht="18" customHeight="1">
      <c r="A252" s="199" t="s">
        <v>371</v>
      </c>
      <c r="C252" s="21"/>
      <c r="D252" s="27"/>
      <c r="E252" s="77"/>
      <c r="F252" s="21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21" t="str">
        <f>E250</f>
        <v>1: 0.5</v>
      </c>
      <c r="S252" s="21"/>
      <c r="T252" s="21"/>
      <c r="U252" s="21"/>
      <c r="V252" s="21"/>
      <c r="W252" s="21"/>
      <c r="X252" s="21"/>
    </row>
    <row r="253" spans="1:28" ht="18" customHeight="1">
      <c r="A253" s="166"/>
      <c r="C253" s="196" t="s">
        <v>56</v>
      </c>
      <c r="D253" s="18" t="s">
        <v>57</v>
      </c>
      <c r="E253" s="203">
        <v>0</v>
      </c>
      <c r="F253" s="21" t="s">
        <v>111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21" t="str">
        <f>E251</f>
        <v>1: 0</v>
      </c>
      <c r="S253" s="21"/>
      <c r="T253" s="21"/>
      <c r="U253" s="21"/>
      <c r="V253" s="21"/>
      <c r="W253" s="21"/>
      <c r="X253" s="21"/>
      <c r="Y253" s="17"/>
      <c r="Z253" s="17"/>
      <c r="AA253" s="17"/>
      <c r="AB253" s="19"/>
    </row>
    <row r="254" spans="1:28" ht="18" customHeight="1">
      <c r="A254" s="199"/>
      <c r="C254" s="196" t="s">
        <v>58</v>
      </c>
      <c r="D254" s="2" t="s">
        <v>59</v>
      </c>
      <c r="E254" s="204">
        <v>0</v>
      </c>
      <c r="F254" s="165" t="s">
        <v>337</v>
      </c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</row>
    <row r="255" spans="1:28" ht="18" customHeight="1">
      <c r="A255" s="199"/>
      <c r="C255" s="196" t="s">
        <v>60</v>
      </c>
      <c r="D255" s="2" t="s">
        <v>61</v>
      </c>
      <c r="E255" s="204">
        <f>'入力'!D13</f>
        <v>20</v>
      </c>
      <c r="F255" s="21" t="s">
        <v>296</v>
      </c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 t="str">
        <f>D253&amp;E253&amp;F253</f>
        <v>H0=0m</v>
      </c>
      <c r="S255" s="17"/>
      <c r="T255" s="21"/>
      <c r="U255" s="21"/>
      <c r="V255" s="21"/>
      <c r="W255" s="21"/>
      <c r="X255" s="21"/>
      <c r="Y255" s="17"/>
      <c r="Z255" s="17"/>
      <c r="AA255" s="17"/>
      <c r="AB255" s="17"/>
    </row>
    <row r="256" spans="1:28" ht="18" customHeight="1">
      <c r="A256" s="199"/>
      <c r="C256" s="196" t="s">
        <v>62</v>
      </c>
      <c r="D256" s="2" t="s">
        <v>63</v>
      </c>
      <c r="E256" s="204">
        <f>'入力'!D14</f>
        <v>35</v>
      </c>
      <c r="F256" s="6" t="s">
        <v>238</v>
      </c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17"/>
      <c r="S256" s="17"/>
      <c r="T256" s="21"/>
      <c r="U256" s="21"/>
      <c r="V256" s="21"/>
      <c r="W256" s="21"/>
      <c r="X256" s="21"/>
      <c r="Y256" s="17"/>
      <c r="Z256" s="17"/>
      <c r="AA256" s="17"/>
      <c r="AB256" s="17"/>
    </row>
    <row r="257" spans="1:28" ht="18" customHeight="1">
      <c r="A257" s="199"/>
      <c r="C257" s="197" t="s">
        <v>64</v>
      </c>
      <c r="D257" s="27" t="s">
        <v>65</v>
      </c>
      <c r="E257" s="203">
        <v>0</v>
      </c>
      <c r="F257" s="21" t="s">
        <v>297</v>
      </c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8" customHeight="1">
      <c r="A258" s="165" t="s">
        <v>355</v>
      </c>
      <c r="C258" s="21"/>
      <c r="D258" s="18" t="s">
        <v>66</v>
      </c>
      <c r="E258" s="203">
        <f>'入力'!E8</f>
        <v>0</v>
      </c>
      <c r="F258" s="21" t="s">
        <v>265</v>
      </c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8" customHeight="1">
      <c r="A259" s="165" t="s">
        <v>356</v>
      </c>
      <c r="C259" s="17"/>
      <c r="D259" s="18" t="s">
        <v>67</v>
      </c>
      <c r="E259" s="203">
        <v>0</v>
      </c>
      <c r="F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17"/>
      <c r="S259" s="17"/>
      <c r="T259" s="17"/>
      <c r="U259" s="17"/>
      <c r="V259" s="17"/>
      <c r="W259" s="17"/>
      <c r="X259" s="17"/>
      <c r="Y259" s="21"/>
      <c r="Z259" s="21"/>
      <c r="AA259" s="21"/>
      <c r="AB259" s="19"/>
    </row>
    <row r="260" spans="1:28" ht="18" customHeight="1">
      <c r="A260" s="166" t="s">
        <v>372</v>
      </c>
      <c r="C260" s="21"/>
      <c r="D260" s="27"/>
      <c r="E260" s="203"/>
      <c r="F260" s="21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21" t="str">
        <f>D258&amp;E258&amp;F258</f>
        <v>q=0kN/m2</v>
      </c>
      <c r="S260" s="17"/>
      <c r="T260" s="17"/>
      <c r="U260" s="17"/>
      <c r="V260" s="17"/>
      <c r="W260" s="17"/>
      <c r="X260" s="17"/>
      <c r="Y260" s="21"/>
      <c r="Z260" s="21"/>
      <c r="AA260" s="21"/>
      <c r="AB260" s="19"/>
    </row>
    <row r="261" spans="1:28" ht="18" customHeight="1">
      <c r="A261" s="166"/>
      <c r="C261" s="2" t="s">
        <v>93</v>
      </c>
      <c r="D261" s="2" t="s">
        <v>68</v>
      </c>
      <c r="E261" s="204">
        <f>'入力'!D16</f>
        <v>0.6</v>
      </c>
      <c r="F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21"/>
      <c r="Z261" s="21"/>
      <c r="AA261" s="21"/>
      <c r="AB261" s="17"/>
    </row>
    <row r="262" spans="1:28" ht="18" customHeight="1">
      <c r="A262" s="166"/>
      <c r="C262" s="2" t="s">
        <v>266</v>
      </c>
      <c r="D262" s="18" t="s">
        <v>69</v>
      </c>
      <c r="E262" s="203">
        <f>'入力'!D15</f>
        <v>900</v>
      </c>
      <c r="F262" s="21" t="s">
        <v>120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21"/>
      <c r="Z262" s="21"/>
      <c r="AA262" s="21"/>
      <c r="AB262" s="17"/>
    </row>
    <row r="263" spans="1:28" ht="18" customHeight="1">
      <c r="A263" s="166" t="s">
        <v>373</v>
      </c>
      <c r="D263" s="18"/>
      <c r="E263" s="203"/>
      <c r="F263" s="21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T263" s="17"/>
      <c r="U263" s="17"/>
      <c r="V263" s="17"/>
      <c r="W263" s="17"/>
      <c r="X263" s="17"/>
      <c r="Y263" s="21"/>
      <c r="Z263" s="21"/>
      <c r="AA263" s="21"/>
      <c r="AB263" s="17"/>
    </row>
    <row r="264" spans="1:28" ht="18" customHeight="1">
      <c r="A264" s="166"/>
      <c r="C264" s="194" t="s">
        <v>90</v>
      </c>
      <c r="D264" s="34" t="s">
        <v>121</v>
      </c>
      <c r="E264" s="203">
        <f>'入力'!E7</f>
        <v>0</v>
      </c>
      <c r="F264" s="42" t="s">
        <v>94</v>
      </c>
      <c r="G264" s="31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T264" s="17"/>
      <c r="U264" s="17"/>
      <c r="V264" s="17"/>
      <c r="W264" s="17"/>
      <c r="X264" s="17"/>
      <c r="Y264" s="21"/>
      <c r="Z264" s="21"/>
      <c r="AA264" s="21"/>
      <c r="AB264" s="17"/>
    </row>
    <row r="265" spans="1:29" ht="18" customHeight="1">
      <c r="A265" s="166" t="s">
        <v>374</v>
      </c>
      <c r="E265" s="12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Y265" s="17"/>
      <c r="Z265" s="17"/>
      <c r="AA265" s="17"/>
      <c r="AB265" s="17"/>
      <c r="AC265" s="88"/>
    </row>
    <row r="266" spans="3:29" ht="18" customHeight="1">
      <c r="C266" s="2" t="s">
        <v>298</v>
      </c>
      <c r="D266" s="7" t="s">
        <v>122</v>
      </c>
      <c r="E266" s="204">
        <f>γc</f>
        <v>23</v>
      </c>
      <c r="F266" s="16" t="s">
        <v>117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21" t="str">
        <f>D264&amp;E264&amp;F264</f>
        <v>Df=0m</v>
      </c>
      <c r="S266" s="31"/>
      <c r="Y266" s="17"/>
      <c r="Z266" s="17"/>
      <c r="AA266" s="17"/>
      <c r="AB266" s="17"/>
      <c r="AC266" s="52"/>
    </row>
    <row r="267" spans="3:29" ht="18" customHeight="1">
      <c r="C267" s="79"/>
      <c r="D267" s="54"/>
      <c r="E267" s="55"/>
      <c r="F267" s="16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20"/>
      <c r="S267" s="20"/>
      <c r="Y267" s="17"/>
      <c r="Z267" s="17"/>
      <c r="AA267" s="17"/>
      <c r="AB267" s="17"/>
      <c r="AC267" s="76"/>
    </row>
    <row r="268" spans="1:29" ht="18" customHeight="1">
      <c r="A268" s="106" t="s">
        <v>375</v>
      </c>
      <c r="B268" s="16"/>
      <c r="C268" s="10"/>
      <c r="D268" s="16"/>
      <c r="E268" s="28"/>
      <c r="F268" s="16"/>
      <c r="R268" s="20"/>
      <c r="S268" s="20"/>
      <c r="T268" s="31"/>
      <c r="U268" s="31"/>
      <c r="V268" s="31"/>
      <c r="W268" s="31"/>
      <c r="X268" s="31"/>
      <c r="Y268" s="17"/>
      <c r="Z268" s="17"/>
      <c r="AA268" s="17"/>
      <c r="AB268" s="17"/>
      <c r="AC268" s="52"/>
    </row>
    <row r="269" spans="1:29" ht="18" customHeight="1">
      <c r="A269" s="106" t="s">
        <v>376</v>
      </c>
      <c r="B269" s="29"/>
      <c r="T269" s="20"/>
      <c r="U269" s="20"/>
      <c r="V269" s="20"/>
      <c r="W269" s="20"/>
      <c r="X269" s="20"/>
      <c r="Y269" s="17"/>
      <c r="Z269" s="17"/>
      <c r="AA269" s="17"/>
      <c r="AB269" s="17"/>
      <c r="AC269" s="53"/>
    </row>
    <row r="270" spans="2:28" ht="18" customHeight="1">
      <c r="B270" s="16"/>
      <c r="C270" s="59" t="s">
        <v>20</v>
      </c>
      <c r="D270" s="16"/>
      <c r="E270" s="58" t="str">
        <f>"="</f>
        <v>=</v>
      </c>
      <c r="F270" s="78">
        <f>ROUND(1/2*(E248+E249)*E247*γc,1)</f>
        <v>128.8</v>
      </c>
      <c r="G270" s="30" t="s">
        <v>95</v>
      </c>
      <c r="T270" s="20"/>
      <c r="U270" s="20"/>
      <c r="V270" s="20"/>
      <c r="W270" s="20"/>
      <c r="X270" s="20"/>
      <c r="Y270" s="17"/>
      <c r="Z270" s="17"/>
      <c r="AA270" s="17"/>
      <c r="AB270" s="17"/>
    </row>
    <row r="271" spans="2:28" ht="18" customHeight="1">
      <c r="B271" s="16"/>
      <c r="D271" s="18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Y271" s="17"/>
      <c r="Z271" s="17"/>
      <c r="AA271" s="17"/>
      <c r="AB271" s="17"/>
    </row>
    <row r="272" spans="2:17" ht="18" customHeight="1">
      <c r="B272" s="31"/>
      <c r="C272" s="7" t="s">
        <v>21</v>
      </c>
      <c r="D272" s="31"/>
      <c r="E272" s="31"/>
      <c r="F272" s="58" t="str">
        <f>"="</f>
        <v>=</v>
      </c>
      <c r="G272" s="201">
        <f>ROUND(E249/2+E247/6*(2*E248+E249)*(T247-'入力'!E6)/(E248+E249),2)</f>
        <v>1.58</v>
      </c>
      <c r="H272" s="20" t="s">
        <v>96</v>
      </c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3:30" ht="18" customHeight="1">
      <c r="C273" s="54"/>
      <c r="F273" s="58"/>
      <c r="G273" s="201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AD273" s="9">
        <f>(AE280-AE282)/TAN(AG402)</f>
        <v>2.103012166596462</v>
      </c>
    </row>
    <row r="274" spans="6:30" ht="18" customHeight="1">
      <c r="F274" s="58" t="str">
        <f>"="</f>
        <v>=</v>
      </c>
      <c r="G274" s="202">
        <f>E247/3*(2*E248+E249)/(E248+E249)</f>
        <v>1.523809523809524</v>
      </c>
      <c r="H274" s="9" t="s">
        <v>96</v>
      </c>
      <c r="AD274" s="9">
        <f>AE278+AE281</f>
        <v>4.4</v>
      </c>
    </row>
    <row r="275" ht="18" customHeight="1">
      <c r="AG275" s="40"/>
    </row>
    <row r="276" spans="1:29" ht="18" customHeight="1">
      <c r="A276" s="106" t="s">
        <v>377</v>
      </c>
      <c r="R276" s="31"/>
      <c r="S276" s="31"/>
      <c r="AC276" s="128"/>
    </row>
    <row r="277" spans="2:39" ht="18" customHeight="1">
      <c r="B277" s="1" t="s">
        <v>141</v>
      </c>
      <c r="R277" s="31"/>
      <c r="S277" s="31"/>
      <c r="Y277" s="20"/>
      <c r="Z277" s="20"/>
      <c r="AA277" s="20"/>
      <c r="AG277" s="9" t="s">
        <v>203</v>
      </c>
      <c r="AH277" s="9">
        <f>'入力'!D11</f>
        <v>0</v>
      </c>
      <c r="AI277" s="9" t="s">
        <v>96</v>
      </c>
      <c r="AJ277" s="1" t="s">
        <v>273</v>
      </c>
      <c r="AK277" s="9">
        <f>IF(AH278=0,PI()/2,ATAN(1/AH278))</f>
        <v>1.2793395323170296</v>
      </c>
      <c r="AL277" s="9" t="s">
        <v>204</v>
      </c>
      <c r="AM277" s="9">
        <f>AK277*180/PI()</f>
        <v>73.30075576600638</v>
      </c>
    </row>
    <row r="278" spans="1:34" s="31" customFormat="1" ht="18" customHeight="1">
      <c r="A278" s="12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Y278" s="9"/>
      <c r="Z278" s="9"/>
      <c r="AA278" s="9"/>
      <c r="AB278" s="9"/>
      <c r="AC278" s="9"/>
      <c r="AD278" s="1" t="s">
        <v>274</v>
      </c>
      <c r="AE278" s="9">
        <f>λ</f>
        <v>3</v>
      </c>
      <c r="AF278" s="9" t="s">
        <v>96</v>
      </c>
      <c r="AG278" s="129" t="s">
        <v>205</v>
      </c>
      <c r="AH278" s="31">
        <f>'入力'!D5</f>
        <v>0.3</v>
      </c>
    </row>
    <row r="279" spans="1:39" s="31" customFormat="1" ht="18" customHeight="1">
      <c r="A279" s="123"/>
      <c r="B279" s="27"/>
      <c r="C279" s="48"/>
      <c r="F279" s="49"/>
      <c r="G279" s="40"/>
      <c r="H279" s="9"/>
      <c r="I279" s="9"/>
      <c r="J279" s="9"/>
      <c r="K279" s="9"/>
      <c r="L279" s="9"/>
      <c r="M279" s="9"/>
      <c r="N279" s="9"/>
      <c r="O279" s="9"/>
      <c r="P279" s="9"/>
      <c r="Q279" s="9"/>
      <c r="AD279" s="152" t="s">
        <v>206</v>
      </c>
      <c r="AE279" s="9">
        <f>'入力'!D3</f>
        <v>2</v>
      </c>
      <c r="AF279" s="9" t="s">
        <v>96</v>
      </c>
      <c r="AG279" s="129" t="s">
        <v>207</v>
      </c>
      <c r="AH279" s="31">
        <f>'入力'!D6</f>
        <v>0.2</v>
      </c>
      <c r="AJ279" s="1" t="s">
        <v>140</v>
      </c>
      <c r="AK279" s="31" t="s">
        <v>208</v>
      </c>
      <c r="AL279" s="31">
        <f>qf</f>
        <v>47.412244897959184</v>
      </c>
      <c r="AM279" s="31" t="s">
        <v>209</v>
      </c>
    </row>
    <row r="280" spans="1:39" s="31" customFormat="1" ht="18" customHeight="1">
      <c r="A280" s="123"/>
      <c r="B280" s="27"/>
      <c r="C280" s="48"/>
      <c r="F280" s="49"/>
      <c r="G280" s="40"/>
      <c r="H280" s="9"/>
      <c r="I280" s="9"/>
      <c r="J280" s="9"/>
      <c r="K280" s="9"/>
      <c r="L280" s="9"/>
      <c r="M280" s="9"/>
      <c r="N280" s="9"/>
      <c r="O280" s="9"/>
      <c r="P280" s="9"/>
      <c r="Q280" s="9"/>
      <c r="AD280" s="152" t="s">
        <v>210</v>
      </c>
      <c r="AE280" s="40">
        <f>E247</f>
        <v>4</v>
      </c>
      <c r="AF280" s="9" t="s">
        <v>111</v>
      </c>
      <c r="AG280" s="129" t="s">
        <v>211</v>
      </c>
      <c r="AH280" s="31">
        <f>'入力'!E5</f>
        <v>0.5</v>
      </c>
      <c r="AK280" s="31" t="s">
        <v>212</v>
      </c>
      <c r="AL280" s="31">
        <f>qb</f>
        <v>28.016326530612247</v>
      </c>
      <c r="AM280" s="31" t="s">
        <v>209</v>
      </c>
    </row>
    <row r="281" spans="2:39" ht="18" customHeight="1">
      <c r="B281" s="27"/>
      <c r="C281" s="113"/>
      <c r="D281" s="31"/>
      <c r="E281" s="31"/>
      <c r="F281" s="45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 t="s">
        <v>213</v>
      </c>
      <c r="AE281" s="31">
        <f>B</f>
        <v>1.4</v>
      </c>
      <c r="AF281" s="31" t="s">
        <v>111</v>
      </c>
      <c r="AG281" s="152" t="s">
        <v>214</v>
      </c>
      <c r="AH281" s="9">
        <f>'入力'!E6</f>
        <v>0</v>
      </c>
      <c r="AK281" s="9" t="s">
        <v>215</v>
      </c>
      <c r="AL281" s="9">
        <f>d</f>
        <v>0.64</v>
      </c>
      <c r="AM281" s="9" t="s">
        <v>111</v>
      </c>
    </row>
    <row r="282" spans="1:39" s="31" customFormat="1" ht="18" customHeight="1">
      <c r="A282" s="123"/>
      <c r="B282" s="49"/>
      <c r="C282" s="122"/>
      <c r="D282" s="9"/>
      <c r="E282" s="9"/>
      <c r="F282" s="27"/>
      <c r="G282" s="48"/>
      <c r="Y282" s="9"/>
      <c r="Z282" s="9"/>
      <c r="AA282" s="9"/>
      <c r="AB282" s="9"/>
      <c r="AC282" s="9"/>
      <c r="AD282" s="129" t="s">
        <v>216</v>
      </c>
      <c r="AE282" s="31">
        <f>'入力'!D7</f>
        <v>0.5</v>
      </c>
      <c r="AF282" s="31" t="s">
        <v>111</v>
      </c>
      <c r="AG282" s="31" t="s">
        <v>217</v>
      </c>
      <c r="AH282" s="50">
        <f>IF('入力'!D12=0,0.00000001,'入力'!D12)</f>
        <v>1.5</v>
      </c>
      <c r="AI282" s="129"/>
      <c r="AK282" s="31" t="s">
        <v>218</v>
      </c>
      <c r="AL282" s="31">
        <f>3*AL281</f>
        <v>1.92</v>
      </c>
      <c r="AM282" s="31" t="s">
        <v>111</v>
      </c>
    </row>
    <row r="283" spans="1:38" s="31" customFormat="1" ht="18" customHeight="1">
      <c r="A283" s="123"/>
      <c r="B283" s="49"/>
      <c r="C283" s="112"/>
      <c r="D283" s="9"/>
      <c r="E283" s="9"/>
      <c r="F283" s="27"/>
      <c r="G283" s="39"/>
      <c r="AD283" s="1" t="s">
        <v>275</v>
      </c>
      <c r="AE283" s="31">
        <f>ATAN(AH429/(AD429-AD419))</f>
        <v>0.9420000403794636</v>
      </c>
      <c r="AK283" s="1" t="s">
        <v>276</v>
      </c>
      <c r="AL283" s="31">
        <f>(AE279+AE280-AE282)/TAN(AG402)-(AE278+AE279*AH278+bu)</f>
        <v>-0.6952665953484165</v>
      </c>
    </row>
    <row r="284" spans="2:39" ht="18" customHeight="1">
      <c r="B284" s="45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AB284" s="1" t="s">
        <v>277</v>
      </c>
      <c r="AC284" s="9">
        <f>AG402</f>
        <v>1.0297442586766543</v>
      </c>
      <c r="AD284" s="1" t="s">
        <v>278</v>
      </c>
      <c r="AE284" s="9">
        <f>ATAN((AE280-AE282)/(AE278+AE281))</f>
        <v>0.671963171590232</v>
      </c>
      <c r="AF284" s="9" t="s">
        <v>219</v>
      </c>
      <c r="AG284" s="9">
        <f>AE284*180/PI()</f>
        <v>38.50065372034543</v>
      </c>
      <c r="AH284" s="9" t="s">
        <v>220</v>
      </c>
      <c r="AK284" s="1" t="s">
        <v>279</v>
      </c>
      <c r="AL284" s="40">
        <f>D205</f>
        <v>52.8</v>
      </c>
      <c r="AM284" s="9" t="s">
        <v>221</v>
      </c>
    </row>
    <row r="285" spans="2:39" ht="18" customHeight="1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AD285" s="1" t="s">
        <v>280</v>
      </c>
      <c r="AE285" s="9">
        <f>ATAN((AE280-AE282)/AE278)</f>
        <v>0.8621700546672264</v>
      </c>
      <c r="AF285" s="9" t="s">
        <v>219</v>
      </c>
      <c r="AG285" s="9">
        <f>AE285*180/PI()</f>
        <v>49.39870535499554</v>
      </c>
      <c r="AH285" s="9" t="s">
        <v>220</v>
      </c>
      <c r="AK285" s="1" t="s">
        <v>281</v>
      </c>
      <c r="AL285" s="40">
        <f>D206</f>
        <v>16.6</v>
      </c>
      <c r="AM285" s="9" t="s">
        <v>221</v>
      </c>
    </row>
    <row r="286" spans="2:40" ht="18" customHeight="1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AD286" s="1" t="s">
        <v>282</v>
      </c>
      <c r="AE286" s="9">
        <f>ATAN(AE280/(AE278+AH278*AE282))</f>
        <v>0.9037239459029813</v>
      </c>
      <c r="AF286" s="9" t="s">
        <v>219</v>
      </c>
      <c r="AG286" s="9">
        <f>AE286*180/PI()</f>
        <v>51.77956794514996</v>
      </c>
      <c r="AH286" s="9" t="s">
        <v>220</v>
      </c>
      <c r="AK286" s="1" t="s">
        <v>283</v>
      </c>
      <c r="AL286" s="9">
        <f>ATAN(AH281)</f>
        <v>0</v>
      </c>
      <c r="AM286" s="9" t="s">
        <v>219</v>
      </c>
      <c r="AN286" s="9">
        <f>AL286*180/PI()</f>
        <v>0</v>
      </c>
    </row>
    <row r="287" spans="2:48" ht="18" customHeight="1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AD287" s="9" t="s">
        <v>222</v>
      </c>
      <c r="AE287" s="122">
        <f>F59</f>
        <v>41.4</v>
      </c>
      <c r="AF287" s="9" t="s">
        <v>221</v>
      </c>
      <c r="AV287" s="9">
        <f>0.5*$AE$280*AP291*γs+AP291*$AE$289</f>
        <v>228.50368107873834</v>
      </c>
    </row>
    <row r="288" spans="2:32" ht="18" customHeight="1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AD288" s="9" t="s">
        <v>223</v>
      </c>
      <c r="AE288" s="9">
        <f>'入力'!D8</f>
        <v>10</v>
      </c>
      <c r="AF288" s="9" t="s">
        <v>209</v>
      </c>
    </row>
    <row r="289" spans="2:32" ht="18" customHeight="1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AD289" s="9" t="s">
        <v>224</v>
      </c>
      <c r="AE289" s="9">
        <f>'入力'!E8</f>
        <v>0</v>
      </c>
      <c r="AF289" s="9" t="s">
        <v>209</v>
      </c>
    </row>
    <row r="290" spans="2:57" ht="18" customHeight="1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AB290" s="9" t="s">
        <v>225</v>
      </c>
      <c r="AC290" s="1" t="s">
        <v>284</v>
      </c>
      <c r="AD290" s="9" t="s">
        <v>226</v>
      </c>
      <c r="AE290" s="1" t="s">
        <v>227</v>
      </c>
      <c r="AF290" s="1" t="s">
        <v>284</v>
      </c>
      <c r="AG290" s="1" t="s">
        <v>228</v>
      </c>
      <c r="AH290" s="9" t="s">
        <v>229</v>
      </c>
      <c r="AI290" s="1" t="s">
        <v>285</v>
      </c>
      <c r="AJ290" s="1" t="s">
        <v>286</v>
      </c>
      <c r="AK290" s="1" t="s">
        <v>287</v>
      </c>
      <c r="AL290" s="1" t="s">
        <v>288</v>
      </c>
      <c r="AM290" s="1" t="s">
        <v>289</v>
      </c>
      <c r="AN290" s="1" t="s">
        <v>290</v>
      </c>
      <c r="AO290" s="1" t="s">
        <v>291</v>
      </c>
      <c r="AP290" s="1" t="s">
        <v>292</v>
      </c>
      <c r="AQ290" s="1" t="s">
        <v>293</v>
      </c>
      <c r="AR290" s="1" t="s">
        <v>230</v>
      </c>
      <c r="AS290" s="1" t="s">
        <v>294</v>
      </c>
      <c r="AT290" s="1" t="s">
        <v>295</v>
      </c>
      <c r="AU290" s="9" t="s">
        <v>231</v>
      </c>
      <c r="AV290" s="9" t="s">
        <v>14</v>
      </c>
      <c r="AW290" s="9" t="s">
        <v>15</v>
      </c>
      <c r="AX290" s="9" t="s">
        <v>139</v>
      </c>
      <c r="AY290" s="9" t="s">
        <v>232</v>
      </c>
      <c r="AZ290" s="9" t="s">
        <v>233</v>
      </c>
      <c r="BA290" s="9" t="s">
        <v>234</v>
      </c>
      <c r="BB290" s="9" t="s">
        <v>235</v>
      </c>
      <c r="BC290" s="9" t="s">
        <v>236</v>
      </c>
      <c r="BE290" s="9" t="s">
        <v>237</v>
      </c>
    </row>
    <row r="291" spans="2:57" ht="18" customHeight="1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AB291" s="9">
        <f>($AE$280-$AE$282)/TAN(AG291)</f>
        <v>4.998518023597401</v>
      </c>
      <c r="AC291" s="9">
        <f>AF291</f>
        <v>35</v>
      </c>
      <c r="AD291" s="9">
        <f>MAX(0,SIN(AG291-φ+AE291)/COS(AG291-φ-δu-αl)/COS(AE291)*(AH291))</f>
        <v>0</v>
      </c>
      <c r="AE291" s="9">
        <f>ATAN(BA291/AH291)</f>
        <v>0</v>
      </c>
      <c r="AF291" s="9">
        <f>φ*180/PI()</f>
        <v>35</v>
      </c>
      <c r="AG291" s="9">
        <f>AF291*PI()/180</f>
        <v>0.6108652381980153</v>
      </c>
      <c r="AH291" s="9">
        <f>SUM(AU291:AX291)+BC291+AZ291</f>
        <v>374.712912410306</v>
      </c>
      <c r="AI291" s="9">
        <f>($AE$280-$AE$282)/TAN(AG291)</f>
        <v>4.998518023597401</v>
      </c>
      <c r="AJ291" s="9">
        <f>AI291-λ-$AE$281</f>
        <v>0.5985180235974012</v>
      </c>
      <c r="AK291" s="9">
        <f>λ+($AE$280-$AE$282)*$AH$281</f>
        <v>3</v>
      </c>
      <c r="AL291" s="9">
        <f aca="true" t="shared" si="31" ref="AL291:AL322">AK291+($AH$281+$AH$278)*$AE$282</f>
        <v>3.15</v>
      </c>
      <c r="AM291" s="9">
        <f>AJ291+($AH$279+1/TAN(AG291))*$AE$279</f>
        <v>3.8548140370816304</v>
      </c>
      <c r="AN291" s="153">
        <f>IF(AR291&lt;Ho,0,AM291+(1/TAN(AG291)-1/TAN(β))*Ho)</f>
        <v>3.8548140370816304</v>
      </c>
      <c r="AO291" s="9">
        <f aca="true" t="shared" si="32" ref="AO291:AO322">AL291-($AH$278+$AH$281)*AT291</f>
        <v>2.4685489816086923</v>
      </c>
      <c r="AP291" s="9">
        <f>(1/TAN(AG291)+$AH$281)*$AE$280</f>
        <v>5.7125920269684585</v>
      </c>
      <c r="AQ291" s="9">
        <f>MAX(0,(Hl-Df)/TAN(AG291)-λ)</f>
        <v>1.9985180235974012</v>
      </c>
      <c r="AR291" s="9">
        <f>SIN(β)*SIN(AG291)/SIN(AG291-β)*AM291</f>
        <v>53.64936812881774</v>
      </c>
      <c r="AS291" s="9">
        <f>SIN(θu-ω2)*SIN(AG291)/COS(ω2)/SIN(θu-AG291)*λ</f>
        <v>1.7284966053623085</v>
      </c>
      <c r="AT291" s="130">
        <f>$AE$280-AS291</f>
        <v>2.2715033946376915</v>
      </c>
      <c r="AU291" s="9">
        <f aca="true" t="shared" si="33" ref="AU291:AU300">IF(AG291&gt;=ω3,0,IF(AG291&gt;ω2,0.5*(AL291+AO291)*AT291*γs+AL291*$AE$289,0.5*(AK291+AL291)*$AE$282*γs+AL291*$AE$289))</f>
        <v>30.75</v>
      </c>
      <c r="AV291" s="9">
        <f>IF(AG291&gt;=ω3,0.5*$AE$280*AP291*γs+AP291*$AE$289,IF(AG291&gt;ω2,0.5*AO291*AS291*γs,0.5*(Hl-Df)^2*(TAN(αl)+1/TAN(AG291))*γs))</f>
        <v>174.94813082590906</v>
      </c>
      <c r="AW291" s="9">
        <f>IF(AG291&gt;=ω1,0,0.5*(AJ291+AM291)*Ha*γs)</f>
        <v>89.06664121358062</v>
      </c>
      <c r="AX291" s="9">
        <f>IF(AG291&gt;=ω1,0,IF(AR291&lt;Ho,0.5*AM291*AR291*γs,0.5*(AM291+AN291)*Ho*γs+AN291*$AE$288))</f>
        <v>38.548140370816306</v>
      </c>
      <c r="AY291" s="9">
        <f>IF(AQ291&lt;=0,0,IF(AG291&gt;=ω3,0,IF(AG291&lt;=ω1,0,IF(AG291&gt;ω2,0,IF(3*d&lt;=AQ291,0,IF(AQ291&lt;(3*d-2*B),0,IF(d&lt;=B/3,qf/3/d*(3*d-AQ291),IF(d&gt;2/3*B,qb/(3*(B-d))*(AQ291-(3*d-2*B)),qf-(qf-qb)/B*AQ291))))))))</f>
        <v>0</v>
      </c>
      <c r="AZ291" s="9">
        <f>IF(AG291&lt;=ω1,0,IF(AG291&gt;=ω2,0,IF(3*d&lt;=AQ291,$AL$284,0.5*(qf+AY291)*AQ291)))</f>
        <v>0</v>
      </c>
      <c r="BA291" s="9">
        <f>IF(AG291&lt;=ω1,0,IF(AG291&gt;=ω2,0,IF(3*d&lt;=AQ291,$AL$285,$AL$285/$AE$281*AQ291)))</f>
        <v>0</v>
      </c>
      <c r="BB291" s="9">
        <f aca="true" t="shared" si="34" ref="BB291:BB322">AB291</f>
        <v>4.998518023597401</v>
      </c>
      <c r="BC291" s="9">
        <f>IF(AG291&lt;=ω1,$C$159,0)</f>
        <v>41.4</v>
      </c>
      <c r="BE291" s="9">
        <f>AU291+AV291</f>
        <v>205.69813082590906</v>
      </c>
    </row>
    <row r="292" spans="2:57" ht="18" customHeight="1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AB292" s="9">
        <f aca="true" t="shared" si="35" ref="AB292:AB355">($AE$280-$AE$282)/TAN(AG292)</f>
        <v>4.906819030667176</v>
      </c>
      <c r="AC292" s="9">
        <f aca="true" t="shared" si="36" ref="AC292:AC300">AF292</f>
        <v>35.5</v>
      </c>
      <c r="AD292" s="9">
        <f aca="true" t="shared" si="37" ref="AD292:AD355">MAX(0,SIN(AG292-φ+AE292)/COS(AG292-φ-δu-αl)/COS(AE292)*(AH292))</f>
        <v>3.459287592081798</v>
      </c>
      <c r="AE292" s="9">
        <f aca="true" t="shared" si="38" ref="AE292:AE355">ATAN(BA292/AH292)</f>
        <v>0</v>
      </c>
      <c r="AF292" s="9">
        <f>AF291+0.5</f>
        <v>35.5</v>
      </c>
      <c r="AG292" s="9">
        <f>AF292*PI()/180</f>
        <v>0.619591884457987</v>
      </c>
      <c r="AH292" s="9">
        <f aca="true" t="shared" si="39" ref="AH292:AH303">SUM(AU292:AX292)+BC292+AZ292</f>
        <v>365.34651527529013</v>
      </c>
      <c r="AI292" s="9">
        <f aca="true" t="shared" si="40" ref="AI292:AI355">($AE$280-$AE$282)/TAN(AG292)</f>
        <v>4.906819030667176</v>
      </c>
      <c r="AJ292" s="9">
        <f>AI292-λ-$AE$281</f>
        <v>0.506819030667176</v>
      </c>
      <c r="AK292" s="9">
        <f aca="true" t="shared" si="41" ref="AK292:AK400">λ+($AE$280-$AE$282)*$AH$281</f>
        <v>3</v>
      </c>
      <c r="AL292" s="9">
        <f t="shared" si="31"/>
        <v>3.15</v>
      </c>
      <c r="AM292" s="9">
        <f>AJ292+($AH$279+1/TAN(AG292))*$AE$279</f>
        <v>3.7107156196198483</v>
      </c>
      <c r="AN292" s="153">
        <f>IF(AR292&lt;Ho,0,AM292+(1/TAN(AG292)-1/TAN(β))*Ho)</f>
        <v>3.7107156196198483</v>
      </c>
      <c r="AO292" s="9">
        <f t="shared" si="32"/>
        <v>2.48087790319418</v>
      </c>
      <c r="AP292" s="9">
        <f>(1/TAN(AG292)+$AH$281)*$AE$280</f>
        <v>5.607793177905345</v>
      </c>
      <c r="AQ292" s="9">
        <f>MAX(0,(Hl-Df)/TAN(AG292)-λ)</f>
        <v>1.906819030667176</v>
      </c>
      <c r="AR292" s="9">
        <f>SIN(β)*SIN(AG292)/SIN(AG292-β)*AM292</f>
        <v>37.84447807207486</v>
      </c>
      <c r="AS292" s="9">
        <f aca="true" t="shared" si="42" ref="AS292:AS355">SIN(θu-ω2)*SIN(AG292)/COS(ω2)/SIN(θu-AG292)*λ</f>
        <v>1.7695930106472664</v>
      </c>
      <c r="AT292" s="130">
        <f>$AE$280-AS292</f>
        <v>2.2304069893527334</v>
      </c>
      <c r="AU292" s="9">
        <f t="shared" si="33"/>
        <v>30.75</v>
      </c>
      <c r="AV292" s="9">
        <f aca="true" t="shared" si="43" ref="AV292:AV355">IF(AG292&gt;=ω3,0.5*$AE$280*AP292*γs+AP292*$AE$289,IF(AG292&gt;ω2,0.5*AO292*AS292*γs,0.5*(Hl-Df)^2*(TAN(αl)+1/TAN(AG292))*γs))</f>
        <v>171.73866607335117</v>
      </c>
      <c r="AW292" s="9">
        <f aca="true" t="shared" si="44" ref="AW292:AW300">IF(AG292&gt;=ω1,0,0.5*(AJ292+AM292)*Ha*γs)</f>
        <v>84.3506930057405</v>
      </c>
      <c r="AX292" s="9">
        <f aca="true" t="shared" si="45" ref="AX292:AX355">IF(AG292&gt;=ω1,0,IF(AR292&lt;Ho,0.5*AM292*AR292*γs,0.5*(AM292+AN292)*Ho*γs+AN292*$AE$288))</f>
        <v>37.10715619619848</v>
      </c>
      <c r="AY292" s="9">
        <f aca="true" t="shared" si="46" ref="AY292:AY355">IF(AQ292&lt;=0,0,IF(AG292&gt;=ω3,0,IF(AG292&lt;=ω1,0,IF(AG292&gt;ω2,0,IF(3*d&lt;=AQ292,0,IF(AQ292&lt;(3*d-2*B),0,IF(d&lt;=B/3,qf/3/d*(3*d-AQ292),IF(d&gt;2/3*B,qb/(3*(B-d))*(AQ292-(3*d-2*B)),qf-(qf-qb)/B*AQ292))))))))</f>
        <v>0</v>
      </c>
      <c r="AZ292" s="9">
        <f aca="true" t="shared" si="47" ref="AZ292:AZ322">IF(AG292&lt;=ω1,0,IF(AG292&gt;=ω2,0,IF(3*d&lt;=AQ292,$AL$284,0.5*($AL$279+AY292)*AQ292)))</f>
        <v>0</v>
      </c>
      <c r="BA292" s="9">
        <f>IF(AG292&lt;=ω1,0,IF(AG292&gt;=ω2,0,IF(3*d&lt;=AQ292,$AL$285,$AL$285/$AE$281*AQ292)))</f>
        <v>0</v>
      </c>
      <c r="BB292" s="9">
        <f t="shared" si="34"/>
        <v>4.906819030667176</v>
      </c>
      <c r="BC292" s="9">
        <f aca="true" t="shared" si="48" ref="BC292:BC355">IF(AG292&lt;=ω1,$C$159,0)</f>
        <v>41.4</v>
      </c>
      <c r="BE292" s="9">
        <f aca="true" t="shared" si="49" ref="BE292:BE355">AU292+AV292</f>
        <v>202.48866607335117</v>
      </c>
    </row>
    <row r="293" spans="2:57" ht="18" customHeight="1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AB293" s="9">
        <f t="shared" si="35"/>
        <v>4.817336721649108</v>
      </c>
      <c r="AC293" s="9">
        <f t="shared" si="36"/>
        <v>36</v>
      </c>
      <c r="AD293" s="9">
        <f t="shared" si="37"/>
        <v>6.72079621985634</v>
      </c>
      <c r="AE293" s="9">
        <f t="shared" si="38"/>
        <v>0</v>
      </c>
      <c r="AF293" s="9">
        <f aca="true" t="shared" si="50" ref="AF293:AF300">AF292+0.5</f>
        <v>36</v>
      </c>
      <c r="AG293" s="9">
        <f aca="true" t="shared" si="51" ref="AG293:AG400">AF293*PI()/180</f>
        <v>0.6283185307179586</v>
      </c>
      <c r="AH293" s="9">
        <f t="shared" si="39"/>
        <v>356.20653656844456</v>
      </c>
      <c r="AI293" s="9">
        <f t="shared" si="40"/>
        <v>4.817336721649108</v>
      </c>
      <c r="AJ293" s="9">
        <f aca="true" t="shared" si="52" ref="AJ293:AJ400">AI293-λ-$AE$281</f>
        <v>0.41733672164910773</v>
      </c>
      <c r="AK293" s="9">
        <f t="shared" si="41"/>
        <v>3</v>
      </c>
      <c r="AL293" s="9">
        <f t="shared" si="31"/>
        <v>3.15</v>
      </c>
      <c r="AM293" s="9">
        <f aca="true" t="shared" si="53" ref="AM293:AM300">AJ293+($AH$279+1/TAN(AG293))*$AE$279</f>
        <v>3.570100562591455</v>
      </c>
      <c r="AN293" s="153">
        <f aca="true" t="shared" si="54" ref="AN293:AN356">IF(AR293&lt;Ho,0,AM293+(1/TAN(AG293)-1/TAN(β))*Ho)</f>
        <v>3.570100562591455</v>
      </c>
      <c r="AO293" s="9">
        <f t="shared" si="32"/>
        <v>2.493487389442516</v>
      </c>
      <c r="AP293" s="9">
        <f aca="true" t="shared" si="55" ref="AP293:AP300">(1/TAN(AG293)+$AH$281)*$AE$280</f>
        <v>5.505527681884694</v>
      </c>
      <c r="AQ293" s="9">
        <f aca="true" t="shared" si="56" ref="AQ293:AQ314">MAX(0,(Hl-Df)/TAN(AG293)-λ)</f>
        <v>1.8173367216491076</v>
      </c>
      <c r="AR293" s="9">
        <f aca="true" t="shared" si="57" ref="AR293:AR300">SIN(β)*SIN(AG293)/SIN(AG293-β)*AM293</f>
        <v>28.880084338787526</v>
      </c>
      <c r="AS293" s="9">
        <f t="shared" si="42"/>
        <v>1.8116246314750533</v>
      </c>
      <c r="AT293" s="130">
        <f aca="true" t="shared" si="58" ref="AT293:AT400">$AE$280-AS293</f>
        <v>2.1883753685249467</v>
      </c>
      <c r="AU293" s="9">
        <f t="shared" si="33"/>
        <v>30.75</v>
      </c>
      <c r="AV293" s="9">
        <f t="shared" si="43"/>
        <v>168.60678525771877</v>
      </c>
      <c r="AW293" s="9">
        <f t="shared" si="44"/>
        <v>79.74874568481125</v>
      </c>
      <c r="AX293" s="9">
        <f t="shared" si="45"/>
        <v>35.70100562591455</v>
      </c>
      <c r="AY293" s="9">
        <f t="shared" si="46"/>
        <v>0</v>
      </c>
      <c r="AZ293" s="9">
        <f t="shared" si="47"/>
        <v>0</v>
      </c>
      <c r="BA293" s="9">
        <f aca="true" t="shared" si="59" ref="BA293:BA300">IF(AG293&lt;=ω1,0,IF(AG293&gt;=ω2,0,IF(3*d&lt;=AQ293,$AL$285,$AL$285/$AE$281*AQ293)))</f>
        <v>0</v>
      </c>
      <c r="BB293" s="9">
        <f t="shared" si="34"/>
        <v>4.817336721649108</v>
      </c>
      <c r="BC293" s="9">
        <f t="shared" si="48"/>
        <v>41.4</v>
      </c>
      <c r="BE293" s="9">
        <f t="shared" si="49"/>
        <v>199.35678525771877</v>
      </c>
    </row>
    <row r="294" spans="2:57" ht="18" customHeight="1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AB294" s="9">
        <f t="shared" si="35"/>
        <v>4.729978532810329</v>
      </c>
      <c r="AC294" s="9">
        <f t="shared" si="36"/>
        <v>36.5</v>
      </c>
      <c r="AD294" s="9">
        <f t="shared" si="37"/>
        <v>9.793299951335745</v>
      </c>
      <c r="AE294" s="9">
        <f t="shared" si="38"/>
        <v>0</v>
      </c>
      <c r="AF294" s="9">
        <f t="shared" si="50"/>
        <v>36.5</v>
      </c>
      <c r="AG294" s="9">
        <f t="shared" si="51"/>
        <v>0.6370451769779303</v>
      </c>
      <c r="AH294" s="9">
        <f t="shared" si="39"/>
        <v>347.2835215656265</v>
      </c>
      <c r="AI294" s="9">
        <f t="shared" si="40"/>
        <v>4.729978532810329</v>
      </c>
      <c r="AJ294" s="9">
        <f t="shared" si="52"/>
        <v>0.3299785328103293</v>
      </c>
      <c r="AK294" s="9">
        <f t="shared" si="41"/>
        <v>3</v>
      </c>
      <c r="AL294" s="9">
        <f t="shared" si="31"/>
        <v>3.15</v>
      </c>
      <c r="AM294" s="9">
        <f t="shared" si="53"/>
        <v>3.432823408701946</v>
      </c>
      <c r="AN294" s="153">
        <f t="shared" si="54"/>
        <v>3.432823408701946</v>
      </c>
      <c r="AO294" s="9">
        <f t="shared" si="32"/>
        <v>2.506389115247464</v>
      </c>
      <c r="AP294" s="9">
        <f t="shared" si="55"/>
        <v>5.405689751783234</v>
      </c>
      <c r="AQ294" s="9">
        <f t="shared" si="56"/>
        <v>1.7299785328103292</v>
      </c>
      <c r="AR294" s="9">
        <f t="shared" si="57"/>
        <v>23.104588345916373</v>
      </c>
      <c r="AS294" s="9">
        <f t="shared" si="42"/>
        <v>1.8546303841582135</v>
      </c>
      <c r="AT294" s="130">
        <f t="shared" si="58"/>
        <v>2.1453696158417865</v>
      </c>
      <c r="AU294" s="9">
        <f t="shared" si="33"/>
        <v>30.75</v>
      </c>
      <c r="AV294" s="9">
        <f t="shared" si="43"/>
        <v>165.54924864836153</v>
      </c>
      <c r="AW294" s="9">
        <f t="shared" si="44"/>
        <v>75.2560388302455</v>
      </c>
      <c r="AX294" s="9">
        <f t="shared" si="45"/>
        <v>34.32823408701946</v>
      </c>
      <c r="AY294" s="9">
        <f t="shared" si="46"/>
        <v>0</v>
      </c>
      <c r="AZ294" s="9">
        <f t="shared" si="47"/>
        <v>0</v>
      </c>
      <c r="BA294" s="9">
        <f t="shared" si="59"/>
        <v>0</v>
      </c>
      <c r="BB294" s="9">
        <f t="shared" si="34"/>
        <v>4.729978532810329</v>
      </c>
      <c r="BC294" s="9">
        <f t="shared" si="48"/>
        <v>41.4</v>
      </c>
      <c r="BE294" s="9">
        <f t="shared" si="49"/>
        <v>196.29924864836153</v>
      </c>
    </row>
    <row r="295" spans="2:57" ht="18" customHeight="1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AB295" s="9">
        <f t="shared" si="35"/>
        <v>4.644656875671435</v>
      </c>
      <c r="AC295" s="9">
        <f t="shared" si="36"/>
        <v>37</v>
      </c>
      <c r="AD295" s="9">
        <f t="shared" si="37"/>
        <v>12.685054310556625</v>
      </c>
      <c r="AE295" s="9">
        <f t="shared" si="38"/>
        <v>0</v>
      </c>
      <c r="AF295" s="9">
        <f t="shared" si="50"/>
        <v>37</v>
      </c>
      <c r="AG295" s="9">
        <f t="shared" si="51"/>
        <v>0.6457718232379019</v>
      </c>
      <c r="AH295" s="9">
        <f t="shared" si="39"/>
        <v>338.56852372929654</v>
      </c>
      <c r="AI295" s="9">
        <f t="shared" si="40"/>
        <v>4.644656875671435</v>
      </c>
      <c r="AJ295" s="9">
        <f t="shared" si="52"/>
        <v>0.24465687567143535</v>
      </c>
      <c r="AK295" s="9">
        <f t="shared" si="41"/>
        <v>3</v>
      </c>
      <c r="AL295" s="9">
        <f t="shared" si="31"/>
        <v>3.15</v>
      </c>
      <c r="AM295" s="9">
        <f t="shared" si="53"/>
        <v>3.2987465189122553</v>
      </c>
      <c r="AN295" s="153">
        <f t="shared" si="54"/>
        <v>3.2987465189122553</v>
      </c>
      <c r="AO295" s="9">
        <f t="shared" si="32"/>
        <v>2.519595394168895</v>
      </c>
      <c r="AP295" s="9">
        <f t="shared" si="55"/>
        <v>5.30817928648164</v>
      </c>
      <c r="AQ295" s="9">
        <f t="shared" si="56"/>
        <v>1.6446568756714353</v>
      </c>
      <c r="AR295" s="9">
        <f t="shared" si="57"/>
        <v>19.07284043078718</v>
      </c>
      <c r="AS295" s="9">
        <f t="shared" si="42"/>
        <v>1.8986513138963168</v>
      </c>
      <c r="AT295" s="130">
        <f t="shared" si="58"/>
        <v>2.101348686103683</v>
      </c>
      <c r="AU295" s="9">
        <f t="shared" si="33"/>
        <v>30.75</v>
      </c>
      <c r="AV295" s="9">
        <f t="shared" si="43"/>
        <v>162.56299064850023</v>
      </c>
      <c r="AW295" s="9">
        <f t="shared" si="44"/>
        <v>70.86806789167382</v>
      </c>
      <c r="AX295" s="9">
        <f t="shared" si="45"/>
        <v>32.98746518912255</v>
      </c>
      <c r="AY295" s="9">
        <f t="shared" si="46"/>
        <v>0</v>
      </c>
      <c r="AZ295" s="9">
        <f t="shared" si="47"/>
        <v>0</v>
      </c>
      <c r="BA295" s="9">
        <f t="shared" si="59"/>
        <v>0</v>
      </c>
      <c r="BB295" s="9">
        <f t="shared" si="34"/>
        <v>4.644656875671435</v>
      </c>
      <c r="BC295" s="9">
        <f t="shared" si="48"/>
        <v>41.4</v>
      </c>
      <c r="BE295" s="9">
        <f t="shared" si="49"/>
        <v>193.31299064850023</v>
      </c>
    </row>
    <row r="296" spans="2:57" ht="18" customHeight="1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AB296" s="9">
        <f t="shared" si="35"/>
        <v>4.56128880494422</v>
      </c>
      <c r="AC296" s="9">
        <f t="shared" si="36"/>
        <v>37.5</v>
      </c>
      <c r="AD296" s="9">
        <f t="shared" si="37"/>
        <v>15.403831824359665</v>
      </c>
      <c r="AE296" s="9">
        <f t="shared" si="38"/>
        <v>0</v>
      </c>
      <c r="AF296" s="9">
        <f t="shared" si="50"/>
        <v>37.5</v>
      </c>
      <c r="AG296" s="9">
        <f t="shared" si="51"/>
        <v>0.6544984694978736</v>
      </c>
      <c r="AH296" s="9">
        <f t="shared" si="39"/>
        <v>330.053070790731</v>
      </c>
      <c r="AI296" s="9">
        <f t="shared" si="40"/>
        <v>4.56128880494422</v>
      </c>
      <c r="AJ296" s="9">
        <f t="shared" si="52"/>
        <v>0.16128880494422004</v>
      </c>
      <c r="AK296" s="9">
        <f t="shared" si="41"/>
        <v>3</v>
      </c>
      <c r="AL296" s="9">
        <f t="shared" si="31"/>
        <v>3.15</v>
      </c>
      <c r="AM296" s="9">
        <f t="shared" si="53"/>
        <v>3.1677395506266315</v>
      </c>
      <c r="AN296" s="153">
        <f t="shared" si="54"/>
        <v>3.1677395506266315</v>
      </c>
      <c r="AO296" s="9">
        <f t="shared" si="32"/>
        <v>2.5331192230946455</v>
      </c>
      <c r="AP296" s="9">
        <f t="shared" si="55"/>
        <v>5.212901491364823</v>
      </c>
      <c r="AQ296" s="9">
        <f t="shared" si="56"/>
        <v>1.56128880494422</v>
      </c>
      <c r="AR296" s="9">
        <f t="shared" si="57"/>
        <v>16.09831306182737</v>
      </c>
      <c r="AS296" s="9">
        <f t="shared" si="42"/>
        <v>1.9437307436488185</v>
      </c>
      <c r="AT296" s="130">
        <f t="shared" si="58"/>
        <v>2.0562692563511815</v>
      </c>
      <c r="AU296" s="9">
        <f t="shared" si="33"/>
        <v>30.75</v>
      </c>
      <c r="AV296" s="9">
        <f t="shared" si="43"/>
        <v>159.6451081730477</v>
      </c>
      <c r="AW296" s="9">
        <f t="shared" si="44"/>
        <v>66.58056711141703</v>
      </c>
      <c r="AX296" s="9">
        <f t="shared" si="45"/>
        <v>31.677395506266315</v>
      </c>
      <c r="AY296" s="9">
        <f t="shared" si="46"/>
        <v>0</v>
      </c>
      <c r="AZ296" s="9">
        <f t="shared" si="47"/>
        <v>0</v>
      </c>
      <c r="BA296" s="9">
        <f t="shared" si="59"/>
        <v>0</v>
      </c>
      <c r="BB296" s="9">
        <f t="shared" si="34"/>
        <v>4.56128880494422</v>
      </c>
      <c r="BC296" s="9">
        <f t="shared" si="48"/>
        <v>41.4</v>
      </c>
      <c r="BE296" s="9">
        <f t="shared" si="49"/>
        <v>190.3951081730477</v>
      </c>
    </row>
    <row r="297" spans="2:57" ht="18" customHeight="1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16"/>
      <c r="S297" s="16"/>
      <c r="T297" s="31"/>
      <c r="U297" s="31"/>
      <c r="V297" s="31"/>
      <c r="W297" s="31"/>
      <c r="X297" s="31"/>
      <c r="AB297" s="9">
        <f t="shared" si="35"/>
        <v>4.479795712675776</v>
      </c>
      <c r="AC297" s="9">
        <f t="shared" si="36"/>
        <v>38</v>
      </c>
      <c r="AD297" s="9">
        <f t="shared" si="37"/>
        <v>17.956954704602687</v>
      </c>
      <c r="AE297" s="9">
        <f t="shared" si="38"/>
        <v>0</v>
      </c>
      <c r="AF297" s="9">
        <f t="shared" si="50"/>
        <v>38</v>
      </c>
      <c r="AG297" s="9">
        <f t="shared" si="51"/>
        <v>0.6632251157578452</v>
      </c>
      <c r="AH297" s="9">
        <f t="shared" si="39"/>
        <v>321.7291335090257</v>
      </c>
      <c r="AI297" s="9">
        <f t="shared" si="40"/>
        <v>4.479795712675776</v>
      </c>
      <c r="AJ297" s="9">
        <f t="shared" si="52"/>
        <v>0.07979571267577645</v>
      </c>
      <c r="AK297" s="9">
        <f t="shared" si="41"/>
        <v>3</v>
      </c>
      <c r="AL297" s="9">
        <f t="shared" si="31"/>
        <v>3.15</v>
      </c>
      <c r="AM297" s="9">
        <f t="shared" si="53"/>
        <v>3.0396789770619344</v>
      </c>
      <c r="AN297" s="153">
        <f t="shared" si="54"/>
        <v>3.0396789770619344</v>
      </c>
      <c r="AO297" s="9">
        <f t="shared" si="32"/>
        <v>2.546974330696399</v>
      </c>
      <c r="AP297" s="9">
        <f t="shared" si="55"/>
        <v>5.119766528772316</v>
      </c>
      <c r="AQ297" s="9">
        <f t="shared" si="56"/>
        <v>1.4797957126757764</v>
      </c>
      <c r="AR297" s="9">
        <f t="shared" si="57"/>
        <v>13.813057905296033</v>
      </c>
      <c r="AS297" s="9">
        <f t="shared" si="42"/>
        <v>1.9899144356546627</v>
      </c>
      <c r="AT297" s="130">
        <f t="shared" si="58"/>
        <v>2.0100855643453373</v>
      </c>
      <c r="AU297" s="9">
        <f t="shared" si="33"/>
        <v>30.75</v>
      </c>
      <c r="AV297" s="9">
        <f t="shared" si="43"/>
        <v>156.79284994365216</v>
      </c>
      <c r="AW297" s="9">
        <f t="shared" si="44"/>
        <v>62.389493794754216</v>
      </c>
      <c r="AX297" s="9">
        <f t="shared" si="45"/>
        <v>30.396789770619343</v>
      </c>
      <c r="AY297" s="9">
        <f t="shared" si="46"/>
        <v>0</v>
      </c>
      <c r="AZ297" s="9">
        <f t="shared" si="47"/>
        <v>0</v>
      </c>
      <c r="BA297" s="9">
        <f t="shared" si="59"/>
        <v>0</v>
      </c>
      <c r="BB297" s="9">
        <f t="shared" si="34"/>
        <v>4.479795712675776</v>
      </c>
      <c r="BC297" s="9">
        <f t="shared" si="48"/>
        <v>41.4</v>
      </c>
      <c r="BE297" s="9">
        <f t="shared" si="49"/>
        <v>187.54284994365216</v>
      </c>
    </row>
    <row r="298" spans="2:57" ht="18" customHeight="1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16"/>
      <c r="S298" s="16"/>
      <c r="T298" s="31"/>
      <c r="U298" s="31"/>
      <c r="V298" s="31"/>
      <c r="W298" s="31"/>
      <c r="X298" s="31"/>
      <c r="AB298" s="9">
        <f t="shared" si="35"/>
        <v>4.4001030462163415</v>
      </c>
      <c r="AC298" s="9">
        <f t="shared" si="36"/>
        <v>38.5</v>
      </c>
      <c r="AD298" s="9">
        <f t="shared" si="37"/>
        <v>20.351324928549715</v>
      </c>
      <c r="AE298" s="9">
        <f t="shared" si="38"/>
        <v>0</v>
      </c>
      <c r="AF298" s="9">
        <f t="shared" si="50"/>
        <v>38.5</v>
      </c>
      <c r="AG298" s="9">
        <f t="shared" si="51"/>
        <v>0.6719517620178169</v>
      </c>
      <c r="AH298" s="9">
        <f t="shared" si="39"/>
        <v>313.58909686352627</v>
      </c>
      <c r="AI298" s="9">
        <f t="shared" si="40"/>
        <v>4.4001030462163415</v>
      </c>
      <c r="AJ298" s="9">
        <f t="shared" si="52"/>
        <v>0.00010304621634160682</v>
      </c>
      <c r="AK298" s="9">
        <f t="shared" si="41"/>
        <v>3</v>
      </c>
      <c r="AL298" s="9">
        <f t="shared" si="31"/>
        <v>3.15</v>
      </c>
      <c r="AM298" s="9">
        <f t="shared" si="53"/>
        <v>2.914447644054251</v>
      </c>
      <c r="AN298" s="153">
        <f t="shared" si="54"/>
        <v>2.914447644054251</v>
      </c>
      <c r="AO298" s="9">
        <f t="shared" si="32"/>
        <v>2.5611752300612</v>
      </c>
      <c r="AP298" s="9">
        <f t="shared" si="55"/>
        <v>5.028689195675819</v>
      </c>
      <c r="AQ298" s="9">
        <f t="shared" si="56"/>
        <v>1.4001030462163415</v>
      </c>
      <c r="AR298" s="9">
        <f t="shared" si="57"/>
        <v>12.002121796975427</v>
      </c>
      <c r="AS298" s="9">
        <f t="shared" si="42"/>
        <v>2.037250766870667</v>
      </c>
      <c r="AT298" s="130">
        <f t="shared" si="58"/>
        <v>1.9627492331293328</v>
      </c>
      <c r="AU298" s="9">
        <f t="shared" si="33"/>
        <v>30.75</v>
      </c>
      <c r="AV298" s="9">
        <f t="shared" si="43"/>
        <v>154.00360661757193</v>
      </c>
      <c r="AW298" s="9">
        <f t="shared" si="44"/>
        <v>58.29101380541185</v>
      </c>
      <c r="AX298" s="9">
        <f t="shared" si="45"/>
        <v>29.14447644054251</v>
      </c>
      <c r="AY298" s="9">
        <f t="shared" si="46"/>
        <v>0</v>
      </c>
      <c r="AZ298" s="9">
        <f t="shared" si="47"/>
        <v>0</v>
      </c>
      <c r="BA298" s="9">
        <f t="shared" si="59"/>
        <v>0</v>
      </c>
      <c r="BB298" s="9">
        <f t="shared" si="34"/>
        <v>4.4001030462163415</v>
      </c>
      <c r="BC298" s="9">
        <f t="shared" si="48"/>
        <v>41.4</v>
      </c>
      <c r="BE298" s="9">
        <f t="shared" si="49"/>
        <v>184.75360661757193</v>
      </c>
    </row>
    <row r="299" spans="2:57" ht="18" customHeight="1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16"/>
      <c r="S299" s="16"/>
      <c r="T299" s="16"/>
      <c r="U299" s="16"/>
      <c r="V299" s="16"/>
      <c r="W299" s="16"/>
      <c r="X299" s="16"/>
      <c r="AB299" s="9">
        <f t="shared" si="35"/>
        <v>4.32214004787268</v>
      </c>
      <c r="AC299" s="9">
        <f t="shared" si="36"/>
        <v>39</v>
      </c>
      <c r="AD299" s="9">
        <f t="shared" si="37"/>
        <v>33.76832638791839</v>
      </c>
      <c r="AE299" s="9">
        <f t="shared" si="38"/>
        <v>0.06729589862121023</v>
      </c>
      <c r="AF299" s="9">
        <f t="shared" si="50"/>
        <v>39</v>
      </c>
      <c r="AG299" s="9">
        <f t="shared" si="51"/>
        <v>0.6806784082777885</v>
      </c>
      <c r="AH299" s="9">
        <f t="shared" si="39"/>
        <v>232.60155847735183</v>
      </c>
      <c r="AI299" s="9">
        <f t="shared" si="40"/>
        <v>4.32214004787268</v>
      </c>
      <c r="AJ299" s="9">
        <f t="shared" si="52"/>
        <v>-0.07785995212731978</v>
      </c>
      <c r="AK299" s="9">
        <f t="shared" si="41"/>
        <v>3</v>
      </c>
      <c r="AL299" s="9">
        <f t="shared" si="31"/>
        <v>3.15</v>
      </c>
      <c r="AM299" s="9">
        <f t="shared" si="53"/>
        <v>2.791934360942783</v>
      </c>
      <c r="AN299" s="153">
        <f t="shared" si="54"/>
        <v>2.791934360942783</v>
      </c>
      <c r="AO299" s="9">
        <f t="shared" si="32"/>
        <v>2.5757372759247095</v>
      </c>
      <c r="AP299" s="9">
        <f t="shared" si="55"/>
        <v>4.939588626140206</v>
      </c>
      <c r="AQ299" s="9">
        <f t="shared" si="56"/>
        <v>1.3221400478726801</v>
      </c>
      <c r="AR299" s="9">
        <f t="shared" si="57"/>
        <v>10.531514202004125</v>
      </c>
      <c r="AS299" s="9">
        <f t="shared" si="42"/>
        <v>2.085790919749032</v>
      </c>
      <c r="AT299" s="130">
        <f t="shared" si="58"/>
        <v>1.9142090802509681</v>
      </c>
      <c r="AU299" s="9">
        <f t="shared" si="33"/>
        <v>30.75</v>
      </c>
      <c r="AV299" s="9">
        <f t="shared" si="43"/>
        <v>151.27490167554382</v>
      </c>
      <c r="AW299" s="9">
        <f t="shared" si="44"/>
        <v>0</v>
      </c>
      <c r="AX299" s="9">
        <f t="shared" si="45"/>
        <v>0</v>
      </c>
      <c r="AY299" s="9">
        <f t="shared" si="46"/>
        <v>29.095016013145845</v>
      </c>
      <c r="AZ299" s="9">
        <f t="shared" si="47"/>
        <v>50.576656801808014</v>
      </c>
      <c r="BA299" s="9">
        <f t="shared" si="59"/>
        <v>15.676803424776068</v>
      </c>
      <c r="BB299" s="9">
        <f t="shared" si="34"/>
        <v>4.32214004787268</v>
      </c>
      <c r="BC299" s="9">
        <f t="shared" si="48"/>
        <v>0</v>
      </c>
      <c r="BE299" s="9">
        <f t="shared" si="49"/>
        <v>182.02490167554382</v>
      </c>
    </row>
    <row r="300" spans="2:57" ht="18" customHeight="1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82"/>
      <c r="S300" s="82"/>
      <c r="T300" s="16"/>
      <c r="U300" s="16"/>
      <c r="V300" s="16"/>
      <c r="W300" s="16"/>
      <c r="X300" s="16"/>
      <c r="AB300" s="9">
        <f t="shared" si="35"/>
        <v>4.245839514325265</v>
      </c>
      <c r="AC300" s="9">
        <f t="shared" si="36"/>
        <v>39.5</v>
      </c>
      <c r="AD300" s="9">
        <f t="shared" si="37"/>
        <v>34.43288146771499</v>
      </c>
      <c r="AE300" s="9">
        <f t="shared" si="38"/>
        <v>0.06479277614372314</v>
      </c>
      <c r="AF300" s="9">
        <f t="shared" si="50"/>
        <v>39.5</v>
      </c>
      <c r="AG300" s="9">
        <f t="shared" si="51"/>
        <v>0.6894050545377601</v>
      </c>
      <c r="AH300" s="9">
        <f t="shared" si="39"/>
        <v>227.67074648524428</v>
      </c>
      <c r="AI300" s="9">
        <f t="shared" si="40"/>
        <v>4.245839514325265</v>
      </c>
      <c r="AJ300" s="9">
        <f t="shared" si="52"/>
        <v>-0.15416048567473473</v>
      </c>
      <c r="AK300" s="9">
        <f t="shared" si="41"/>
        <v>3</v>
      </c>
      <c r="AL300" s="9">
        <f t="shared" si="31"/>
        <v>3.15</v>
      </c>
      <c r="AM300" s="9">
        <f t="shared" si="53"/>
        <v>2.6720335225111307</v>
      </c>
      <c r="AN300" s="153">
        <f t="shared" si="54"/>
        <v>2.6720335225111307</v>
      </c>
      <c r="AO300" s="9">
        <f t="shared" si="32"/>
        <v>2.5906767269827338</v>
      </c>
      <c r="AP300" s="9">
        <f t="shared" si="55"/>
        <v>4.852388016371731</v>
      </c>
      <c r="AQ300" s="9">
        <f t="shared" si="56"/>
        <v>1.2458395143252652</v>
      </c>
      <c r="AR300" s="9">
        <f t="shared" si="57"/>
        <v>9.313369189691722</v>
      </c>
      <c r="AS300" s="9">
        <f t="shared" si="42"/>
        <v>2.135589089942446</v>
      </c>
      <c r="AT300" s="130">
        <f t="shared" si="58"/>
        <v>1.864410910057554</v>
      </c>
      <c r="AU300" s="9">
        <f t="shared" si="33"/>
        <v>30.75</v>
      </c>
      <c r="AV300" s="9">
        <f t="shared" si="43"/>
        <v>148.60438300138426</v>
      </c>
      <c r="AW300" s="9">
        <f t="shared" si="44"/>
        <v>0</v>
      </c>
      <c r="AX300" s="9">
        <f t="shared" si="45"/>
        <v>0</v>
      </c>
      <c r="AY300" s="9">
        <f t="shared" si="46"/>
        <v>30.15210095605347</v>
      </c>
      <c r="AZ300" s="9">
        <f t="shared" si="47"/>
        <v>48.316363483860016</v>
      </c>
      <c r="BA300" s="9">
        <f t="shared" si="59"/>
        <v>14.772097098428148</v>
      </c>
      <c r="BB300" s="9">
        <f t="shared" si="34"/>
        <v>4.245839514325265</v>
      </c>
      <c r="BC300" s="9">
        <f t="shared" si="48"/>
        <v>0</v>
      </c>
      <c r="BE300" s="9">
        <f t="shared" si="49"/>
        <v>179.35438300138426</v>
      </c>
    </row>
    <row r="301" spans="2:57" ht="18" customHeight="1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16"/>
      <c r="S301" s="16"/>
      <c r="T301" s="16"/>
      <c r="U301" s="16"/>
      <c r="V301" s="16"/>
      <c r="W301" s="16"/>
      <c r="X301" s="16"/>
      <c r="AB301" s="9">
        <f t="shared" si="35"/>
        <v>4.171137574079736</v>
      </c>
      <c r="AC301" s="9">
        <f aca="true" t="shared" si="60" ref="AC301:AC364">AF301</f>
        <v>40</v>
      </c>
      <c r="AD301" s="9">
        <f t="shared" si="37"/>
        <v>35.02662038029067</v>
      </c>
      <c r="AE301" s="9">
        <f t="shared" si="38"/>
        <v>0.06225571525337125</v>
      </c>
      <c r="AF301" s="9">
        <f aca="true" t="shared" si="61" ref="AF301:AF364">AF300+0.5</f>
        <v>40</v>
      </c>
      <c r="AG301" s="9">
        <f t="shared" si="51"/>
        <v>0.6981317007977318</v>
      </c>
      <c r="AH301" s="9">
        <f t="shared" si="39"/>
        <v>222.76510220684648</v>
      </c>
      <c r="AI301" s="9">
        <f t="shared" si="40"/>
        <v>4.171137574079736</v>
      </c>
      <c r="AJ301" s="9">
        <f t="shared" si="52"/>
        <v>-0.2288624259202643</v>
      </c>
      <c r="AK301" s="9">
        <f t="shared" si="41"/>
        <v>3</v>
      </c>
      <c r="AL301" s="9">
        <f t="shared" si="31"/>
        <v>3.15</v>
      </c>
      <c r="AM301" s="9">
        <f aca="true" t="shared" si="62" ref="AM301:AM364">AJ301+($AH$279+1/TAN(AG301))*$AE$279</f>
        <v>2.5546447592681556</v>
      </c>
      <c r="AN301" s="153">
        <f t="shared" si="54"/>
        <v>2.5546447592681556</v>
      </c>
      <c r="AO301" s="9">
        <f t="shared" si="32"/>
        <v>2.606010813814801</v>
      </c>
      <c r="AP301" s="9">
        <f aca="true" t="shared" si="63" ref="AP301:AP364">(1/TAN(AG301)+$AH$281)*$AE$280</f>
        <v>4.76701437037684</v>
      </c>
      <c r="AQ301" s="9">
        <f t="shared" si="56"/>
        <v>1.1711375740797356</v>
      </c>
      <c r="AR301" s="9">
        <f aca="true" t="shared" si="64" ref="AR301:AR364">SIN(β)*SIN(AG301)/SIN(AG301-β)*AM301</f>
        <v>8.287670830515472</v>
      </c>
      <c r="AS301" s="9">
        <f t="shared" si="42"/>
        <v>2.186702712716002</v>
      </c>
      <c r="AT301" s="130">
        <f t="shared" si="58"/>
        <v>1.8132972872839979</v>
      </c>
      <c r="AU301" s="9">
        <f aca="true" t="shared" si="65" ref="AU301:AU364">IF(AG301&gt;=ω3,0,IF(AG301&gt;ω2,0.5*(AL301+AO301)*AT301*γs+AL301*$AE$289,0.5*(AK301+AL301)*$AE$282*γs+AL301*$AE$289))</f>
        <v>30.75</v>
      </c>
      <c r="AV301" s="9">
        <f t="shared" si="43"/>
        <v>145.98981509279074</v>
      </c>
      <c r="AW301" s="9">
        <f aca="true" t="shared" si="66" ref="AW301:AW364">IF(AG301&gt;=ω1,0,0.5*(AJ301+AM301)*Ha*γs)</f>
        <v>0</v>
      </c>
      <c r="AX301" s="9">
        <f t="shared" si="45"/>
        <v>0</v>
      </c>
      <c r="AY301" s="9">
        <f t="shared" si="46"/>
        <v>31.187038623828272</v>
      </c>
      <c r="AZ301" s="9">
        <f t="shared" si="47"/>
        <v>46.02528711405575</v>
      </c>
      <c r="BA301" s="9">
        <f aca="true" t="shared" si="67" ref="BA301:BA364">IF(AG301&lt;=ω1,0,IF(AG301&gt;=ω2,0,IF(3*d&lt;=AQ301,$AL$285,$AL$285/$AE$281*AQ301)))</f>
        <v>13.886345521231153</v>
      </c>
      <c r="BB301" s="9">
        <f t="shared" si="34"/>
        <v>4.171137574079736</v>
      </c>
      <c r="BC301" s="9">
        <f t="shared" si="48"/>
        <v>0</v>
      </c>
      <c r="BE301" s="9">
        <f t="shared" si="49"/>
        <v>176.73981509279074</v>
      </c>
    </row>
    <row r="302" spans="1:57" ht="18" customHeight="1">
      <c r="A302" s="140"/>
      <c r="B302" s="42"/>
      <c r="C302" s="42"/>
      <c r="D302" s="155"/>
      <c r="E302" s="25"/>
      <c r="F302" s="20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82"/>
      <c r="U302" s="82"/>
      <c r="V302" s="82"/>
      <c r="W302" s="82"/>
      <c r="X302" s="82"/>
      <c r="AB302" s="9">
        <f t="shared" si="35"/>
        <v>4.097973481393887</v>
      </c>
      <c r="AC302" s="9">
        <f t="shared" si="60"/>
        <v>40.5</v>
      </c>
      <c r="AD302" s="9">
        <f t="shared" si="37"/>
        <v>35.550442184495076</v>
      </c>
      <c r="AE302" s="9">
        <f t="shared" si="38"/>
        <v>0.05967982282744347</v>
      </c>
      <c r="AF302" s="9">
        <f t="shared" si="61"/>
        <v>40.5</v>
      </c>
      <c r="AG302" s="9">
        <f t="shared" si="51"/>
        <v>0.7068583470577035</v>
      </c>
      <c r="AH302" s="9">
        <f t="shared" si="39"/>
        <v>217.8855068463782</v>
      </c>
      <c r="AI302" s="9">
        <f t="shared" si="40"/>
        <v>4.097973481393887</v>
      </c>
      <c r="AJ302" s="9">
        <f t="shared" si="52"/>
        <v>-0.30202651860611285</v>
      </c>
      <c r="AK302" s="9">
        <f t="shared" si="41"/>
        <v>3</v>
      </c>
      <c r="AL302" s="9">
        <f t="shared" si="31"/>
        <v>3.15</v>
      </c>
      <c r="AM302" s="9">
        <f t="shared" si="62"/>
        <v>2.4396726136189657</v>
      </c>
      <c r="AN302" s="153">
        <f t="shared" si="54"/>
        <v>2.4396726136189657</v>
      </c>
      <c r="AO302" s="9">
        <f t="shared" si="32"/>
        <v>2.6217578130186503</v>
      </c>
      <c r="AP302" s="9">
        <f t="shared" si="63"/>
        <v>4.683398264450157</v>
      </c>
      <c r="AQ302" s="9">
        <f t="shared" si="56"/>
        <v>1.097973481393887</v>
      </c>
      <c r="AR302" s="9">
        <f t="shared" si="64"/>
        <v>7.412029158840815</v>
      </c>
      <c r="AS302" s="9">
        <f t="shared" si="42"/>
        <v>2.2391927100621682</v>
      </c>
      <c r="AT302" s="130">
        <f t="shared" si="58"/>
        <v>1.7608072899378318</v>
      </c>
      <c r="AU302" s="9">
        <f t="shared" si="65"/>
        <v>30.75</v>
      </c>
      <c r="AV302" s="9">
        <f t="shared" si="43"/>
        <v>143.42907184878607</v>
      </c>
      <c r="AW302" s="9">
        <f t="shared" si="66"/>
        <v>0</v>
      </c>
      <c r="AX302" s="9">
        <f t="shared" si="45"/>
        <v>0</v>
      </c>
      <c r="AY302" s="9">
        <f t="shared" si="46"/>
        <v>32.200670601796645</v>
      </c>
      <c r="AZ302" s="9">
        <f t="shared" si="47"/>
        <v>43.70643499759213</v>
      </c>
      <c r="BA302" s="9">
        <f t="shared" si="67"/>
        <v>13.018828422241807</v>
      </c>
      <c r="BB302" s="9">
        <f t="shared" si="34"/>
        <v>4.097973481393887</v>
      </c>
      <c r="BC302" s="9">
        <f t="shared" si="48"/>
        <v>0</v>
      </c>
      <c r="BE302" s="9">
        <f t="shared" si="49"/>
        <v>174.17907184878607</v>
      </c>
    </row>
    <row r="303" spans="1:57" ht="18" customHeight="1">
      <c r="A303" s="140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AB303" s="9">
        <f t="shared" si="35"/>
        <v>4.026289425273535</v>
      </c>
      <c r="AC303" s="9">
        <f t="shared" si="60"/>
        <v>41</v>
      </c>
      <c r="AD303" s="9">
        <f t="shared" si="37"/>
        <v>36.005262439968774</v>
      </c>
      <c r="AE303" s="9">
        <f t="shared" si="38"/>
        <v>0.0570600247156326</v>
      </c>
      <c r="AF303" s="9">
        <f t="shared" si="61"/>
        <v>41</v>
      </c>
      <c r="AG303" s="9">
        <f t="shared" si="51"/>
        <v>0.715584993317675</v>
      </c>
      <c r="AH303" s="9">
        <f t="shared" si="39"/>
        <v>213.03269451013273</v>
      </c>
      <c r="AI303" s="9">
        <f t="shared" si="40"/>
        <v>4.026289425273535</v>
      </c>
      <c r="AJ303" s="9">
        <f t="shared" si="52"/>
        <v>-0.3737105747264651</v>
      </c>
      <c r="AK303" s="9">
        <f t="shared" si="41"/>
        <v>3</v>
      </c>
      <c r="AL303" s="9">
        <f t="shared" si="31"/>
        <v>3.15</v>
      </c>
      <c r="AM303" s="9">
        <f t="shared" si="62"/>
        <v>2.3270262397155546</v>
      </c>
      <c r="AN303" s="153">
        <f t="shared" si="54"/>
        <v>2.3270262397155546</v>
      </c>
      <c r="AO303" s="9">
        <f t="shared" si="32"/>
        <v>2.6379371282286583</v>
      </c>
      <c r="AP303" s="9">
        <f t="shared" si="63"/>
        <v>4.601473628884039</v>
      </c>
      <c r="AQ303" s="9">
        <f t="shared" si="56"/>
        <v>1.0262894252735348</v>
      </c>
      <c r="AR303" s="9">
        <f t="shared" si="64"/>
        <v>6.6556520857270405</v>
      </c>
      <c r="AS303" s="9">
        <f t="shared" si="42"/>
        <v>2.2931237607621946</v>
      </c>
      <c r="AT303" s="130">
        <f t="shared" si="58"/>
        <v>1.7068762392378054</v>
      </c>
      <c r="AU303" s="9">
        <f t="shared" si="65"/>
        <v>30.75</v>
      </c>
      <c r="AV303" s="9">
        <f t="shared" si="43"/>
        <v>140.92012988457373</v>
      </c>
      <c r="AW303" s="9">
        <f t="shared" si="66"/>
        <v>0</v>
      </c>
      <c r="AX303" s="9">
        <f t="shared" si="45"/>
        <v>0</v>
      </c>
      <c r="AY303" s="9">
        <f t="shared" si="46"/>
        <v>33.19379781661855</v>
      </c>
      <c r="AZ303" s="9">
        <f t="shared" si="47"/>
        <v>41.362564625558996</v>
      </c>
      <c r="BA303" s="9">
        <f t="shared" si="67"/>
        <v>12.168860328243344</v>
      </c>
      <c r="BB303" s="9">
        <f t="shared" si="34"/>
        <v>4.026289425273535</v>
      </c>
      <c r="BC303" s="9">
        <f t="shared" si="48"/>
        <v>0</v>
      </c>
      <c r="BE303" s="9">
        <f t="shared" si="49"/>
        <v>171.67012988457373</v>
      </c>
    </row>
    <row r="304" spans="1:57" ht="18" customHeight="1">
      <c r="A304" s="140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AB304" s="9">
        <f t="shared" si="35"/>
        <v>3.956030352266135</v>
      </c>
      <c r="AC304" s="9">
        <f t="shared" si="60"/>
        <v>41.5</v>
      </c>
      <c r="AD304" s="9">
        <f t="shared" si="37"/>
        <v>36.39200652792849</v>
      </c>
      <c r="AE304" s="9">
        <f t="shared" si="38"/>
        <v>0.054391030081576634</v>
      </c>
      <c r="AF304" s="9">
        <f t="shared" si="61"/>
        <v>41.5</v>
      </c>
      <c r="AG304" s="9">
        <f t="shared" si="51"/>
        <v>0.7243116395776468</v>
      </c>
      <c r="AH304" s="9">
        <f>SUM(AU304:AX304)+BC304+AZ304</f>
        <v>208.20726692065534</v>
      </c>
      <c r="AI304" s="9">
        <f t="shared" si="40"/>
        <v>3.956030352266135</v>
      </c>
      <c r="AJ304" s="9">
        <f t="shared" si="52"/>
        <v>-0.4439696477338648</v>
      </c>
      <c r="AK304" s="9">
        <f t="shared" si="41"/>
        <v>3</v>
      </c>
      <c r="AL304" s="9">
        <f t="shared" si="31"/>
        <v>3.15</v>
      </c>
      <c r="AM304" s="9">
        <f t="shared" si="62"/>
        <v>2.216619124989641</v>
      </c>
      <c r="AN304" s="153">
        <f t="shared" si="54"/>
        <v>2.216619124989641</v>
      </c>
      <c r="AO304" s="9">
        <f t="shared" si="32"/>
        <v>2.654569378775879</v>
      </c>
      <c r="AP304" s="9">
        <f t="shared" si="63"/>
        <v>4.521177545447012</v>
      </c>
      <c r="AQ304" s="9">
        <f t="shared" si="56"/>
        <v>0.9560303522661351</v>
      </c>
      <c r="AR304" s="9">
        <f t="shared" si="64"/>
        <v>5.99563285819776</v>
      </c>
      <c r="AS304" s="9">
        <f t="shared" si="42"/>
        <v>2.348564595919597</v>
      </c>
      <c r="AT304" s="130">
        <f t="shared" si="58"/>
        <v>1.6514354040804031</v>
      </c>
      <c r="AU304" s="9">
        <f t="shared" si="65"/>
        <v>30.75</v>
      </c>
      <c r="AV304" s="9">
        <f t="shared" si="43"/>
        <v>138.46106232931473</v>
      </c>
      <c r="AW304" s="9">
        <f t="shared" si="66"/>
        <v>0</v>
      </c>
      <c r="AX304" s="9">
        <f t="shared" si="45"/>
        <v>0</v>
      </c>
      <c r="AY304" s="9">
        <f t="shared" si="46"/>
        <v>34.16718299134497</v>
      </c>
      <c r="AZ304" s="9">
        <f t="shared" si="47"/>
        <v>38.99620459134061</v>
      </c>
      <c r="BA304" s="9">
        <f t="shared" si="67"/>
        <v>11.335788462584174</v>
      </c>
      <c r="BB304" s="9">
        <f t="shared" si="34"/>
        <v>3.956030352266135</v>
      </c>
      <c r="BC304" s="9">
        <f t="shared" si="48"/>
        <v>0</v>
      </c>
      <c r="BE304" s="9">
        <f t="shared" si="49"/>
        <v>169.21106232931473</v>
      </c>
    </row>
    <row r="305" spans="1:57" ht="18" customHeight="1">
      <c r="A305" s="140"/>
      <c r="B305" s="120"/>
      <c r="C305" s="66"/>
      <c r="D305" s="66"/>
      <c r="E305" s="66"/>
      <c r="F305" s="66"/>
      <c r="G305" s="4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16"/>
      <c r="S305" s="16"/>
      <c r="T305" s="16"/>
      <c r="U305" s="16"/>
      <c r="V305" s="16"/>
      <c r="W305" s="16"/>
      <c r="X305" s="16"/>
      <c r="AB305" s="9">
        <f t="shared" si="35"/>
        <v>3.887143801902175</v>
      </c>
      <c r="AC305" s="9">
        <f t="shared" si="60"/>
        <v>42</v>
      </c>
      <c r="AD305" s="9">
        <f t="shared" si="37"/>
        <v>36.71160384937082</v>
      </c>
      <c r="AE305" s="9">
        <f t="shared" si="38"/>
        <v>0.05166729316656223</v>
      </c>
      <c r="AF305" s="9">
        <f t="shared" si="61"/>
        <v>42</v>
      </c>
      <c r="AG305" s="9">
        <f t="shared" si="51"/>
        <v>0.7330382858376184</v>
      </c>
      <c r="AH305" s="9">
        <f aca="true" t="shared" si="68" ref="AH305:AH368">SUM(AU305:AX305)+BC305+AZ305</f>
        <v>203.4097066597299</v>
      </c>
      <c r="AI305" s="9">
        <f t="shared" si="40"/>
        <v>3.887143801902175</v>
      </c>
      <c r="AJ305" s="9">
        <f t="shared" si="52"/>
        <v>-0.512856198097825</v>
      </c>
      <c r="AK305" s="9">
        <f t="shared" si="41"/>
        <v>3</v>
      </c>
      <c r="AL305" s="9">
        <f t="shared" si="31"/>
        <v>3.15</v>
      </c>
      <c r="AM305" s="9">
        <f t="shared" si="62"/>
        <v>2.108368831560561</v>
      </c>
      <c r="AN305" s="153">
        <f t="shared" si="54"/>
        <v>2.108368831560561</v>
      </c>
      <c r="AO305" s="9">
        <f t="shared" si="32"/>
        <v>2.671676496844201</v>
      </c>
      <c r="AP305" s="9">
        <f t="shared" si="63"/>
        <v>4.442450059316772</v>
      </c>
      <c r="AQ305" s="9">
        <f t="shared" si="56"/>
        <v>0.8871438019021749</v>
      </c>
      <c r="AR305" s="9">
        <f t="shared" si="64"/>
        <v>5.414577796807495</v>
      </c>
      <c r="AS305" s="9">
        <f t="shared" si="42"/>
        <v>2.405588322814004</v>
      </c>
      <c r="AT305" s="130">
        <f t="shared" si="58"/>
        <v>1.5944116771859962</v>
      </c>
      <c r="AU305" s="9">
        <f t="shared" si="65"/>
        <v>30.75</v>
      </c>
      <c r="AV305" s="9">
        <f>IF(AG305&gt;=ω3,0.5*$AE$280*AP305*γs+AP305*$AE$289,IF(AG305&gt;ω2,0.5*AO305*AS305*γs,0.5*(Hl-Df)^2*(TAN(αl)+1/TAN(AG305))*γs))</f>
        <v>136.05003306657613</v>
      </c>
      <c r="AW305" s="9">
        <f t="shared" si="66"/>
        <v>0</v>
      </c>
      <c r="AX305" s="9">
        <f t="shared" si="45"/>
        <v>0</v>
      </c>
      <c r="AY305" s="9">
        <f t="shared" si="46"/>
        <v>35.121552925250334</v>
      </c>
      <c r="AZ305" s="9">
        <f t="shared" si="47"/>
        <v>36.609673593153765</v>
      </c>
      <c r="BA305" s="9">
        <f t="shared" si="67"/>
        <v>10.518990793982933</v>
      </c>
      <c r="BB305" s="9">
        <f t="shared" si="34"/>
        <v>3.887143801902175</v>
      </c>
      <c r="BC305" s="9">
        <f t="shared" si="48"/>
        <v>0</v>
      </c>
      <c r="BE305" s="9">
        <f t="shared" si="49"/>
        <v>166.80003306657613</v>
      </c>
    </row>
    <row r="306" spans="1:57" ht="18" customHeight="1">
      <c r="A306" s="140"/>
      <c r="B306" s="13"/>
      <c r="C306" s="13"/>
      <c r="D306" s="33"/>
      <c r="E306" s="33"/>
      <c r="F306" s="33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9">
        <f t="shared" si="35"/>
        <v>3.81957975374245</v>
      </c>
      <c r="AC306" s="9">
        <f t="shared" si="60"/>
        <v>42.5</v>
      </c>
      <c r="AD306" s="9">
        <f t="shared" si="37"/>
        <v>36.96498279303052</v>
      </c>
      <c r="AE306" s="9">
        <f t="shared" si="38"/>
        <v>0.04888297189417588</v>
      </c>
      <c r="AF306" s="9">
        <f t="shared" si="61"/>
        <v>42.5</v>
      </c>
      <c r="AG306" s="9">
        <f t="shared" si="51"/>
        <v>0.7417649320975901</v>
      </c>
      <c r="AH306" s="9">
        <f t="shared" si="68"/>
        <v>198.64038909533036</v>
      </c>
      <c r="AI306" s="9">
        <f t="shared" si="40"/>
        <v>3.81957975374245</v>
      </c>
      <c r="AJ306" s="9">
        <f t="shared" si="52"/>
        <v>-0.5804202462575501</v>
      </c>
      <c r="AK306" s="9">
        <f t="shared" si="41"/>
        <v>3</v>
      </c>
      <c r="AL306" s="9">
        <f t="shared" si="31"/>
        <v>3.15</v>
      </c>
      <c r="AM306" s="9">
        <f t="shared" si="62"/>
        <v>2.0021967558809926</v>
      </c>
      <c r="AN306" s="153">
        <f t="shared" si="54"/>
        <v>2.0021967558809926</v>
      </c>
      <c r="AO306" s="9">
        <f t="shared" si="32"/>
        <v>2.6892818340881046</v>
      </c>
      <c r="AP306" s="9">
        <f t="shared" si="63"/>
        <v>4.365234004277085</v>
      </c>
      <c r="AQ306" s="9">
        <f t="shared" si="56"/>
        <v>0.8195797537424498</v>
      </c>
      <c r="AR306" s="9">
        <f t="shared" si="64"/>
        <v>4.899041847259844</v>
      </c>
      <c r="AS306" s="9">
        <f t="shared" si="42"/>
        <v>2.464272780293683</v>
      </c>
      <c r="AT306" s="130">
        <f t="shared" si="58"/>
        <v>1.5357272197063172</v>
      </c>
      <c r="AU306" s="9">
        <f t="shared" si="65"/>
        <v>30.75</v>
      </c>
      <c r="AV306" s="9">
        <f t="shared" si="43"/>
        <v>133.68529138098575</v>
      </c>
      <c r="AW306" s="9">
        <f t="shared" si="66"/>
        <v>0</v>
      </c>
      <c r="AX306" s="9">
        <f t="shared" si="45"/>
        <v>0</v>
      </c>
      <c r="AY306" s="9">
        <f t="shared" si="46"/>
        <v>36.05760061287428</v>
      </c>
      <c r="AZ306" s="9">
        <f t="shared" si="47"/>
        <v>34.20509771434461</v>
      </c>
      <c r="BA306" s="9">
        <f t="shared" si="67"/>
        <v>9.717874222946193</v>
      </c>
      <c r="BB306" s="9">
        <f t="shared" si="34"/>
        <v>3.81957975374245</v>
      </c>
      <c r="BC306" s="9">
        <f t="shared" si="48"/>
        <v>0</v>
      </c>
      <c r="BE306" s="9">
        <f t="shared" si="49"/>
        <v>164.43529138098575</v>
      </c>
    </row>
    <row r="307" spans="1:57" ht="18" customHeight="1">
      <c r="A307" s="140"/>
      <c r="B307" s="13"/>
      <c r="C307" s="13"/>
      <c r="D307" s="33"/>
      <c r="E307" s="33"/>
      <c r="F307" s="33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9">
        <f t="shared" si="35"/>
        <v>3.7532904850863895</v>
      </c>
      <c r="AC307" s="9">
        <f t="shared" si="60"/>
        <v>43</v>
      </c>
      <c r="AD307" s="9">
        <f t="shared" si="37"/>
        <v>37.15306637873717</v>
      </c>
      <c r="AE307" s="9">
        <f t="shared" si="38"/>
        <v>0.04603188266379358</v>
      </c>
      <c r="AF307" s="9">
        <f t="shared" si="61"/>
        <v>43</v>
      </c>
      <c r="AG307" s="9">
        <f t="shared" si="51"/>
        <v>0.7504915783575616</v>
      </c>
      <c r="AH307" s="9">
        <f t="shared" si="68"/>
        <v>193.89959313013725</v>
      </c>
      <c r="AI307" s="9">
        <f t="shared" si="40"/>
        <v>3.7532904850863895</v>
      </c>
      <c r="AJ307" s="9">
        <f t="shared" si="52"/>
        <v>-0.6467095149136104</v>
      </c>
      <c r="AK307" s="9">
        <f t="shared" si="41"/>
        <v>3</v>
      </c>
      <c r="AL307" s="9">
        <f t="shared" si="31"/>
        <v>3.15</v>
      </c>
      <c r="AM307" s="9">
        <f t="shared" si="62"/>
        <v>1.8980279051357551</v>
      </c>
      <c r="AN307" s="153">
        <f t="shared" si="54"/>
        <v>1.8980279051357551</v>
      </c>
      <c r="AO307" s="9">
        <f t="shared" si="32"/>
        <v>2.707410278804931</v>
      </c>
      <c r="AP307" s="9">
        <f t="shared" si="63"/>
        <v>4.289474840098731</v>
      </c>
      <c r="AQ307" s="9">
        <f t="shared" si="56"/>
        <v>0.7532904850863895</v>
      </c>
      <c r="AR307" s="9">
        <f t="shared" si="64"/>
        <v>4.438468254381731</v>
      </c>
      <c r="AS307" s="9">
        <f t="shared" si="42"/>
        <v>2.5247009293497706</v>
      </c>
      <c r="AT307" s="130">
        <f t="shared" si="58"/>
        <v>1.4752990706502294</v>
      </c>
      <c r="AU307" s="9">
        <f t="shared" si="65"/>
        <v>30.75</v>
      </c>
      <c r="AV307" s="9">
        <f t="shared" si="43"/>
        <v>131.36516697802364</v>
      </c>
      <c r="AW307" s="9">
        <f t="shared" si="66"/>
        <v>0</v>
      </c>
      <c r="AX307" s="9">
        <f t="shared" si="45"/>
        <v>0</v>
      </c>
      <c r="AY307" s="9">
        <f t="shared" si="46"/>
        <v>36.975987215362906</v>
      </c>
      <c r="AZ307" s="9">
        <f t="shared" si="47"/>
        <v>31.784426152113614</v>
      </c>
      <c r="BA307" s="9">
        <f t="shared" si="67"/>
        <v>8.931872894595763</v>
      </c>
      <c r="BB307" s="9">
        <f t="shared" si="34"/>
        <v>3.7532904850863895</v>
      </c>
      <c r="BC307" s="9">
        <f t="shared" si="48"/>
        <v>0</v>
      </c>
      <c r="BE307" s="9">
        <f t="shared" si="49"/>
        <v>162.11516697802364</v>
      </c>
    </row>
    <row r="308" spans="1:57" ht="18" customHeight="1">
      <c r="A308" s="140"/>
      <c r="B308" s="13"/>
      <c r="C308" s="13"/>
      <c r="D308" s="33"/>
      <c r="E308" s="33"/>
      <c r="F308" s="33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9">
        <f t="shared" si="35"/>
        <v>3.688230438483368</v>
      </c>
      <c r="AC308" s="9">
        <f t="shared" si="60"/>
        <v>43.5</v>
      </c>
      <c r="AD308" s="9">
        <f t="shared" si="37"/>
        <v>37.27676849340098</v>
      </c>
      <c r="AE308" s="9">
        <f t="shared" si="38"/>
        <v>0.04310745059226929</v>
      </c>
      <c r="AF308" s="9">
        <f t="shared" si="61"/>
        <v>43.5</v>
      </c>
      <c r="AG308" s="9">
        <f t="shared" si="51"/>
        <v>0.7592182246175333</v>
      </c>
      <c r="AH308" s="9">
        <f t="shared" si="68"/>
        <v>189.18751089378327</v>
      </c>
      <c r="AI308" s="9">
        <f t="shared" si="40"/>
        <v>3.688230438483368</v>
      </c>
      <c r="AJ308" s="9">
        <f t="shared" si="52"/>
        <v>-0.7117695615166317</v>
      </c>
      <c r="AK308" s="9">
        <f t="shared" si="41"/>
        <v>3</v>
      </c>
      <c r="AL308" s="9">
        <f t="shared" si="31"/>
        <v>3.15</v>
      </c>
      <c r="AM308" s="9">
        <f t="shared" si="62"/>
        <v>1.795790689045293</v>
      </c>
      <c r="AN308" s="153">
        <f t="shared" si="54"/>
        <v>1.795790689045293</v>
      </c>
      <c r="AO308" s="9">
        <f t="shared" si="32"/>
        <v>2.726088384901298</v>
      </c>
      <c r="AP308" s="9">
        <f t="shared" si="63"/>
        <v>4.21512050112385</v>
      </c>
      <c r="AQ308" s="9">
        <f t="shared" si="56"/>
        <v>0.6882304384833682</v>
      </c>
      <c r="AR308" s="9">
        <f t="shared" si="64"/>
        <v>4.024452497047586</v>
      </c>
      <c r="AS308" s="9">
        <f t="shared" si="42"/>
        <v>2.5869612830043263</v>
      </c>
      <c r="AT308" s="130">
        <f t="shared" si="58"/>
        <v>1.4130387169956737</v>
      </c>
      <c r="AU308" s="9">
        <f t="shared" si="65"/>
        <v>30.75</v>
      </c>
      <c r="AV308" s="9">
        <f t="shared" si="43"/>
        <v>129.0880653469179</v>
      </c>
      <c r="AW308" s="9">
        <f t="shared" si="66"/>
        <v>0</v>
      </c>
      <c r="AX308" s="9">
        <f t="shared" si="45"/>
        <v>0</v>
      </c>
      <c r="AY308" s="9">
        <f t="shared" si="46"/>
        <v>37.877343895997186</v>
      </c>
      <c r="AZ308" s="9">
        <f t="shared" si="47"/>
        <v>29.34944554686538</v>
      </c>
      <c r="BA308" s="9">
        <f t="shared" si="67"/>
        <v>8.160446627731368</v>
      </c>
      <c r="BB308" s="9">
        <f t="shared" si="34"/>
        <v>3.688230438483368</v>
      </c>
      <c r="BC308" s="9">
        <f t="shared" si="48"/>
        <v>0</v>
      </c>
      <c r="BE308" s="9">
        <f t="shared" si="49"/>
        <v>159.8380653469179</v>
      </c>
    </row>
    <row r="309" spans="1:57" s="31" customFormat="1" ht="18" customHeight="1">
      <c r="A309" s="140"/>
      <c r="B309" s="13"/>
      <c r="C309" s="13"/>
      <c r="D309" s="33"/>
      <c r="E309" s="33"/>
      <c r="F309" s="33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66"/>
      <c r="Z309" s="66"/>
      <c r="AA309" s="66"/>
      <c r="AB309" s="31">
        <f t="shared" si="35"/>
        <v>3.624356098266994</v>
      </c>
      <c r="AC309" s="31">
        <f t="shared" si="60"/>
        <v>44</v>
      </c>
      <c r="AD309" s="9">
        <f t="shared" si="37"/>
        <v>37.33699064695975</v>
      </c>
      <c r="AE309" s="9">
        <f t="shared" si="38"/>
        <v>0.04010265435380717</v>
      </c>
      <c r="AF309" s="31">
        <f t="shared" si="61"/>
        <v>44</v>
      </c>
      <c r="AG309" s="31">
        <f t="shared" si="51"/>
        <v>0.767944870877505</v>
      </c>
      <c r="AH309" s="9">
        <f t="shared" si="68"/>
        <v>184.50425648742686</v>
      </c>
      <c r="AI309" s="9">
        <f t="shared" si="40"/>
        <v>3.624356098266994</v>
      </c>
      <c r="AJ309" s="31">
        <f t="shared" si="52"/>
        <v>-0.7756439017330061</v>
      </c>
      <c r="AK309" s="31">
        <f t="shared" si="41"/>
        <v>3</v>
      </c>
      <c r="AL309" s="31">
        <f t="shared" si="31"/>
        <v>3.15</v>
      </c>
      <c r="AM309" s="31">
        <f t="shared" si="62"/>
        <v>1.695416725848133</v>
      </c>
      <c r="AN309" s="131">
        <f t="shared" si="54"/>
        <v>1.695416725848133</v>
      </c>
      <c r="AO309" s="31">
        <f t="shared" si="32"/>
        <v>2.7453445140625017</v>
      </c>
      <c r="AP309" s="31">
        <f t="shared" si="63"/>
        <v>4.142121255162278</v>
      </c>
      <c r="AQ309" s="9">
        <f t="shared" si="56"/>
        <v>0.6243560982669938</v>
      </c>
      <c r="AR309" s="31">
        <f t="shared" si="64"/>
        <v>3.6502204044456525</v>
      </c>
      <c r="AS309" s="31">
        <f t="shared" si="42"/>
        <v>2.651148380208339</v>
      </c>
      <c r="AT309" s="154">
        <f t="shared" si="58"/>
        <v>1.348851619791661</v>
      </c>
      <c r="AU309" s="31">
        <f t="shared" si="65"/>
        <v>30.75</v>
      </c>
      <c r="AV309" s="31">
        <f t="shared" si="43"/>
        <v>126.85246343934477</v>
      </c>
      <c r="AW309" s="31">
        <f t="shared" si="66"/>
        <v>0</v>
      </c>
      <c r="AX309" s="9">
        <f t="shared" si="45"/>
        <v>0</v>
      </c>
      <c r="AY309" s="31">
        <f t="shared" si="46"/>
        <v>38.76227353071501</v>
      </c>
      <c r="AZ309" s="31">
        <f t="shared" si="47"/>
        <v>26.901793048082084</v>
      </c>
      <c r="BA309" s="31">
        <f t="shared" si="67"/>
        <v>7.403079450880071</v>
      </c>
      <c r="BB309" s="31">
        <f t="shared" si="34"/>
        <v>3.624356098266994</v>
      </c>
      <c r="BC309" s="31">
        <f t="shared" si="48"/>
        <v>0</v>
      </c>
      <c r="BE309" s="31">
        <f t="shared" si="49"/>
        <v>157.60246343934477</v>
      </c>
    </row>
    <row r="310" spans="1:57" ht="18" customHeight="1">
      <c r="A310" s="140"/>
      <c r="B310" s="13"/>
      <c r="C310" s="13"/>
      <c r="D310" s="33"/>
      <c r="E310" s="33"/>
      <c r="F310" s="33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9">
        <f t="shared" si="35"/>
        <v>3.561625875402438</v>
      </c>
      <c r="AC310" s="9">
        <f t="shared" si="60"/>
        <v>44.5</v>
      </c>
      <c r="AD310" s="9">
        <f t="shared" si="37"/>
        <v>37.33461918443525</v>
      </c>
      <c r="AE310" s="9">
        <f t="shared" si="38"/>
        <v>0.0370099646336503</v>
      </c>
      <c r="AF310" s="9">
        <f t="shared" si="61"/>
        <v>44.5</v>
      </c>
      <c r="AG310" s="9">
        <f t="shared" si="51"/>
        <v>0.7766715171374767</v>
      </c>
      <c r="AH310" s="9">
        <f t="shared" si="68"/>
        <v>179.84987387729817</v>
      </c>
      <c r="AI310" s="9">
        <f t="shared" si="40"/>
        <v>3.561625875402438</v>
      </c>
      <c r="AJ310" s="9">
        <f t="shared" si="52"/>
        <v>-0.838374124597562</v>
      </c>
      <c r="AK310" s="9">
        <f t="shared" si="41"/>
        <v>3</v>
      </c>
      <c r="AL310" s="9">
        <f t="shared" si="31"/>
        <v>3.15</v>
      </c>
      <c r="AM310" s="9">
        <f t="shared" si="62"/>
        <v>1.5968406613466883</v>
      </c>
      <c r="AN310" s="153">
        <f t="shared" si="54"/>
        <v>1.5968406613466883</v>
      </c>
      <c r="AO310" s="9">
        <f t="shared" si="32"/>
        <v>2.765208992729432</v>
      </c>
      <c r="AP310" s="9">
        <f t="shared" si="63"/>
        <v>4.070429571888501</v>
      </c>
      <c r="AQ310" s="9">
        <f t="shared" si="56"/>
        <v>0.5616258754024379</v>
      </c>
      <c r="AR310" s="9">
        <f t="shared" si="64"/>
        <v>3.3102511068425535</v>
      </c>
      <c r="AS310" s="9">
        <f t="shared" si="42"/>
        <v>2.717363309098107</v>
      </c>
      <c r="AT310" s="130">
        <f t="shared" si="58"/>
        <v>1.2826366909018931</v>
      </c>
      <c r="AU310" s="9">
        <f t="shared" si="65"/>
        <v>30.75</v>
      </c>
      <c r="AV310" s="9">
        <f t="shared" si="43"/>
        <v>124.65690563908535</v>
      </c>
      <c r="AW310" s="9">
        <f t="shared" si="66"/>
        <v>0</v>
      </c>
      <c r="AX310" s="9">
        <f t="shared" si="45"/>
        <v>0</v>
      </c>
      <c r="AY310" s="9">
        <f t="shared" si="46"/>
        <v>39.631352303462435</v>
      </c>
      <c r="AZ310" s="9">
        <f t="shared" si="47"/>
        <v>24.442968238212806</v>
      </c>
      <c r="BA310" s="9">
        <f t="shared" si="67"/>
        <v>6.659278236914623</v>
      </c>
      <c r="BB310" s="9">
        <f t="shared" si="34"/>
        <v>3.561625875402438</v>
      </c>
      <c r="BC310" s="9">
        <f t="shared" si="48"/>
        <v>0</v>
      </c>
      <c r="BE310" s="9">
        <f t="shared" si="49"/>
        <v>155.40690563908535</v>
      </c>
    </row>
    <row r="311" spans="1:57" ht="18" customHeight="1">
      <c r="A311" s="140"/>
      <c r="B311" s="13"/>
      <c r="C311" s="13"/>
      <c r="D311" s="33"/>
      <c r="E311" s="33"/>
      <c r="F311" s="33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9">
        <f t="shared" si="35"/>
        <v>3.5000000000000004</v>
      </c>
      <c r="AC311" s="9">
        <f t="shared" si="60"/>
        <v>45</v>
      </c>
      <c r="AD311" s="9">
        <f t="shared" si="37"/>
        <v>37.27052289794909</v>
      </c>
      <c r="AE311" s="9">
        <f t="shared" si="38"/>
        <v>0.03382127504665625</v>
      </c>
      <c r="AF311" s="9">
        <f t="shared" si="61"/>
        <v>45</v>
      </c>
      <c r="AG311" s="9">
        <f t="shared" si="51"/>
        <v>0.7853981633974483</v>
      </c>
      <c r="AH311" s="9">
        <f t="shared" si="68"/>
        <v>175.22434402332362</v>
      </c>
      <c r="AI311" s="9">
        <f t="shared" si="40"/>
        <v>3.5000000000000004</v>
      </c>
      <c r="AJ311" s="9">
        <f t="shared" si="52"/>
        <v>-0.8999999999999995</v>
      </c>
      <c r="AK311" s="9">
        <f t="shared" si="41"/>
        <v>3</v>
      </c>
      <c r="AL311" s="9">
        <f t="shared" si="31"/>
        <v>3.15</v>
      </c>
      <c r="AM311" s="9">
        <f t="shared" si="62"/>
        <v>1.5000000000000004</v>
      </c>
      <c r="AN311" s="153">
        <f t="shared" si="54"/>
        <v>1.5000000000000004</v>
      </c>
      <c r="AO311" s="9">
        <f t="shared" si="32"/>
        <v>2.7857142857142856</v>
      </c>
      <c r="AP311" s="9">
        <f t="shared" si="63"/>
        <v>4</v>
      </c>
      <c r="AQ311" s="9">
        <f t="shared" si="56"/>
        <v>0.5000000000000004</v>
      </c>
      <c r="AR311" s="9">
        <f t="shared" si="64"/>
        <v>3</v>
      </c>
      <c r="AS311" s="9">
        <f t="shared" si="42"/>
        <v>2.785714285714285</v>
      </c>
      <c r="AT311" s="130">
        <f t="shared" si="58"/>
        <v>1.2142857142857149</v>
      </c>
      <c r="AU311" s="9">
        <f t="shared" si="65"/>
        <v>30.75</v>
      </c>
      <c r="AV311" s="9">
        <f t="shared" si="43"/>
        <v>122.5</v>
      </c>
      <c r="AW311" s="9">
        <f t="shared" si="66"/>
        <v>0</v>
      </c>
      <c r="AX311" s="9">
        <f t="shared" si="45"/>
        <v>0</v>
      </c>
      <c r="AY311" s="9">
        <f t="shared" si="46"/>
        <v>40.48513119533527</v>
      </c>
      <c r="AZ311" s="9">
        <f t="shared" si="47"/>
        <v>21.97434402332363</v>
      </c>
      <c r="BA311" s="9">
        <f t="shared" si="67"/>
        <v>5.928571428571435</v>
      </c>
      <c r="BB311" s="9">
        <f t="shared" si="34"/>
        <v>3.5000000000000004</v>
      </c>
      <c r="BC311" s="9">
        <f t="shared" si="48"/>
        <v>0</v>
      </c>
      <c r="BE311" s="9">
        <f t="shared" si="49"/>
        <v>153.25</v>
      </c>
    </row>
    <row r="312" spans="1:57" ht="18" customHeight="1">
      <c r="A312" s="140"/>
      <c r="B312" s="13"/>
      <c r="C312" s="13"/>
      <c r="D312" s="33"/>
      <c r="E312" s="33"/>
      <c r="F312" s="33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32"/>
      <c r="S312" s="32"/>
      <c r="T312" s="16"/>
      <c r="U312" s="16"/>
      <c r="V312" s="16"/>
      <c r="W312" s="16"/>
      <c r="X312" s="16"/>
      <c r="Y312" s="16"/>
      <c r="Z312" s="16"/>
      <c r="AA312" s="16"/>
      <c r="AB312" s="9">
        <f t="shared" si="35"/>
        <v>3.439440420904915</v>
      </c>
      <c r="AC312" s="9">
        <f t="shared" si="60"/>
        <v>45.5</v>
      </c>
      <c r="AD312" s="9">
        <f t="shared" si="37"/>
        <v>37.14555098928557</v>
      </c>
      <c r="AE312" s="9">
        <f t="shared" si="38"/>
        <v>0.03052782417039774</v>
      </c>
      <c r="AF312" s="9">
        <f t="shared" si="61"/>
        <v>45.5</v>
      </c>
      <c r="AG312" s="9">
        <f t="shared" si="51"/>
        <v>0.7941248096574199</v>
      </c>
      <c r="AH312" s="9">
        <f t="shared" si="68"/>
        <v>170.6275913196268</v>
      </c>
      <c r="AI312" s="9">
        <f t="shared" si="40"/>
        <v>3.439440420904915</v>
      </c>
      <c r="AJ312" s="9">
        <f t="shared" si="52"/>
        <v>-0.9605595790950847</v>
      </c>
      <c r="AK312" s="9">
        <f t="shared" si="41"/>
        <v>3</v>
      </c>
      <c r="AL312" s="9">
        <f t="shared" si="31"/>
        <v>3.15</v>
      </c>
      <c r="AM312" s="9">
        <f t="shared" si="62"/>
        <v>1.4048349471362958</v>
      </c>
      <c r="AN312" s="153">
        <f t="shared" si="54"/>
        <v>1.4048349471362958</v>
      </c>
      <c r="AO312" s="9">
        <f t="shared" si="32"/>
        <v>2.8068951885498707</v>
      </c>
      <c r="AP312" s="9">
        <f t="shared" si="63"/>
        <v>3.9307890524627607</v>
      </c>
      <c r="AQ312" s="9">
        <f t="shared" si="56"/>
        <v>0.4394404209049152</v>
      </c>
      <c r="AR312" s="9">
        <f t="shared" si="64"/>
        <v>2.7156920831263145</v>
      </c>
      <c r="AS312" s="9">
        <f t="shared" si="42"/>
        <v>2.856317295166236</v>
      </c>
      <c r="AT312" s="130">
        <f t="shared" si="58"/>
        <v>1.1436827048337639</v>
      </c>
      <c r="AU312" s="9">
        <f t="shared" si="65"/>
        <v>30.75</v>
      </c>
      <c r="AV312" s="9">
        <f t="shared" si="43"/>
        <v>120.38041473167205</v>
      </c>
      <c r="AW312" s="9">
        <f t="shared" si="66"/>
        <v>0</v>
      </c>
      <c r="AX312" s="9">
        <f t="shared" si="45"/>
        <v>0</v>
      </c>
      <c r="AY312" s="9">
        <f t="shared" si="46"/>
        <v>41.32413737568467</v>
      </c>
      <c r="AZ312" s="9">
        <f t="shared" si="47"/>
        <v>19.497176587954755</v>
      </c>
      <c r="BA312" s="9">
        <f t="shared" si="67"/>
        <v>5.210507847872567</v>
      </c>
      <c r="BB312" s="9">
        <f t="shared" si="34"/>
        <v>3.439440420904915</v>
      </c>
      <c r="BC312" s="9">
        <f t="shared" si="48"/>
        <v>0</v>
      </c>
      <c r="BE312" s="9">
        <f t="shared" si="49"/>
        <v>151.13041473167203</v>
      </c>
    </row>
    <row r="313" spans="1:57" ht="18" customHeight="1">
      <c r="A313" s="140"/>
      <c r="B313" s="13"/>
      <c r="C313" s="13"/>
      <c r="D313" s="33"/>
      <c r="E313" s="33"/>
      <c r="F313" s="33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32"/>
      <c r="S313" s="32"/>
      <c r="T313" s="16"/>
      <c r="U313" s="16"/>
      <c r="V313" s="16"/>
      <c r="W313" s="16"/>
      <c r="X313" s="16"/>
      <c r="Y313" s="16"/>
      <c r="Z313" s="16"/>
      <c r="AA313" s="16"/>
      <c r="AB313" s="9">
        <f t="shared" si="35"/>
        <v>3.3799107118247598</v>
      </c>
      <c r="AC313" s="9">
        <f t="shared" si="60"/>
        <v>46</v>
      </c>
      <c r="AD313" s="9">
        <f t="shared" si="37"/>
        <v>36.96053133948642</v>
      </c>
      <c r="AE313" s="9">
        <f t="shared" si="38"/>
        <v>0.02712010709568076</v>
      </c>
      <c r="AF313" s="9">
        <f t="shared" si="61"/>
        <v>46</v>
      </c>
      <c r="AG313" s="9">
        <f t="shared" si="51"/>
        <v>0.8028514559173915</v>
      </c>
      <c r="AH313" s="9">
        <f t="shared" si="68"/>
        <v>166.0594894154757</v>
      </c>
      <c r="AI313" s="9">
        <f t="shared" si="40"/>
        <v>3.3799107118247598</v>
      </c>
      <c r="AJ313" s="9">
        <f t="shared" si="52"/>
        <v>-1.0200892881752401</v>
      </c>
      <c r="AK313" s="9">
        <f t="shared" si="41"/>
        <v>3</v>
      </c>
      <c r="AL313" s="9">
        <f t="shared" si="31"/>
        <v>3.15</v>
      </c>
      <c r="AM313" s="9">
        <f t="shared" si="62"/>
        <v>1.311288261438908</v>
      </c>
      <c r="AN313" s="153">
        <f t="shared" si="54"/>
        <v>1.311288261438908</v>
      </c>
      <c r="AO313" s="9">
        <f t="shared" si="32"/>
        <v>2.8287890409742014</v>
      </c>
      <c r="AP313" s="9">
        <f t="shared" si="63"/>
        <v>3.8627550992282966</v>
      </c>
      <c r="AQ313" s="9">
        <f t="shared" si="56"/>
        <v>0.3799107118247598</v>
      </c>
      <c r="AR313" s="9">
        <f t="shared" si="64"/>
        <v>2.4541656615307605</v>
      </c>
      <c r="AS313" s="9">
        <f t="shared" si="42"/>
        <v>2.9292968032473388</v>
      </c>
      <c r="AT313" s="130">
        <f t="shared" si="58"/>
        <v>1.0707031967526612</v>
      </c>
      <c r="AU313" s="9">
        <f t="shared" si="65"/>
        <v>30.75</v>
      </c>
      <c r="AV313" s="9">
        <f t="shared" si="43"/>
        <v>118.29687491386659</v>
      </c>
      <c r="AW313" s="9">
        <f t="shared" si="66"/>
        <v>0</v>
      </c>
      <c r="AX313" s="9">
        <f t="shared" si="45"/>
        <v>0</v>
      </c>
      <c r="AY313" s="9">
        <f t="shared" si="46"/>
        <v>42.14887550264939</v>
      </c>
      <c r="AZ313" s="9">
        <f t="shared" si="47"/>
        <v>17.012614501609107</v>
      </c>
      <c r="BA313" s="9">
        <f t="shared" si="67"/>
        <v>4.504655583065009</v>
      </c>
      <c r="BB313" s="9">
        <f t="shared" si="34"/>
        <v>3.3799107118247598</v>
      </c>
      <c r="BC313" s="9">
        <f t="shared" si="48"/>
        <v>0</v>
      </c>
      <c r="BE313" s="9">
        <f t="shared" si="49"/>
        <v>149.0468749138666</v>
      </c>
    </row>
    <row r="314" spans="1:57" ht="18" customHeight="1">
      <c r="A314" s="140"/>
      <c r="B314" s="13"/>
      <c r="C314" s="13"/>
      <c r="D314" s="33"/>
      <c r="E314" s="33"/>
      <c r="F314" s="33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32"/>
      <c r="S314" s="32"/>
      <c r="T314" s="32"/>
      <c r="U314" s="32"/>
      <c r="V314" s="32"/>
      <c r="W314" s="32"/>
      <c r="X314" s="32"/>
      <c r="Y314" s="16"/>
      <c r="Z314" s="16"/>
      <c r="AA314" s="16"/>
      <c r="AB314" s="9">
        <f t="shared" si="35"/>
        <v>3.32137598350208</v>
      </c>
      <c r="AC314" s="9">
        <f t="shared" si="60"/>
        <v>46.5</v>
      </c>
      <c r="AD314" s="9">
        <f t="shared" si="37"/>
        <v>36.71626904713161</v>
      </c>
      <c r="AE314" s="9">
        <f t="shared" si="38"/>
        <v>0.023587774594534316</v>
      </c>
      <c r="AF314" s="9">
        <f t="shared" si="61"/>
        <v>46.5</v>
      </c>
      <c r="AG314" s="9">
        <f t="shared" si="51"/>
        <v>0.8115781021773631</v>
      </c>
      <c r="AH314" s="9">
        <f t="shared" si="68"/>
        <v>161.5198664779609</v>
      </c>
      <c r="AI314" s="9">
        <f t="shared" si="40"/>
        <v>3.32137598350208</v>
      </c>
      <c r="AJ314" s="9">
        <f t="shared" si="52"/>
        <v>-1.07862401649792</v>
      </c>
      <c r="AK314" s="9">
        <f t="shared" si="41"/>
        <v>3</v>
      </c>
      <c r="AL314" s="9">
        <f t="shared" si="31"/>
        <v>3.15</v>
      </c>
      <c r="AM314" s="9">
        <f t="shared" si="62"/>
        <v>1.21930511693184</v>
      </c>
      <c r="AN314" s="153">
        <f>IF(AR314&lt;Ho,0,AM314+(1/TAN(AG314)-1/TAN(β))*Ho)</f>
        <v>1.21930511693184</v>
      </c>
      <c r="AO314" s="9">
        <f t="shared" si="32"/>
        <v>2.8514359643105402</v>
      </c>
      <c r="AP314" s="9">
        <f t="shared" si="63"/>
        <v>3.7958582668595198</v>
      </c>
      <c r="AQ314" s="9">
        <f t="shared" si="56"/>
        <v>0.32137598350207996</v>
      </c>
      <c r="AR314" s="9">
        <f t="shared" si="64"/>
        <v>2.2127526530602246</v>
      </c>
      <c r="AS314" s="9">
        <f t="shared" si="42"/>
        <v>3.0047865477018014</v>
      </c>
      <c r="AT314" s="130">
        <f t="shared" si="58"/>
        <v>0.9952134522981986</v>
      </c>
      <c r="AU314" s="9">
        <f t="shared" si="65"/>
        <v>30.75</v>
      </c>
      <c r="AV314" s="9">
        <f t="shared" si="43"/>
        <v>116.2481594225728</v>
      </c>
      <c r="AW314" s="9">
        <f t="shared" si="66"/>
        <v>0</v>
      </c>
      <c r="AX314" s="9">
        <f t="shared" si="45"/>
        <v>0</v>
      </c>
      <c r="AY314" s="9">
        <f t="shared" si="46"/>
        <v>42.9598289399362</v>
      </c>
      <c r="AZ314" s="9">
        <f t="shared" si="47"/>
        <v>14.52170705538811</v>
      </c>
      <c r="BA314" s="9">
        <f t="shared" si="67"/>
        <v>3.810600947238949</v>
      </c>
      <c r="BB314" s="9">
        <f t="shared" si="34"/>
        <v>3.32137598350208</v>
      </c>
      <c r="BC314" s="9">
        <f t="shared" si="48"/>
        <v>0</v>
      </c>
      <c r="BE314" s="9">
        <f t="shared" si="49"/>
        <v>146.9981594225728</v>
      </c>
    </row>
    <row r="315" spans="2:57" ht="18" customHeight="1">
      <c r="B315" s="13"/>
      <c r="C315" s="13"/>
      <c r="D315" s="33"/>
      <c r="E315" s="33"/>
      <c r="F315" s="33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32"/>
      <c r="S315" s="32"/>
      <c r="T315" s="32"/>
      <c r="U315" s="32"/>
      <c r="V315" s="32"/>
      <c r="W315" s="32"/>
      <c r="X315" s="32"/>
      <c r="Y315" s="16"/>
      <c r="Z315" s="16"/>
      <c r="AA315" s="16"/>
      <c r="AB315" s="9">
        <f t="shared" si="35"/>
        <v>3.2638028014818157</v>
      </c>
      <c r="AC315" s="9">
        <f t="shared" si="60"/>
        <v>47</v>
      </c>
      <c r="AD315" s="9">
        <f t="shared" si="37"/>
        <v>36.413545201493534</v>
      </c>
      <c r="AE315" s="9">
        <f t="shared" si="38"/>
        <v>0.019919517633062333</v>
      </c>
      <c r="AF315" s="9">
        <f t="shared" si="61"/>
        <v>47</v>
      </c>
      <c r="AG315" s="9">
        <f t="shared" si="51"/>
        <v>0.8203047484373349</v>
      </c>
      <c r="AH315" s="9">
        <f t="shared" si="68"/>
        <v>157.0085099512349</v>
      </c>
      <c r="AI315" s="9">
        <f t="shared" si="40"/>
        <v>3.2638028014818157</v>
      </c>
      <c r="AJ315" s="9">
        <f t="shared" si="52"/>
        <v>-1.1361971985181842</v>
      </c>
      <c r="AK315" s="9">
        <f t="shared" si="41"/>
        <v>3</v>
      </c>
      <c r="AL315" s="9">
        <f t="shared" si="31"/>
        <v>3.15</v>
      </c>
      <c r="AM315" s="9">
        <f t="shared" si="62"/>
        <v>1.128832973757139</v>
      </c>
      <c r="AN315" s="153">
        <f t="shared" si="54"/>
        <v>1.128832973757139</v>
      </c>
      <c r="AO315" s="9">
        <f t="shared" si="32"/>
        <v>2.8748791259228232</v>
      </c>
      <c r="AP315" s="9">
        <f t="shared" si="63"/>
        <v>3.7300603445506466</v>
      </c>
      <c r="AQ315" s="9">
        <f>MAX(0,(Hl-Df)/TAN(AG315)-λ)</f>
        <v>0.2638028014818157</v>
      </c>
      <c r="AR315" s="9">
        <f t="shared" si="64"/>
        <v>1.9891858729322507</v>
      </c>
      <c r="AS315" s="9">
        <f>SIN(θu-ω2)*SIN(AG315)/COS(ω2)/SIN(θu-AG315)*λ</f>
        <v>3.0829304197427447</v>
      </c>
      <c r="AT315" s="130">
        <f t="shared" si="58"/>
        <v>0.9170695802572553</v>
      </c>
      <c r="AU315" s="9">
        <f t="shared" si="65"/>
        <v>30.75</v>
      </c>
      <c r="AV315" s="9">
        <f t="shared" si="43"/>
        <v>114.23309805186355</v>
      </c>
      <c r="AW315" s="9">
        <f t="shared" si="66"/>
        <v>0</v>
      </c>
      <c r="AX315" s="9">
        <f>IF(AG315&gt;=ω1,0,IF(AR315&lt;Ho,0.5*AM315*AR315*γs,0.5*(AM315+AN315)*Ho*γs+AN315*$AE$288))</f>
        <v>0</v>
      </c>
      <c r="AY315" s="9">
        <f t="shared" si="46"/>
        <v>43.757460896088666</v>
      </c>
      <c r="AZ315" s="9">
        <f t="shared" si="47"/>
        <v>12.025411899371372</v>
      </c>
      <c r="BA315" s="9">
        <f t="shared" si="67"/>
        <v>3.1279475032843864</v>
      </c>
      <c r="BB315" s="9">
        <f t="shared" si="34"/>
        <v>3.2638028014818157</v>
      </c>
      <c r="BC315" s="9">
        <f t="shared" si="48"/>
        <v>0</v>
      </c>
      <c r="BE315" s="9">
        <f t="shared" si="49"/>
        <v>144.98309805186355</v>
      </c>
    </row>
    <row r="316" spans="1:57" s="31" customFormat="1" ht="18" customHeight="1">
      <c r="A316" s="123"/>
      <c r="B316" s="13"/>
      <c r="C316" s="13"/>
      <c r="D316" s="33"/>
      <c r="E316" s="33"/>
      <c r="F316" s="33"/>
      <c r="G316" s="9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32"/>
      <c r="S316" s="32"/>
      <c r="T316" s="32"/>
      <c r="U316" s="32"/>
      <c r="V316" s="32"/>
      <c r="W316" s="32"/>
      <c r="X316" s="32"/>
      <c r="Y316" s="42"/>
      <c r="Z316" s="42"/>
      <c r="AA316" s="42"/>
      <c r="AB316" s="31">
        <f t="shared" si="35"/>
        <v>3.207159109060982</v>
      </c>
      <c r="AC316" s="31">
        <f t="shared" si="60"/>
        <v>47.5</v>
      </c>
      <c r="AD316" s="9">
        <f t="shared" si="37"/>
        <v>36.05311586073248</v>
      </c>
      <c r="AE316" s="9">
        <f t="shared" si="38"/>
        <v>0.01610293449640323</v>
      </c>
      <c r="AF316" s="31">
        <f t="shared" si="61"/>
        <v>47.5</v>
      </c>
      <c r="AG316" s="31">
        <f t="shared" si="51"/>
        <v>0.8290313946973066</v>
      </c>
      <c r="AH316" s="9">
        <f t="shared" si="68"/>
        <v>152.52517086141384</v>
      </c>
      <c r="AI316" s="9">
        <f t="shared" si="40"/>
        <v>3.207159109060982</v>
      </c>
      <c r="AJ316" s="31">
        <f t="shared" si="52"/>
        <v>-1.192840890939018</v>
      </c>
      <c r="AK316" s="31">
        <f t="shared" si="41"/>
        <v>3</v>
      </c>
      <c r="AL316" s="31">
        <f t="shared" si="31"/>
        <v>3.15</v>
      </c>
      <c r="AM316" s="31">
        <f t="shared" si="62"/>
        <v>1.0398214570958286</v>
      </c>
      <c r="AN316" s="131">
        <f t="shared" si="54"/>
        <v>1.0398214570958286</v>
      </c>
      <c r="AO316" s="31">
        <f t="shared" si="32"/>
        <v>2.899165034419405</v>
      </c>
      <c r="AP316" s="31">
        <f t="shared" si="63"/>
        <v>3.6653246960696935</v>
      </c>
      <c r="AQ316" s="9">
        <f>MAX(0,(Hl-Df)/TAN(AG316)-λ)</f>
        <v>0.2071591090609819</v>
      </c>
      <c r="AR316" s="31">
        <f t="shared" si="64"/>
        <v>1.781526459538664</v>
      </c>
      <c r="AS316" s="31">
        <f t="shared" si="42"/>
        <v>3.1638834480646834</v>
      </c>
      <c r="AT316" s="154">
        <f t="shared" si="58"/>
        <v>0.8361165519353166</v>
      </c>
      <c r="AU316" s="31">
        <f t="shared" si="65"/>
        <v>30.75</v>
      </c>
      <c r="AV316" s="31">
        <f t="shared" si="43"/>
        <v>112.25056881713436</v>
      </c>
      <c r="AW316" s="31">
        <f t="shared" si="66"/>
        <v>0</v>
      </c>
      <c r="AX316" s="9">
        <f t="shared" si="45"/>
        <v>0</v>
      </c>
      <c r="AY316" s="31">
        <f t="shared" si="46"/>
        <v>44.54221549195981</v>
      </c>
      <c r="AZ316" s="31">
        <f t="shared" si="47"/>
        <v>9.524602044279485</v>
      </c>
      <c r="BA316" s="31">
        <f t="shared" si="67"/>
        <v>2.4563151502945</v>
      </c>
      <c r="BB316" s="31">
        <f t="shared" si="34"/>
        <v>3.207159109060982</v>
      </c>
      <c r="BC316" s="31">
        <f t="shared" si="48"/>
        <v>0</v>
      </c>
      <c r="BE316" s="31">
        <f t="shared" si="49"/>
        <v>143.00056881713436</v>
      </c>
    </row>
    <row r="317" spans="1:57" ht="18" customHeight="1">
      <c r="A317" s="141"/>
      <c r="B317" s="50"/>
      <c r="C317" s="33"/>
      <c r="D317" s="5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16"/>
      <c r="Z317" s="16"/>
      <c r="AA317" s="16"/>
      <c r="AB317" s="9">
        <f t="shared" si="35"/>
        <v>3.15141415504244</v>
      </c>
      <c r="AC317" s="9">
        <f t="shared" si="60"/>
        <v>48</v>
      </c>
      <c r="AD317" s="9">
        <f t="shared" si="37"/>
        <v>35.63571120879796</v>
      </c>
      <c r="AE317" s="9">
        <f t="shared" si="38"/>
        <v>0.012124377222702798</v>
      </c>
      <c r="AF317" s="9">
        <f t="shared" si="61"/>
        <v>48</v>
      </c>
      <c r="AG317" s="9">
        <f t="shared" si="51"/>
        <v>0.8377580409572781</v>
      </c>
      <c r="AH317" s="9">
        <f t="shared" si="68"/>
        <v>148.0695677111536</v>
      </c>
      <c r="AI317" s="9">
        <f>($AE$280-$AE$282)/TAN(AG317)</f>
        <v>3.15141415504244</v>
      </c>
      <c r="AJ317" s="9">
        <f t="shared" si="52"/>
        <v>-1.2485858449575598</v>
      </c>
      <c r="AK317" s="9">
        <f t="shared" si="41"/>
        <v>3</v>
      </c>
      <c r="AL317" s="9">
        <f t="shared" si="31"/>
        <v>3.15</v>
      </c>
      <c r="AM317" s="9">
        <f t="shared" si="62"/>
        <v>0.9522222436381202</v>
      </c>
      <c r="AN317" s="153">
        <f t="shared" si="54"/>
        <v>0.9522222436381202</v>
      </c>
      <c r="AO317" s="9">
        <f t="shared" si="32"/>
        <v>2.9243438698587467</v>
      </c>
      <c r="AP317" s="9">
        <f t="shared" si="63"/>
        <v>3.60161617719136</v>
      </c>
      <c r="AQ317" s="9">
        <f aca="true" t="shared" si="69" ref="AQ317:AQ329">MAX(0,(Hl-Df)/TAN(AG317)-λ)</f>
        <v>0.15141415504244016</v>
      </c>
      <c r="AR317" s="9">
        <f t="shared" si="64"/>
        <v>1.5881065150331362</v>
      </c>
      <c r="AS317" s="9">
        <f t="shared" si="42"/>
        <v>3.2478128995291558</v>
      </c>
      <c r="AT317" s="130">
        <f t="shared" si="58"/>
        <v>0.7521871004708442</v>
      </c>
      <c r="AU317" s="9">
        <f t="shared" si="65"/>
        <v>30.75</v>
      </c>
      <c r="AV317" s="9">
        <f t="shared" si="43"/>
        <v>110.29949542648541</v>
      </c>
      <c r="AW317" s="9">
        <f t="shared" si="66"/>
        <v>0</v>
      </c>
      <c r="AX317" s="9">
        <f t="shared" si="45"/>
        <v>0</v>
      </c>
      <c r="AY317" s="9">
        <f t="shared" si="46"/>
        <v>45.31451876162777</v>
      </c>
      <c r="AZ317" s="9">
        <f t="shared" si="47"/>
        <v>7.020072284668202</v>
      </c>
      <c r="BA317" s="9">
        <f t="shared" si="67"/>
        <v>1.7953392669317907</v>
      </c>
      <c r="BB317" s="9">
        <f t="shared" si="34"/>
        <v>3.15141415504244</v>
      </c>
      <c r="BC317" s="9">
        <f t="shared" si="48"/>
        <v>0</v>
      </c>
      <c r="BE317" s="9">
        <f t="shared" si="49"/>
        <v>141.0494954264854</v>
      </c>
    </row>
    <row r="318" spans="1:57" ht="18" customHeight="1">
      <c r="A318" s="141"/>
      <c r="B318" s="50"/>
      <c r="C318" s="33"/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16"/>
      <c r="Z318" s="16"/>
      <c r="AA318" s="16"/>
      <c r="AB318" s="9">
        <f t="shared" si="35"/>
        <v>3.0965384259458038</v>
      </c>
      <c r="AC318" s="9">
        <f t="shared" si="60"/>
        <v>48.5</v>
      </c>
      <c r="AD318" s="9">
        <f t="shared" si="37"/>
        <v>35.1620348677761</v>
      </c>
      <c r="AE318" s="9">
        <f t="shared" si="38"/>
        <v>0.007968773333038802</v>
      </c>
      <c r="AF318" s="9">
        <f t="shared" si="61"/>
        <v>48.5</v>
      </c>
      <c r="AG318" s="9">
        <f t="shared" si="51"/>
        <v>0.8464846872172498</v>
      </c>
      <c r="AH318" s="9">
        <f t="shared" si="68"/>
        <v>143.64139000339068</v>
      </c>
      <c r="AI318" s="9">
        <f t="shared" si="40"/>
        <v>3.0965384259458038</v>
      </c>
      <c r="AJ318" s="9">
        <f t="shared" si="52"/>
        <v>-1.3034615740541962</v>
      </c>
      <c r="AK318" s="9">
        <f t="shared" si="41"/>
        <v>3</v>
      </c>
      <c r="AL318" s="9">
        <f t="shared" si="31"/>
        <v>3.15</v>
      </c>
      <c r="AM318" s="9">
        <f t="shared" si="62"/>
        <v>0.8659889550576918</v>
      </c>
      <c r="AN318" s="153">
        <f t="shared" si="54"/>
        <v>0.8659889550576918</v>
      </c>
      <c r="AO318" s="9">
        <f t="shared" si="32"/>
        <v>2.9504698538967093</v>
      </c>
      <c r="AP318" s="9">
        <f t="shared" si="63"/>
        <v>3.5389010582237757</v>
      </c>
      <c r="AQ318" s="9">
        <f t="shared" si="69"/>
        <v>0.09653842594580375</v>
      </c>
      <c r="AR318" s="9">
        <f t="shared" si="64"/>
        <v>1.40748336502504</v>
      </c>
      <c r="AS318" s="9">
        <f t="shared" si="42"/>
        <v>3.3348995129890318</v>
      </c>
      <c r="AT318" s="130">
        <f t="shared" si="58"/>
        <v>0.6651004870109682</v>
      </c>
      <c r="AU318" s="9">
        <f t="shared" si="65"/>
        <v>30.75</v>
      </c>
      <c r="AV318" s="9">
        <f t="shared" si="43"/>
        <v>108.37884490810312</v>
      </c>
      <c r="AW318" s="9">
        <f t="shared" si="66"/>
        <v>0</v>
      </c>
      <c r="AX318" s="9">
        <f t="shared" si="45"/>
        <v>0</v>
      </c>
      <c r="AY318" s="9">
        <f t="shared" si="46"/>
        <v>46.074779591561345</v>
      </c>
      <c r="AZ318" s="9">
        <f t="shared" si="47"/>
        <v>4.51254509528756</v>
      </c>
      <c r="BA318" s="9">
        <f t="shared" si="67"/>
        <v>1.144669907643102</v>
      </c>
      <c r="BB318" s="9">
        <f t="shared" si="34"/>
        <v>3.0965384259458038</v>
      </c>
      <c r="BC318" s="9">
        <f t="shared" si="48"/>
        <v>0</v>
      </c>
      <c r="BE318" s="9">
        <f t="shared" si="49"/>
        <v>139.12884490810313</v>
      </c>
    </row>
    <row r="319" spans="1:57" ht="18" customHeight="1">
      <c r="A319" s="141"/>
      <c r="B319" s="50"/>
      <c r="C319" s="33"/>
      <c r="D319" s="5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16"/>
      <c r="Z319" s="16"/>
      <c r="AA319" s="16"/>
      <c r="AB319" s="9">
        <f t="shared" si="35"/>
        <v>3.042503582356794</v>
      </c>
      <c r="AC319" s="9">
        <f t="shared" si="60"/>
        <v>49</v>
      </c>
      <c r="AD319" s="9">
        <f t="shared" si="37"/>
        <v>34.632763345128446</v>
      </c>
      <c r="AE319" s="9">
        <f t="shared" si="38"/>
        <v>0.003619417956319658</v>
      </c>
      <c r="AF319" s="9">
        <f t="shared" si="61"/>
        <v>49</v>
      </c>
      <c r="AG319" s="9">
        <f t="shared" si="51"/>
        <v>0.8552113334772214</v>
      </c>
      <c r="AH319" s="9">
        <f t="shared" si="68"/>
        <v>139.24030142970602</v>
      </c>
      <c r="AI319" s="9">
        <f t="shared" si="40"/>
        <v>3.042503582356794</v>
      </c>
      <c r="AJ319" s="9">
        <f t="shared" si="52"/>
        <v>-1.357496417643206</v>
      </c>
      <c r="AK319" s="9">
        <f t="shared" si="41"/>
        <v>3</v>
      </c>
      <c r="AL319" s="9">
        <f t="shared" si="31"/>
        <v>3.15</v>
      </c>
      <c r="AM319" s="9">
        <f t="shared" si="62"/>
        <v>0.7810770579892474</v>
      </c>
      <c r="AN319" s="153">
        <f t="shared" si="54"/>
        <v>0.7810770579892474</v>
      </c>
      <c r="AO319" s="9">
        <f t="shared" si="32"/>
        <v>2.977601665628202</v>
      </c>
      <c r="AP319" s="9">
        <f t="shared" si="63"/>
        <v>3.477146951264907</v>
      </c>
      <c r="AQ319" s="9">
        <f t="shared" si="69"/>
        <v>0.042503582356793856</v>
      </c>
      <c r="AR319" s="9">
        <f t="shared" si="64"/>
        <v>1.2384027811383835</v>
      </c>
      <c r="AS319" s="9">
        <f t="shared" si="42"/>
        <v>3.4253388854273394</v>
      </c>
      <c r="AT319" s="130">
        <f t="shared" si="58"/>
        <v>0.5746611145726606</v>
      </c>
      <c r="AU319" s="9">
        <f t="shared" si="65"/>
        <v>30.75</v>
      </c>
      <c r="AV319" s="9">
        <f t="shared" si="43"/>
        <v>106.48762538248778</v>
      </c>
      <c r="AW319" s="9">
        <f t="shared" si="66"/>
        <v>0</v>
      </c>
      <c r="AX319" s="9">
        <f t="shared" si="45"/>
        <v>0</v>
      </c>
      <c r="AY319" s="9">
        <f t="shared" si="46"/>
        <v>46.82339060245048</v>
      </c>
      <c r="AZ319" s="9">
        <f t="shared" si="47"/>
        <v>2.002676047218235</v>
      </c>
      <c r="BA319" s="9">
        <f t="shared" si="67"/>
        <v>0.5039710479448415</v>
      </c>
      <c r="BB319" s="9">
        <f t="shared" si="34"/>
        <v>3.042503582356794</v>
      </c>
      <c r="BC319" s="9">
        <f t="shared" si="48"/>
        <v>0</v>
      </c>
      <c r="BE319" s="9">
        <f t="shared" si="49"/>
        <v>137.23762538248778</v>
      </c>
    </row>
    <row r="320" spans="1:57" ht="18" customHeight="1">
      <c r="A320" s="141"/>
      <c r="B320" s="50"/>
      <c r="C320" s="33"/>
      <c r="D320" s="5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9"/>
      <c r="S320" s="39"/>
      <c r="T320" s="32"/>
      <c r="U320" s="32"/>
      <c r="V320" s="32"/>
      <c r="W320" s="32"/>
      <c r="X320" s="32"/>
      <c r="Y320" s="16"/>
      <c r="Z320" s="16"/>
      <c r="AA320" s="16"/>
      <c r="AB320" s="9">
        <f t="shared" si="35"/>
        <v>2.989282399122133</v>
      </c>
      <c r="AC320" s="9">
        <f t="shared" si="60"/>
        <v>49.5</v>
      </c>
      <c r="AD320" s="9">
        <f t="shared" si="37"/>
        <v>34.30148765111908</v>
      </c>
      <c r="AE320" s="9">
        <f t="shared" si="38"/>
        <v>0</v>
      </c>
      <c r="AF320" s="9">
        <f t="shared" si="61"/>
        <v>49.5</v>
      </c>
      <c r="AG320" s="9">
        <f t="shared" si="51"/>
        <v>0.8639379797371932</v>
      </c>
      <c r="AH320" s="9">
        <f t="shared" si="68"/>
        <v>135.3728108602205</v>
      </c>
      <c r="AI320" s="9">
        <f t="shared" si="40"/>
        <v>2.989282399122133</v>
      </c>
      <c r="AJ320" s="9">
        <f t="shared" si="52"/>
        <v>-1.410717600877867</v>
      </c>
      <c r="AK320" s="9">
        <f t="shared" si="41"/>
        <v>3</v>
      </c>
      <c r="AL320" s="9">
        <f t="shared" si="31"/>
        <v>3.15</v>
      </c>
      <c r="AM320" s="9">
        <f t="shared" si="62"/>
        <v>0.6974437700490661</v>
      </c>
      <c r="AN320" s="153">
        <f t="shared" si="54"/>
        <v>0.6974437700490661</v>
      </c>
      <c r="AO320" s="9">
        <f t="shared" si="32"/>
        <v>3.0058029098427617</v>
      </c>
      <c r="AP320" s="9">
        <f t="shared" si="63"/>
        <v>3.4163227418538664</v>
      </c>
      <c r="AQ320" s="9">
        <f t="shared" si="69"/>
        <v>0</v>
      </c>
      <c r="AR320" s="9">
        <f t="shared" si="64"/>
        <v>1.0797691822383464</v>
      </c>
      <c r="AS320" s="9">
        <f t="shared" si="42"/>
        <v>3.5193430328092052</v>
      </c>
      <c r="AT320" s="130">
        <f t="shared" si="58"/>
        <v>0.48065696719079476</v>
      </c>
      <c r="AU320" s="9">
        <f t="shared" si="65"/>
        <v>29.588295572692914</v>
      </c>
      <c r="AV320" s="9">
        <f t="shared" si="43"/>
        <v>105.78451528752758</v>
      </c>
      <c r="AW320" s="9">
        <f t="shared" si="66"/>
        <v>0</v>
      </c>
      <c r="AX320" s="9">
        <f t="shared" si="45"/>
        <v>0</v>
      </c>
      <c r="AY320" s="9">
        <f t="shared" si="46"/>
        <v>0</v>
      </c>
      <c r="AZ320" s="9">
        <f t="shared" si="47"/>
        <v>0</v>
      </c>
      <c r="BA320" s="9">
        <f t="shared" si="67"/>
        <v>0</v>
      </c>
      <c r="BB320" s="9">
        <f t="shared" si="34"/>
        <v>2.989282399122133</v>
      </c>
      <c r="BC320" s="9">
        <f t="shared" si="48"/>
        <v>0</v>
      </c>
      <c r="BE320" s="9">
        <f t="shared" si="49"/>
        <v>135.3728108602205</v>
      </c>
    </row>
    <row r="321" spans="1:57" ht="18" customHeight="1">
      <c r="A321" s="141"/>
      <c r="B321" s="50"/>
      <c r="C321" s="33"/>
      <c r="D321" s="5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9"/>
      <c r="S321" s="39"/>
      <c r="T321" s="32"/>
      <c r="U321" s="32"/>
      <c r="V321" s="32"/>
      <c r="W321" s="32"/>
      <c r="X321" s="32"/>
      <c r="Y321" s="16"/>
      <c r="Z321" s="16"/>
      <c r="AA321" s="16"/>
      <c r="AB321" s="9">
        <f t="shared" si="35"/>
        <v>2.93684870912048</v>
      </c>
      <c r="AC321" s="9">
        <f t="shared" si="60"/>
        <v>50</v>
      </c>
      <c r="AD321" s="9">
        <f t="shared" si="37"/>
        <v>34.91208671416409</v>
      </c>
      <c r="AE321" s="9">
        <f t="shared" si="38"/>
        <v>0</v>
      </c>
      <c r="AF321" s="9">
        <f t="shared" si="61"/>
        <v>50</v>
      </c>
      <c r="AG321" s="9">
        <f t="shared" si="51"/>
        <v>0.8726646259971648</v>
      </c>
      <c r="AH321" s="9">
        <f t="shared" si="68"/>
        <v>133.46572803813388</v>
      </c>
      <c r="AI321" s="9">
        <f t="shared" si="40"/>
        <v>2.93684870912048</v>
      </c>
      <c r="AJ321" s="9">
        <f t="shared" si="52"/>
        <v>-1.46315129087952</v>
      </c>
      <c r="AK321" s="9">
        <f t="shared" si="41"/>
        <v>3</v>
      </c>
      <c r="AL321" s="9">
        <f t="shared" si="31"/>
        <v>3.15</v>
      </c>
      <c r="AM321" s="9">
        <f t="shared" si="62"/>
        <v>0.6150479714750401</v>
      </c>
      <c r="AN321" s="153">
        <f t="shared" si="54"/>
        <v>0.6150479714750401</v>
      </c>
      <c r="AO321" s="9">
        <f t="shared" si="32"/>
        <v>3.0351426455671713</v>
      </c>
      <c r="AP321" s="9">
        <f t="shared" si="63"/>
        <v>3.35639852470912</v>
      </c>
      <c r="AQ321" s="9">
        <f t="shared" si="69"/>
        <v>0</v>
      </c>
      <c r="AR321" s="9">
        <f t="shared" si="64"/>
        <v>0.9306213167510283</v>
      </c>
      <c r="AS321" s="9">
        <f t="shared" si="42"/>
        <v>3.6171421518905706</v>
      </c>
      <c r="AT321" s="130">
        <f t="shared" si="58"/>
        <v>0.38285784810942936</v>
      </c>
      <c r="AU321" s="9">
        <f t="shared" si="65"/>
        <v>23.6803040353171</v>
      </c>
      <c r="AV321" s="9">
        <f t="shared" si="43"/>
        <v>109.78542400281677</v>
      </c>
      <c r="AW321" s="9">
        <f t="shared" si="66"/>
        <v>0</v>
      </c>
      <c r="AX321" s="9">
        <f t="shared" si="45"/>
        <v>0</v>
      </c>
      <c r="AY321" s="9">
        <f t="shared" si="46"/>
        <v>0</v>
      </c>
      <c r="AZ321" s="9">
        <f t="shared" si="47"/>
        <v>0</v>
      </c>
      <c r="BA321" s="9">
        <f t="shared" si="67"/>
        <v>0</v>
      </c>
      <c r="BB321" s="9">
        <f t="shared" si="34"/>
        <v>2.93684870912048</v>
      </c>
      <c r="BC321" s="9">
        <f t="shared" si="48"/>
        <v>0</v>
      </c>
      <c r="BE321" s="9">
        <f t="shared" si="49"/>
        <v>133.46572803813388</v>
      </c>
    </row>
    <row r="322" spans="1:57" ht="18" customHeight="1">
      <c r="A322" s="141"/>
      <c r="B322" s="50"/>
      <c r="C322" s="33"/>
      <c r="D322" s="5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9"/>
      <c r="S322" s="39"/>
      <c r="T322" s="39"/>
      <c r="U322" s="39"/>
      <c r="V322" s="39"/>
      <c r="W322" s="39"/>
      <c r="X322" s="39"/>
      <c r="Y322" s="16"/>
      <c r="Z322" s="16"/>
      <c r="AA322" s="16"/>
      <c r="AB322" s="9">
        <f t="shared" si="35"/>
        <v>2.8851773503612352</v>
      </c>
      <c r="AC322" s="9">
        <f t="shared" si="60"/>
        <v>50.5</v>
      </c>
      <c r="AD322" s="9">
        <f t="shared" si="37"/>
        <v>35.46739412775583</v>
      </c>
      <c r="AE322" s="9">
        <f t="shared" si="38"/>
        <v>0</v>
      </c>
      <c r="AF322" s="9">
        <f t="shared" si="61"/>
        <v>50.5</v>
      </c>
      <c r="AG322" s="9">
        <f t="shared" si="51"/>
        <v>0.8813912722571364</v>
      </c>
      <c r="AH322" s="9">
        <f t="shared" si="68"/>
        <v>131.4797610302878</v>
      </c>
      <c r="AI322" s="9">
        <f t="shared" si="40"/>
        <v>2.8851773503612352</v>
      </c>
      <c r="AJ322" s="9">
        <f t="shared" si="52"/>
        <v>-1.5148226496387647</v>
      </c>
      <c r="AK322" s="9">
        <f t="shared" si="41"/>
        <v>3</v>
      </c>
      <c r="AL322" s="9">
        <f t="shared" si="31"/>
        <v>3.15</v>
      </c>
      <c r="AM322" s="9">
        <f t="shared" si="62"/>
        <v>0.5338501219962266</v>
      </c>
      <c r="AN322" s="153">
        <f t="shared" si="54"/>
        <v>0.5338501219962266</v>
      </c>
      <c r="AO322" s="9">
        <f t="shared" si="32"/>
        <v>3.0656959841494182</v>
      </c>
      <c r="AP322" s="9">
        <f t="shared" si="63"/>
        <v>3.2973455432699827</v>
      </c>
      <c r="AQ322" s="9">
        <f t="shared" si="69"/>
        <v>0</v>
      </c>
      <c r="AR322" s="9">
        <f t="shared" si="64"/>
        <v>0.7901122848566293</v>
      </c>
      <c r="AS322" s="9">
        <f t="shared" si="42"/>
        <v>3.7189866138313947</v>
      </c>
      <c r="AT322" s="130">
        <f t="shared" si="58"/>
        <v>0.2810133861686053</v>
      </c>
      <c r="AU322" s="9">
        <f t="shared" si="65"/>
        <v>17.466937759004296</v>
      </c>
      <c r="AV322" s="9">
        <f t="shared" si="43"/>
        <v>114.0128232712835</v>
      </c>
      <c r="AW322" s="9">
        <f t="shared" si="66"/>
        <v>0</v>
      </c>
      <c r="AX322" s="9">
        <f t="shared" si="45"/>
        <v>0</v>
      </c>
      <c r="AY322" s="9">
        <f t="shared" si="46"/>
        <v>0</v>
      </c>
      <c r="AZ322" s="9">
        <f t="shared" si="47"/>
        <v>0</v>
      </c>
      <c r="BA322" s="9">
        <f t="shared" si="67"/>
        <v>0</v>
      </c>
      <c r="BB322" s="9">
        <f t="shared" si="34"/>
        <v>2.8851773503612352</v>
      </c>
      <c r="BC322" s="9">
        <f t="shared" si="48"/>
        <v>0</v>
      </c>
      <c r="BE322" s="9">
        <f t="shared" si="49"/>
        <v>131.4797610302878</v>
      </c>
    </row>
    <row r="323" spans="1:57" ht="18" customHeight="1">
      <c r="A323" s="141"/>
      <c r="B323" s="50"/>
      <c r="C323" s="33"/>
      <c r="D323" s="5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9"/>
      <c r="S323" s="39"/>
      <c r="T323" s="39"/>
      <c r="U323" s="39"/>
      <c r="V323" s="39"/>
      <c r="W323" s="39"/>
      <c r="X323" s="39"/>
      <c r="Y323" s="16"/>
      <c r="Z323" s="16"/>
      <c r="AA323" s="16"/>
      <c r="AB323" s="9">
        <f t="shared" si="35"/>
        <v>2.834244116182526</v>
      </c>
      <c r="AC323" s="9">
        <f t="shared" si="60"/>
        <v>51</v>
      </c>
      <c r="AD323" s="9">
        <f t="shared" si="37"/>
        <v>35.964292500348385</v>
      </c>
      <c r="AE323" s="9">
        <f t="shared" si="38"/>
        <v>0</v>
      </c>
      <c r="AF323" s="9">
        <f t="shared" si="61"/>
        <v>51</v>
      </c>
      <c r="AG323" s="9">
        <f t="shared" si="51"/>
        <v>0.890117918517108</v>
      </c>
      <c r="AH323" s="9">
        <f t="shared" si="68"/>
        <v>129.4095900931163</v>
      </c>
      <c r="AI323" s="9">
        <f t="shared" si="40"/>
        <v>2.834244116182526</v>
      </c>
      <c r="AJ323" s="9">
        <f t="shared" si="52"/>
        <v>-1.565755883817474</v>
      </c>
      <c r="AK323" s="9">
        <f t="shared" si="41"/>
        <v>3</v>
      </c>
      <c r="AL323" s="9">
        <f aca="true" t="shared" si="70" ref="AL323:AL354">AK323+($AH$281+$AH$278)*$AE$282</f>
        <v>3.15</v>
      </c>
      <c r="AM323" s="9">
        <f t="shared" si="62"/>
        <v>0.45381218257254075</v>
      </c>
      <c r="AN323" s="153">
        <f t="shared" si="54"/>
        <v>0.45381218257254075</v>
      </c>
      <c r="AO323" s="9">
        <f aca="true" t="shared" si="71" ref="AO323:AO354">AL323-($AH$278+$AH$281)*AT323</f>
        <v>3.0975447677982104</v>
      </c>
      <c r="AP323" s="9">
        <f t="shared" si="63"/>
        <v>3.2391361327800294</v>
      </c>
      <c r="AQ323" s="9">
        <f t="shared" si="69"/>
        <v>0</v>
      </c>
      <c r="AR323" s="9">
        <f t="shared" si="64"/>
        <v>0.6574930230507932</v>
      </c>
      <c r="AS323" s="9">
        <f t="shared" si="42"/>
        <v>3.8251492259940356</v>
      </c>
      <c r="AT323" s="130">
        <f t="shared" si="58"/>
        <v>0.17485077400596438</v>
      </c>
      <c r="AU323" s="9">
        <f t="shared" si="65"/>
        <v>10.9238803828643</v>
      </c>
      <c r="AV323" s="9">
        <f t="shared" si="43"/>
        <v>118.48570971025198</v>
      </c>
      <c r="AW323" s="9">
        <f t="shared" si="66"/>
        <v>0</v>
      </c>
      <c r="AX323" s="9">
        <f t="shared" si="45"/>
        <v>0</v>
      </c>
      <c r="AY323" s="9">
        <f t="shared" si="46"/>
        <v>0</v>
      </c>
      <c r="AZ323" s="9">
        <f aca="true" t="shared" si="72" ref="AZ323:AZ354">IF(AG323&lt;=ω1,0,IF(AG323&gt;=ω2,0,IF(3*d&lt;=AQ323,$AL$284,0.5*($AL$279+AY323)*AQ323)))</f>
        <v>0</v>
      </c>
      <c r="BA323" s="9">
        <f t="shared" si="67"/>
        <v>0</v>
      </c>
      <c r="BB323" s="9">
        <f aca="true" t="shared" si="73" ref="BB323:BB354">AB323</f>
        <v>2.834244116182526</v>
      </c>
      <c r="BC323" s="9">
        <f t="shared" si="48"/>
        <v>0</v>
      </c>
      <c r="BE323" s="9">
        <f t="shared" si="49"/>
        <v>129.4095900931163</v>
      </c>
    </row>
    <row r="324" spans="1:57" ht="18" customHeight="1">
      <c r="A324" s="141"/>
      <c r="B324" s="50"/>
      <c r="C324" s="33"/>
      <c r="D324" s="5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9"/>
      <c r="S324" s="39"/>
      <c r="T324" s="39"/>
      <c r="U324" s="39"/>
      <c r="V324" s="39"/>
      <c r="W324" s="39"/>
      <c r="X324" s="39"/>
      <c r="Y324" s="16"/>
      <c r="Z324" s="16"/>
      <c r="AA324" s="16"/>
      <c r="AB324" s="9">
        <f t="shared" si="35"/>
        <v>2.7840257083374</v>
      </c>
      <c r="AC324" s="9">
        <f t="shared" si="60"/>
        <v>51.5</v>
      </c>
      <c r="AD324" s="9">
        <f t="shared" si="37"/>
        <v>36.399348817042366</v>
      </c>
      <c r="AE324" s="9">
        <f t="shared" si="38"/>
        <v>0</v>
      </c>
      <c r="AF324" s="9">
        <f t="shared" si="61"/>
        <v>51.5</v>
      </c>
      <c r="AG324" s="9">
        <f t="shared" si="51"/>
        <v>0.8988445647770796</v>
      </c>
      <c r="AH324" s="9">
        <f t="shared" si="68"/>
        <v>127.2494078028373</v>
      </c>
      <c r="AI324" s="9">
        <f t="shared" si="40"/>
        <v>2.7840257083374</v>
      </c>
      <c r="AJ324" s="9">
        <f t="shared" si="52"/>
        <v>-1.6159742916625999</v>
      </c>
      <c r="AK324" s="9">
        <f t="shared" si="41"/>
        <v>3</v>
      </c>
      <c r="AL324" s="9">
        <f t="shared" si="70"/>
        <v>3.15</v>
      </c>
      <c r="AM324" s="9">
        <f t="shared" si="62"/>
        <v>0.37489754167305733</v>
      </c>
      <c r="AN324" s="153">
        <f t="shared" si="54"/>
        <v>0.37489754167305733</v>
      </c>
      <c r="AO324" s="9">
        <f t="shared" si="71"/>
        <v>3.1307783414948105</v>
      </c>
      <c r="AP324" s="9">
        <f t="shared" si="63"/>
        <v>3.1817436666713146</v>
      </c>
      <c r="AQ324" s="9">
        <f t="shared" si="69"/>
        <v>0</v>
      </c>
      <c r="AR324" s="9">
        <f t="shared" si="64"/>
        <v>0.532098570650967</v>
      </c>
      <c r="AS324" s="9">
        <f t="shared" si="42"/>
        <v>3.9359278049827022</v>
      </c>
      <c r="AT324" s="130">
        <f t="shared" si="58"/>
        <v>0.06407219501729777</v>
      </c>
      <c r="AU324" s="9">
        <f t="shared" si="65"/>
        <v>4.024232547566756</v>
      </c>
      <c r="AV324" s="9">
        <f t="shared" si="43"/>
        <v>123.22517525527054</v>
      </c>
      <c r="AW324" s="9">
        <f t="shared" si="66"/>
        <v>0</v>
      </c>
      <c r="AX324" s="9">
        <f t="shared" si="45"/>
        <v>0</v>
      </c>
      <c r="AY324" s="9">
        <f t="shared" si="46"/>
        <v>0</v>
      </c>
      <c r="AZ324" s="9">
        <f t="shared" si="72"/>
        <v>0</v>
      </c>
      <c r="BA324" s="9">
        <f t="shared" si="67"/>
        <v>0</v>
      </c>
      <c r="BB324" s="9">
        <f t="shared" si="73"/>
        <v>2.7840257083374</v>
      </c>
      <c r="BC324" s="9">
        <f t="shared" si="48"/>
        <v>0</v>
      </c>
      <c r="BE324" s="9">
        <f t="shared" si="49"/>
        <v>127.2494078028373</v>
      </c>
    </row>
    <row r="325" spans="1:57" ht="18" customHeight="1">
      <c r="A325" s="141"/>
      <c r="B325" s="148"/>
      <c r="C325" s="83"/>
      <c r="D325" s="14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2"/>
      <c r="Z325" s="32"/>
      <c r="AA325" s="32"/>
      <c r="AB325" s="9">
        <f t="shared" si="35"/>
        <v>2.734499692773511</v>
      </c>
      <c r="AC325" s="9">
        <f t="shared" si="60"/>
        <v>52</v>
      </c>
      <c r="AD325" s="9">
        <f t="shared" si="37"/>
        <v>36.772554550438784</v>
      </c>
      <c r="AE325" s="9">
        <f t="shared" si="38"/>
        <v>0</v>
      </c>
      <c r="AF325" s="9">
        <f t="shared" si="61"/>
        <v>52</v>
      </c>
      <c r="AG325" s="9">
        <f t="shared" si="51"/>
        <v>0.9075712110370514</v>
      </c>
      <c r="AH325" s="9">
        <f t="shared" si="68"/>
        <v>125.00570024107478</v>
      </c>
      <c r="AI325" s="9">
        <f t="shared" si="40"/>
        <v>2.734499692773511</v>
      </c>
      <c r="AJ325" s="9">
        <f t="shared" si="52"/>
        <v>-1.665500307226489</v>
      </c>
      <c r="AK325" s="9">
        <f t="shared" si="41"/>
        <v>3</v>
      </c>
      <c r="AL325" s="9">
        <f t="shared" si="70"/>
        <v>3.15</v>
      </c>
      <c r="AM325" s="9">
        <f t="shared" si="62"/>
        <v>0.2970709457869458</v>
      </c>
      <c r="AN325" s="153">
        <f t="shared" si="54"/>
        <v>0.2970709457869458</v>
      </c>
      <c r="AO325" s="9">
        <f t="shared" si="71"/>
        <v>3.1654944336195237</v>
      </c>
      <c r="AP325" s="9">
        <f t="shared" si="63"/>
        <v>3.1251425060268696</v>
      </c>
      <c r="AQ325" s="9">
        <f t="shared" si="69"/>
        <v>0</v>
      </c>
      <c r="AR325" s="9">
        <f t="shared" si="64"/>
        <v>0.4133365864704281</v>
      </c>
      <c r="AS325" s="9">
        <f t="shared" si="42"/>
        <v>4.051648112065079</v>
      </c>
      <c r="AT325" s="130">
        <f t="shared" si="58"/>
        <v>-0.05164811206507913</v>
      </c>
      <c r="AU325" s="9">
        <f t="shared" si="65"/>
        <v>0</v>
      </c>
      <c r="AV325" s="9">
        <f t="shared" si="43"/>
        <v>125.00570024107478</v>
      </c>
      <c r="AW325" s="9">
        <f t="shared" si="66"/>
        <v>0</v>
      </c>
      <c r="AX325" s="9">
        <f t="shared" si="45"/>
        <v>0</v>
      </c>
      <c r="AY325" s="9">
        <f t="shared" si="46"/>
        <v>0</v>
      </c>
      <c r="AZ325" s="9">
        <f t="shared" si="72"/>
        <v>0</v>
      </c>
      <c r="BA325" s="9">
        <f t="shared" si="67"/>
        <v>0</v>
      </c>
      <c r="BB325" s="9">
        <f t="shared" si="73"/>
        <v>2.734499692773511</v>
      </c>
      <c r="BC325" s="9">
        <f t="shared" si="48"/>
        <v>0</v>
      </c>
      <c r="BE325" s="9">
        <f t="shared" si="49"/>
        <v>125.00570024107478</v>
      </c>
    </row>
    <row r="326" spans="1:57" s="31" customFormat="1" ht="18" customHeight="1">
      <c r="A326" s="141"/>
      <c r="B326" s="148"/>
      <c r="C326" s="83"/>
      <c r="D326" s="14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1">
        <f t="shared" si="35"/>
        <v>2.685644457926361</v>
      </c>
      <c r="AC326" s="31">
        <f t="shared" si="60"/>
        <v>52.5</v>
      </c>
      <c r="AD326" s="9">
        <f t="shared" si="37"/>
        <v>37.11051565515345</v>
      </c>
      <c r="AE326" s="9">
        <f t="shared" si="38"/>
        <v>0</v>
      </c>
      <c r="AF326" s="31">
        <f t="shared" si="61"/>
        <v>52.5</v>
      </c>
      <c r="AG326" s="31">
        <f t="shared" si="51"/>
        <v>0.9162978572970231</v>
      </c>
      <c r="AH326" s="9">
        <f t="shared" si="68"/>
        <v>122.77231807663367</v>
      </c>
      <c r="AI326" s="9">
        <f t="shared" si="40"/>
        <v>2.685644457926361</v>
      </c>
      <c r="AJ326" s="31">
        <f t="shared" si="52"/>
        <v>-1.7143555420736387</v>
      </c>
      <c r="AK326" s="31">
        <f t="shared" si="41"/>
        <v>3</v>
      </c>
      <c r="AL326" s="31">
        <f t="shared" si="70"/>
        <v>3.15</v>
      </c>
      <c r="AM326" s="31">
        <f t="shared" si="62"/>
        <v>0.22029843388428194</v>
      </c>
      <c r="AN326" s="131">
        <f t="shared" si="54"/>
        <v>0.22029843388428194</v>
      </c>
      <c r="AO326" s="31">
        <f t="shared" si="71"/>
        <v>3.2018001635855393</v>
      </c>
      <c r="AP326" s="31">
        <f t="shared" si="63"/>
        <v>3.0693079519158415</v>
      </c>
      <c r="AQ326" s="9">
        <f t="shared" si="69"/>
        <v>0</v>
      </c>
      <c r="AR326" s="31">
        <f t="shared" si="64"/>
        <v>0.30067769696689156</v>
      </c>
      <c r="AS326" s="31">
        <f t="shared" si="42"/>
        <v>4.172667211951798</v>
      </c>
      <c r="AT326" s="154">
        <f t="shared" si="58"/>
        <v>-0.17266721195179802</v>
      </c>
      <c r="AU326" s="31">
        <f t="shared" si="65"/>
        <v>0</v>
      </c>
      <c r="AV326" s="31">
        <f t="shared" si="43"/>
        <v>122.77231807663367</v>
      </c>
      <c r="AW326" s="31">
        <f t="shared" si="66"/>
        <v>0</v>
      </c>
      <c r="AX326" s="9">
        <f t="shared" si="45"/>
        <v>0</v>
      </c>
      <c r="AY326" s="31">
        <f t="shared" si="46"/>
        <v>0</v>
      </c>
      <c r="AZ326" s="31">
        <f t="shared" si="72"/>
        <v>0</v>
      </c>
      <c r="BA326" s="31">
        <f t="shared" si="67"/>
        <v>0</v>
      </c>
      <c r="BB326" s="31">
        <f t="shared" si="73"/>
        <v>2.685644457926361</v>
      </c>
      <c r="BC326" s="31">
        <f t="shared" si="48"/>
        <v>0</v>
      </c>
      <c r="BE326" s="31">
        <f t="shared" si="49"/>
        <v>122.77231807663367</v>
      </c>
    </row>
    <row r="327" spans="1:57" s="31" customFormat="1" ht="18" customHeight="1">
      <c r="A327" s="141"/>
      <c r="B327" s="148"/>
      <c r="C327" s="83"/>
      <c r="D327" s="14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1">
        <f t="shared" si="35"/>
        <v>2.63743917535978</v>
      </c>
      <c r="AC327" s="31">
        <f t="shared" si="60"/>
        <v>53</v>
      </c>
      <c r="AD327" s="9">
        <f t="shared" si="37"/>
        <v>37.41975919729243</v>
      </c>
      <c r="AE327" s="9">
        <f t="shared" si="38"/>
        <v>0</v>
      </c>
      <c r="AF327" s="31">
        <f t="shared" si="61"/>
        <v>53</v>
      </c>
      <c r="AG327" s="31">
        <f t="shared" si="51"/>
        <v>0.9250245035569946</v>
      </c>
      <c r="AH327" s="9">
        <f t="shared" si="68"/>
        <v>120.56864801644709</v>
      </c>
      <c r="AI327" s="9">
        <f t="shared" si="40"/>
        <v>2.63743917535978</v>
      </c>
      <c r="AJ327" s="31">
        <f t="shared" si="52"/>
        <v>-1.7625608246402198</v>
      </c>
      <c r="AK327" s="31">
        <f t="shared" si="41"/>
        <v>3</v>
      </c>
      <c r="AL327" s="31">
        <f t="shared" si="70"/>
        <v>3.15</v>
      </c>
      <c r="AM327" s="31">
        <f t="shared" si="62"/>
        <v>0.14454727556536895</v>
      </c>
      <c r="AN327" s="131">
        <f t="shared" si="54"/>
        <v>0.14454727556536895</v>
      </c>
      <c r="AO327" s="31">
        <f t="shared" si="71"/>
        <v>3.2398131983771603</v>
      </c>
      <c r="AP327" s="31">
        <f t="shared" si="63"/>
        <v>3.014216200411177</v>
      </c>
      <c r="AQ327" s="9">
        <f t="shared" si="69"/>
        <v>0</v>
      </c>
      <c r="AR327" s="31">
        <f t="shared" si="64"/>
        <v>0.1936473439038349</v>
      </c>
      <c r="AS327" s="31">
        <f t="shared" si="42"/>
        <v>4.299377327923868</v>
      </c>
      <c r="AT327" s="154">
        <f t="shared" si="58"/>
        <v>-0.2993773279238683</v>
      </c>
      <c r="AU327" s="31">
        <f t="shared" si="65"/>
        <v>0</v>
      </c>
      <c r="AV327" s="31">
        <f t="shared" si="43"/>
        <v>120.56864801644709</v>
      </c>
      <c r="AW327" s="31">
        <f t="shared" si="66"/>
        <v>0</v>
      </c>
      <c r="AX327" s="9">
        <f t="shared" si="45"/>
        <v>0</v>
      </c>
      <c r="AY327" s="31">
        <f t="shared" si="46"/>
        <v>0</v>
      </c>
      <c r="AZ327" s="31">
        <f t="shared" si="72"/>
        <v>0</v>
      </c>
      <c r="BA327" s="31">
        <f t="shared" si="67"/>
        <v>0</v>
      </c>
      <c r="BB327" s="31">
        <f t="shared" si="73"/>
        <v>2.63743917535978</v>
      </c>
      <c r="BC327" s="31">
        <f t="shared" si="48"/>
        <v>0</v>
      </c>
      <c r="BE327" s="31">
        <f t="shared" si="49"/>
        <v>120.56864801644709</v>
      </c>
    </row>
    <row r="328" spans="1:57" s="31" customFormat="1" ht="18" customHeight="1">
      <c r="A328" s="141"/>
      <c r="B328" s="148"/>
      <c r="C328" s="83"/>
      <c r="D328" s="14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1">
        <f t="shared" si="35"/>
        <v>2.589863762599707</v>
      </c>
      <c r="AC328" s="31">
        <f t="shared" si="60"/>
        <v>53.5</v>
      </c>
      <c r="AD328" s="9">
        <f t="shared" si="37"/>
        <v>37.700959425680836</v>
      </c>
      <c r="AE328" s="9">
        <f t="shared" si="38"/>
        <v>0</v>
      </c>
      <c r="AF328" s="31">
        <f t="shared" si="61"/>
        <v>53.5</v>
      </c>
      <c r="AG328" s="31">
        <f t="shared" si="51"/>
        <v>0.9337511498169663</v>
      </c>
      <c r="AH328" s="9">
        <f t="shared" si="68"/>
        <v>118.39377200455803</v>
      </c>
      <c r="AI328" s="9">
        <f t="shared" si="40"/>
        <v>2.589863762599707</v>
      </c>
      <c r="AJ328" s="31">
        <f t="shared" si="52"/>
        <v>-1.8101362374002927</v>
      </c>
      <c r="AK328" s="31">
        <f t="shared" si="41"/>
        <v>3</v>
      </c>
      <c r="AL328" s="31">
        <f t="shared" si="70"/>
        <v>3.15</v>
      </c>
      <c r="AM328" s="31">
        <f t="shared" si="62"/>
        <v>0.06978591265668266</v>
      </c>
      <c r="AN328" s="131">
        <f>IF(AR328&lt;Ho,0,AM328+(1/TAN(AG328)-1/TAN(β))*Ho)</f>
        <v>0.06978591265668266</v>
      </c>
      <c r="AO328" s="31">
        <f t="shared" si="71"/>
        <v>3.279663084312904</v>
      </c>
      <c r="AP328" s="31">
        <f t="shared" si="63"/>
        <v>2.959844300113951</v>
      </c>
      <c r="AQ328" s="9">
        <f t="shared" si="69"/>
        <v>0</v>
      </c>
      <c r="AR328" s="31">
        <f t="shared" si="64"/>
        <v>0.09181886659199506</v>
      </c>
      <c r="AS328" s="31">
        <f t="shared" si="42"/>
        <v>4.432210281043014</v>
      </c>
      <c r="AT328" s="154">
        <f t="shared" si="58"/>
        <v>-0.4322102810430142</v>
      </c>
      <c r="AU328" s="31">
        <f t="shared" si="65"/>
        <v>0</v>
      </c>
      <c r="AV328" s="31">
        <f t="shared" si="43"/>
        <v>118.39377200455803</v>
      </c>
      <c r="AW328" s="31">
        <f t="shared" si="66"/>
        <v>0</v>
      </c>
      <c r="AX328" s="9">
        <f t="shared" si="45"/>
        <v>0</v>
      </c>
      <c r="AY328" s="31">
        <f t="shared" si="46"/>
        <v>0</v>
      </c>
      <c r="AZ328" s="31">
        <f t="shared" si="72"/>
        <v>0</v>
      </c>
      <c r="BA328" s="31">
        <f t="shared" si="67"/>
        <v>0</v>
      </c>
      <c r="BB328" s="31">
        <f t="shared" si="73"/>
        <v>2.589863762599707</v>
      </c>
      <c r="BC328" s="31">
        <f t="shared" si="48"/>
        <v>0</v>
      </c>
      <c r="BE328" s="31">
        <f t="shared" si="49"/>
        <v>118.39377200455803</v>
      </c>
    </row>
    <row r="329" spans="1:57" s="31" customFormat="1" ht="18" customHeight="1">
      <c r="A329" s="141"/>
      <c r="B329" s="148"/>
      <c r="C329" s="83"/>
      <c r="D329" s="14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1">
        <f t="shared" si="35"/>
        <v>2.5428988480187633</v>
      </c>
      <c r="AC329" s="31">
        <f t="shared" si="60"/>
        <v>54</v>
      </c>
      <c r="AD329" s="9">
        <f>MAX(0,SIN(AG329-φ+AE329)/COS(AG329-φ-δu-αl)/COS(AE329)*(AH329))</f>
        <v>37.9547571939068</v>
      </c>
      <c r="AE329" s="9">
        <f t="shared" si="38"/>
        <v>0</v>
      </c>
      <c r="AF329" s="31">
        <f t="shared" si="61"/>
        <v>54</v>
      </c>
      <c r="AG329" s="31">
        <f t="shared" si="51"/>
        <v>0.9424777960769379</v>
      </c>
      <c r="AH329" s="9">
        <f t="shared" si="68"/>
        <v>116.24680448085776</v>
      </c>
      <c r="AI329" s="9">
        <f t="shared" si="40"/>
        <v>2.5428988480187633</v>
      </c>
      <c r="AJ329" s="31">
        <f t="shared" si="52"/>
        <v>-1.8571011519812366</v>
      </c>
      <c r="AK329" s="31">
        <f t="shared" si="41"/>
        <v>3</v>
      </c>
      <c r="AL329" s="31">
        <f t="shared" si="70"/>
        <v>3.15</v>
      </c>
      <c r="AM329" s="31">
        <f t="shared" si="62"/>
        <v>-0.004016095970514666</v>
      </c>
      <c r="AN329" s="131">
        <f t="shared" si="54"/>
        <v>0</v>
      </c>
      <c r="AO329" s="31">
        <f t="shared" si="71"/>
        <v>3.3214927858087986</v>
      </c>
      <c r="AP329" s="31">
        <f t="shared" si="63"/>
        <v>2.906170112021444</v>
      </c>
      <c r="AQ329" s="9">
        <f t="shared" si="69"/>
        <v>0</v>
      </c>
      <c r="AR329" s="31">
        <f t="shared" si="64"/>
        <v>-0.005192394043537667</v>
      </c>
      <c r="AS329" s="31">
        <f t="shared" si="42"/>
        <v>4.571642619362662</v>
      </c>
      <c r="AT329" s="154">
        <f t="shared" si="58"/>
        <v>-0.5716426193626623</v>
      </c>
      <c r="AU329" s="31">
        <f t="shared" si="65"/>
        <v>0</v>
      </c>
      <c r="AV329" s="31">
        <f>IF(AG329&gt;=ω3,0.5*$AE$280*AP329*γs+AP329*$AE$289,IF(AG329&gt;ω2,0.5*AO329*AS329*γs,0.5*(Hl-Df)^2*(TAN(αl)+1/TAN(AG329))*γs))</f>
        <v>116.24680448085776</v>
      </c>
      <c r="AW329" s="31">
        <f t="shared" si="66"/>
        <v>0</v>
      </c>
      <c r="AX329" s="9">
        <f t="shared" si="45"/>
        <v>0</v>
      </c>
      <c r="AY329" s="31">
        <f t="shared" si="46"/>
        <v>0</v>
      </c>
      <c r="AZ329" s="31">
        <f t="shared" si="72"/>
        <v>0</v>
      </c>
      <c r="BA329" s="31">
        <f t="shared" si="67"/>
        <v>0</v>
      </c>
      <c r="BB329" s="31">
        <f t="shared" si="73"/>
        <v>2.5428988480187633</v>
      </c>
      <c r="BC329" s="31">
        <f t="shared" si="48"/>
        <v>0</v>
      </c>
      <c r="BE329" s="31">
        <f t="shared" si="49"/>
        <v>116.24680448085776</v>
      </c>
    </row>
    <row r="330" spans="1:57" s="31" customFormat="1" ht="18" customHeight="1">
      <c r="A330" s="141"/>
      <c r="B330" s="148"/>
      <c r="C330" s="83"/>
      <c r="D330" s="14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1">
        <f t="shared" si="35"/>
        <v>2.49652573763952</v>
      </c>
      <c r="AC330" s="31">
        <f t="shared" si="60"/>
        <v>54.5</v>
      </c>
      <c r="AD330" s="9">
        <f t="shared" si="37"/>
        <v>38.18176141228987</v>
      </c>
      <c r="AE330" s="9">
        <f t="shared" si="38"/>
        <v>0</v>
      </c>
      <c r="AF330" s="31">
        <f t="shared" si="61"/>
        <v>54.5</v>
      </c>
      <c r="AG330" s="31">
        <f t="shared" si="51"/>
        <v>0.9512044423369095</v>
      </c>
      <c r="AH330" s="9">
        <f t="shared" si="68"/>
        <v>114.1268908635209</v>
      </c>
      <c r="AI330" s="9">
        <f t="shared" si="40"/>
        <v>2.49652573763952</v>
      </c>
      <c r="AJ330" s="31">
        <f t="shared" si="52"/>
        <v>-1.9034742623604801</v>
      </c>
      <c r="AK330" s="31">
        <f t="shared" si="41"/>
        <v>3</v>
      </c>
      <c r="AL330" s="31">
        <f t="shared" si="70"/>
        <v>3.15</v>
      </c>
      <c r="AM330" s="31">
        <f t="shared" si="62"/>
        <v>-0.0768881265664687</v>
      </c>
      <c r="AN330" s="131">
        <f t="shared" si="54"/>
        <v>0</v>
      </c>
      <c r="AO330" s="31">
        <f t="shared" si="71"/>
        <v>3.3654604696776196</v>
      </c>
      <c r="AP330" s="31">
        <f t="shared" si="63"/>
        <v>2.8531722715880226</v>
      </c>
      <c r="AQ330" s="9">
        <f>MAX(0,(Hl-Df)/TAN(AG330)-λ)</f>
        <v>0</v>
      </c>
      <c r="AR330" s="31">
        <f t="shared" si="64"/>
        <v>-0.09773414143044898</v>
      </c>
      <c r="AS330" s="31">
        <f t="shared" si="42"/>
        <v>4.718201565592065</v>
      </c>
      <c r="AT330" s="154">
        <f t="shared" si="58"/>
        <v>-0.7182015655920653</v>
      </c>
      <c r="AU330" s="31">
        <f t="shared" si="65"/>
        <v>0</v>
      </c>
      <c r="AV330" s="31">
        <f t="shared" si="43"/>
        <v>114.1268908635209</v>
      </c>
      <c r="AW330" s="31">
        <f t="shared" si="66"/>
        <v>0</v>
      </c>
      <c r="AX330" s="9">
        <f t="shared" si="45"/>
        <v>0</v>
      </c>
      <c r="AY330" s="31">
        <f t="shared" si="46"/>
        <v>0</v>
      </c>
      <c r="AZ330" s="31">
        <f t="shared" si="72"/>
        <v>0</v>
      </c>
      <c r="BA330" s="31">
        <f t="shared" si="67"/>
        <v>0</v>
      </c>
      <c r="BB330" s="31">
        <f t="shared" si="73"/>
        <v>2.49652573763952</v>
      </c>
      <c r="BC330" s="31">
        <f t="shared" si="48"/>
        <v>0</v>
      </c>
      <c r="BE330" s="31">
        <f t="shared" si="49"/>
        <v>114.1268908635209</v>
      </c>
    </row>
    <row r="331" spans="1:57" s="31" customFormat="1" ht="18" customHeight="1">
      <c r="A331" s="141"/>
      <c r="B331" s="148"/>
      <c r="C331" s="83"/>
      <c r="D331" s="14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1">
        <f t="shared" si="35"/>
        <v>2.4507263837339845</v>
      </c>
      <c r="AC331" s="31">
        <f t="shared" si="60"/>
        <v>55</v>
      </c>
      <c r="AD331" s="9">
        <f t="shared" si="37"/>
        <v>38.382550412635034</v>
      </c>
      <c r="AE331" s="9">
        <f t="shared" si="38"/>
        <v>0</v>
      </c>
      <c r="AF331" s="31">
        <f t="shared" si="61"/>
        <v>55</v>
      </c>
      <c r="AG331" s="31">
        <f t="shared" si="51"/>
        <v>0.9599310885968813</v>
      </c>
      <c r="AH331" s="9">
        <f t="shared" si="68"/>
        <v>112.03320611355358</v>
      </c>
      <c r="AI331" s="9">
        <f t="shared" si="40"/>
        <v>2.4507263837339845</v>
      </c>
      <c r="AJ331" s="31">
        <f t="shared" si="52"/>
        <v>-1.9492736162660154</v>
      </c>
      <c r="AK331" s="31">
        <f t="shared" si="41"/>
        <v>3</v>
      </c>
      <c r="AL331" s="31">
        <f t="shared" si="70"/>
        <v>3.15</v>
      </c>
      <c r="AM331" s="31">
        <f t="shared" si="62"/>
        <v>-0.14885853984659558</v>
      </c>
      <c r="AN331" s="131">
        <f t="shared" si="54"/>
        <v>0</v>
      </c>
      <c r="AO331" s="31">
        <f t="shared" si="71"/>
        <v>3.4117415819225734</v>
      </c>
      <c r="AP331" s="31">
        <f t="shared" si="63"/>
        <v>2.8008301528388393</v>
      </c>
      <c r="AQ331" s="9">
        <f>MAX(0,(Hl-Df)/TAN(AG331)-λ)</f>
        <v>0</v>
      </c>
      <c r="AR331" s="31">
        <f t="shared" si="64"/>
        <v>-0.18612145895121857</v>
      </c>
      <c r="AS331" s="31">
        <f t="shared" si="42"/>
        <v>4.872471939741911</v>
      </c>
      <c r="AT331" s="154">
        <f t="shared" si="58"/>
        <v>-0.872471939741911</v>
      </c>
      <c r="AU331" s="31">
        <f t="shared" si="65"/>
        <v>0</v>
      </c>
      <c r="AV331" s="31">
        <f t="shared" si="43"/>
        <v>112.03320611355358</v>
      </c>
      <c r="AW331" s="31">
        <f t="shared" si="66"/>
        <v>0</v>
      </c>
      <c r="AX331" s="9">
        <f t="shared" si="45"/>
        <v>0</v>
      </c>
      <c r="AY331" s="31">
        <f t="shared" si="46"/>
        <v>0</v>
      </c>
      <c r="AZ331" s="31">
        <f t="shared" si="72"/>
        <v>0</v>
      </c>
      <c r="BA331" s="31">
        <f t="shared" si="67"/>
        <v>0</v>
      </c>
      <c r="BB331" s="31">
        <f t="shared" si="73"/>
        <v>2.4507263837339845</v>
      </c>
      <c r="BC331" s="31">
        <f t="shared" si="48"/>
        <v>0</v>
      </c>
      <c r="BE331" s="31">
        <f t="shared" si="49"/>
        <v>112.03320611355358</v>
      </c>
    </row>
    <row r="332" spans="1:57" s="31" customFormat="1" ht="18" customHeight="1">
      <c r="A332" s="141"/>
      <c r="B332" s="148"/>
      <c r="C332" s="83"/>
      <c r="D332" s="14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1">
        <f t="shared" si="35"/>
        <v>2.405483355105646</v>
      </c>
      <c r="AC332" s="31">
        <f t="shared" si="60"/>
        <v>55.5</v>
      </c>
      <c r="AD332" s="9">
        <f t="shared" si="37"/>
        <v>38.55767323117578</v>
      </c>
      <c r="AE332" s="9">
        <f t="shared" si="38"/>
        <v>0</v>
      </c>
      <c r="AF332" s="31">
        <f t="shared" si="61"/>
        <v>55.5</v>
      </c>
      <c r="AG332" s="31">
        <f t="shared" si="51"/>
        <v>0.9686577348568529</v>
      </c>
      <c r="AH332" s="9">
        <f t="shared" si="68"/>
        <v>109.96495337625811</v>
      </c>
      <c r="AI332" s="9">
        <f t="shared" si="40"/>
        <v>2.405483355105646</v>
      </c>
      <c r="AJ332" s="31">
        <f t="shared" si="52"/>
        <v>-1.9945166448943539</v>
      </c>
      <c r="AK332" s="31">
        <f t="shared" si="41"/>
        <v>3</v>
      </c>
      <c r="AL332" s="31">
        <f t="shared" si="70"/>
        <v>3.15</v>
      </c>
      <c r="AM332" s="31">
        <f t="shared" si="62"/>
        <v>-0.21995472769112734</v>
      </c>
      <c r="AN332" s="131">
        <f t="shared" si="54"/>
        <v>0</v>
      </c>
      <c r="AO332" s="31">
        <f t="shared" si="71"/>
        <v>3.4605312745359513</v>
      </c>
      <c r="AP332" s="31">
        <f t="shared" si="63"/>
        <v>2.749123834406453</v>
      </c>
      <c r="AQ332" s="9">
        <f aca="true" t="shared" si="74" ref="AQ332:AQ350">MAX(0,(Hl-Df)/TAN(AG332)-λ)</f>
        <v>0</v>
      </c>
      <c r="AR332" s="31">
        <f t="shared" si="64"/>
        <v>-0.2706405491775695</v>
      </c>
      <c r="AS332" s="31">
        <f>SIN(θu-ω2)*SIN(AG332)/COS(ω2)/SIN(θu-AG332)*λ</f>
        <v>5.035104248453171</v>
      </c>
      <c r="AT332" s="154">
        <f t="shared" si="58"/>
        <v>-1.0351042484531714</v>
      </c>
      <c r="AU332" s="31">
        <f t="shared" si="65"/>
        <v>0</v>
      </c>
      <c r="AV332" s="31">
        <f t="shared" si="43"/>
        <v>109.96495337625811</v>
      </c>
      <c r="AW332" s="31">
        <f t="shared" si="66"/>
        <v>0</v>
      </c>
      <c r="AX332" s="9">
        <f>IF(AG332&gt;=ω1,0,IF(AR332&lt;Ho,0.5*AM332*AR332*γs,0.5*(AM332+AN332)*Ho*γs+AN332*$AE$288))</f>
        <v>0</v>
      </c>
      <c r="AY332" s="31">
        <f t="shared" si="46"/>
        <v>0</v>
      </c>
      <c r="AZ332" s="31">
        <f t="shared" si="72"/>
        <v>0</v>
      </c>
      <c r="BA332" s="31">
        <f t="shared" si="67"/>
        <v>0</v>
      </c>
      <c r="BB332" s="31">
        <f t="shared" si="73"/>
        <v>2.405483355105646</v>
      </c>
      <c r="BC332" s="31">
        <f t="shared" si="48"/>
        <v>0</v>
      </c>
      <c r="BE332" s="31">
        <f t="shared" si="49"/>
        <v>109.96495337625811</v>
      </c>
    </row>
    <row r="333" spans="1:57" s="31" customFormat="1" ht="18" customHeight="1">
      <c r="A333" s="141"/>
      <c r="B333" s="148"/>
      <c r="C333" s="83"/>
      <c r="D333" s="14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1">
        <f t="shared" si="35"/>
        <v>2.360779808948493</v>
      </c>
      <c r="AC333" s="31">
        <f t="shared" si="60"/>
        <v>56</v>
      </c>
      <c r="AD333" s="9">
        <f t="shared" si="37"/>
        <v>38.7076508147103</v>
      </c>
      <c r="AE333" s="9">
        <f t="shared" si="38"/>
        <v>0</v>
      </c>
      <c r="AF333" s="31">
        <f t="shared" si="61"/>
        <v>56</v>
      </c>
      <c r="AG333" s="31">
        <f t="shared" si="51"/>
        <v>0.9773843811168246</v>
      </c>
      <c r="AH333" s="9">
        <f t="shared" si="68"/>
        <v>107.92136269478826</v>
      </c>
      <c r="AI333" s="9">
        <f t="shared" si="40"/>
        <v>2.360779808948493</v>
      </c>
      <c r="AJ333" s="31">
        <f t="shared" si="52"/>
        <v>-2.039220191051507</v>
      </c>
      <c r="AK333" s="31">
        <f t="shared" si="41"/>
        <v>3</v>
      </c>
      <c r="AL333" s="31">
        <f t="shared" si="70"/>
        <v>3.15</v>
      </c>
      <c r="AM333" s="31">
        <f t="shared" si="62"/>
        <v>-0.2902031573666535</v>
      </c>
      <c r="AN333" s="131">
        <f t="shared" si="54"/>
        <v>0</v>
      </c>
      <c r="AO333" s="31">
        <f t="shared" si="71"/>
        <v>3.512047253109966</v>
      </c>
      <c r="AP333" s="31">
        <f t="shared" si="63"/>
        <v>2.6980340673697065</v>
      </c>
      <c r="AQ333" s="9">
        <f t="shared" si="74"/>
        <v>0</v>
      </c>
      <c r="AR333" s="31">
        <f t="shared" si="64"/>
        <v>-0.3515519702960499</v>
      </c>
      <c r="AS333" s="31">
        <f t="shared" si="42"/>
        <v>5.20682417703322</v>
      </c>
      <c r="AT333" s="154">
        <f t="shared" si="58"/>
        <v>-1.2068241770332202</v>
      </c>
      <c r="AU333" s="31">
        <f t="shared" si="65"/>
        <v>0</v>
      </c>
      <c r="AV333" s="31">
        <f t="shared" si="43"/>
        <v>107.92136269478826</v>
      </c>
      <c r="AW333" s="31">
        <f t="shared" si="66"/>
        <v>0</v>
      </c>
      <c r="AX333" s="9">
        <f t="shared" si="45"/>
        <v>0</v>
      </c>
      <c r="AY333" s="31">
        <f t="shared" si="46"/>
        <v>0</v>
      </c>
      <c r="AZ333" s="31">
        <f t="shared" si="72"/>
        <v>0</v>
      </c>
      <c r="BA333" s="31">
        <f t="shared" si="67"/>
        <v>0</v>
      </c>
      <c r="BB333" s="31">
        <f t="shared" si="73"/>
        <v>2.360779808948493</v>
      </c>
      <c r="BC333" s="31">
        <f t="shared" si="48"/>
        <v>0</v>
      </c>
      <c r="BE333" s="31">
        <f t="shared" si="49"/>
        <v>107.92136269478826</v>
      </c>
    </row>
    <row r="334" spans="1:57" s="31" customFormat="1" ht="18" customHeight="1">
      <c r="A334" s="141"/>
      <c r="B334" s="148"/>
      <c r="C334" s="83"/>
      <c r="D334" s="14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1">
        <f t="shared" si="35"/>
        <v>2.316599464184921</v>
      </c>
      <c r="AC334" s="31">
        <f t="shared" si="60"/>
        <v>56.5</v>
      </c>
      <c r="AD334" s="9">
        <f t="shared" si="37"/>
        <v>38.83297715456599</v>
      </c>
      <c r="AE334" s="9">
        <f t="shared" si="38"/>
        <v>0</v>
      </c>
      <c r="AF334" s="31">
        <f t="shared" si="61"/>
        <v>56.5</v>
      </c>
      <c r="AG334" s="31">
        <f t="shared" si="51"/>
        <v>0.9861110273767961</v>
      </c>
      <c r="AH334" s="9">
        <f t="shared" si="68"/>
        <v>105.90168979131066</v>
      </c>
      <c r="AI334" s="9">
        <f t="shared" si="40"/>
        <v>2.316599464184921</v>
      </c>
      <c r="AJ334" s="31">
        <f t="shared" si="52"/>
        <v>-2.083400535815079</v>
      </c>
      <c r="AK334" s="31">
        <f t="shared" si="41"/>
        <v>3</v>
      </c>
      <c r="AL334" s="31">
        <f t="shared" si="70"/>
        <v>3.15</v>
      </c>
      <c r="AM334" s="31">
        <f t="shared" si="62"/>
        <v>-0.3596294134236957</v>
      </c>
      <c r="AN334" s="131">
        <f t="shared" si="54"/>
        <v>0</v>
      </c>
      <c r="AO334" s="31">
        <f t="shared" si="71"/>
        <v>3.5665331329250187</v>
      </c>
      <c r="AP334" s="31">
        <f t="shared" si="63"/>
        <v>2.6475422447827666</v>
      </c>
      <c r="AQ334" s="9">
        <f t="shared" si="74"/>
        <v>0</v>
      </c>
      <c r="AR334" s="31">
        <f t="shared" si="64"/>
        <v>-0.42909344687672846</v>
      </c>
      <c r="AS334" s="31">
        <f t="shared" si="42"/>
        <v>5.388443776416729</v>
      </c>
      <c r="AT334" s="154">
        <f t="shared" si="58"/>
        <v>-1.3884437764167288</v>
      </c>
      <c r="AU334" s="31">
        <f t="shared" si="65"/>
        <v>0</v>
      </c>
      <c r="AV334" s="31">
        <f t="shared" si="43"/>
        <v>105.90168979131066</v>
      </c>
      <c r="AW334" s="31">
        <f t="shared" si="66"/>
        <v>0</v>
      </c>
      <c r="AX334" s="9">
        <f t="shared" si="45"/>
        <v>0</v>
      </c>
      <c r="AY334" s="31">
        <f t="shared" si="46"/>
        <v>0</v>
      </c>
      <c r="AZ334" s="31">
        <f t="shared" si="72"/>
        <v>0</v>
      </c>
      <c r="BA334" s="31">
        <f t="shared" si="67"/>
        <v>0</v>
      </c>
      <c r="BB334" s="31">
        <f t="shared" si="73"/>
        <v>2.316599464184921</v>
      </c>
      <c r="BC334" s="31">
        <f t="shared" si="48"/>
        <v>0</v>
      </c>
      <c r="BE334" s="31">
        <f t="shared" si="49"/>
        <v>105.90168979131066</v>
      </c>
    </row>
    <row r="335" spans="1:57" s="31" customFormat="1" ht="18" customHeight="1">
      <c r="A335" s="141"/>
      <c r="B335" s="148"/>
      <c r="C335" s="83"/>
      <c r="D335" s="14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1">
        <f t="shared" si="35"/>
        <v>2.272926576191287</v>
      </c>
      <c r="AC335" s="31">
        <f t="shared" si="60"/>
        <v>57</v>
      </c>
      <c r="AD335" s="9">
        <f t="shared" si="37"/>
        <v>38.93412035268873</v>
      </c>
      <c r="AE335" s="9">
        <f t="shared" si="38"/>
        <v>0</v>
      </c>
      <c r="AF335" s="31">
        <f t="shared" si="61"/>
        <v>57</v>
      </c>
      <c r="AG335" s="31">
        <f t="shared" si="51"/>
        <v>0.9948376736367678</v>
      </c>
      <c r="AH335" s="9">
        <f t="shared" si="68"/>
        <v>103.9052149116017</v>
      </c>
      <c r="AI335" s="9">
        <f t="shared" si="40"/>
        <v>2.272926576191287</v>
      </c>
      <c r="AJ335" s="31">
        <f t="shared" si="52"/>
        <v>-2.127073423808713</v>
      </c>
      <c r="AK335" s="31">
        <f t="shared" si="41"/>
        <v>3</v>
      </c>
      <c r="AL335" s="31">
        <f t="shared" si="70"/>
        <v>3.15</v>
      </c>
      <c r="AM335" s="31">
        <f t="shared" si="62"/>
        <v>-0.4282582374136914</v>
      </c>
      <c r="AN335" s="131">
        <f t="shared" si="54"/>
        <v>0</v>
      </c>
      <c r="AO335" s="31">
        <f t="shared" si="71"/>
        <v>3.6242624126926604</v>
      </c>
      <c r="AP335" s="31">
        <f t="shared" si="63"/>
        <v>2.5976303727900425</v>
      </c>
      <c r="AQ335" s="9">
        <f t="shared" si="74"/>
        <v>0</v>
      </c>
      <c r="AR335" s="31">
        <f t="shared" si="64"/>
        <v>-0.5034823188976979</v>
      </c>
      <c r="AS335" s="31">
        <f t="shared" si="42"/>
        <v>5.580874708975535</v>
      </c>
      <c r="AT335" s="154">
        <f t="shared" si="58"/>
        <v>-1.5808747089755348</v>
      </c>
      <c r="AU335" s="31">
        <f t="shared" si="65"/>
        <v>0</v>
      </c>
      <c r="AV335" s="31">
        <f t="shared" si="43"/>
        <v>103.9052149116017</v>
      </c>
      <c r="AW335" s="31">
        <f t="shared" si="66"/>
        <v>0</v>
      </c>
      <c r="AX335" s="9">
        <f t="shared" si="45"/>
        <v>0</v>
      </c>
      <c r="AY335" s="31">
        <f t="shared" si="46"/>
        <v>0</v>
      </c>
      <c r="AZ335" s="31">
        <f t="shared" si="72"/>
        <v>0</v>
      </c>
      <c r="BA335" s="31">
        <f t="shared" si="67"/>
        <v>0</v>
      </c>
      <c r="BB335" s="31">
        <f t="shared" si="73"/>
        <v>2.272926576191287</v>
      </c>
      <c r="BC335" s="31">
        <f t="shared" si="48"/>
        <v>0</v>
      </c>
      <c r="BE335" s="31">
        <f t="shared" si="49"/>
        <v>103.9052149116017</v>
      </c>
    </row>
    <row r="336" spans="1:57" s="31" customFormat="1" ht="18" customHeight="1">
      <c r="A336" s="141"/>
      <c r="B336" s="148"/>
      <c r="C336" s="83"/>
      <c r="D336" s="14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1">
        <f t="shared" si="35"/>
        <v>2.229745912826226</v>
      </c>
      <c r="AC336" s="31">
        <f t="shared" si="60"/>
        <v>57.5</v>
      </c>
      <c r="AD336" s="9">
        <f t="shared" si="37"/>
        <v>39.01152362383981</v>
      </c>
      <c r="AE336" s="9">
        <f t="shared" si="38"/>
        <v>0</v>
      </c>
      <c r="AF336" s="31">
        <f t="shared" si="61"/>
        <v>57.5</v>
      </c>
      <c r="AG336" s="31">
        <f t="shared" si="51"/>
        <v>1.0035643198967394</v>
      </c>
      <c r="AH336" s="9">
        <f t="shared" si="68"/>
        <v>101.93124172919892</v>
      </c>
      <c r="AI336" s="9">
        <f t="shared" si="40"/>
        <v>2.229745912826226</v>
      </c>
      <c r="AJ336" s="31">
        <f t="shared" si="52"/>
        <v>-2.170254087173774</v>
      </c>
      <c r="AK336" s="31">
        <f t="shared" si="41"/>
        <v>3</v>
      </c>
      <c r="AL336" s="31">
        <f t="shared" si="70"/>
        <v>3.15</v>
      </c>
      <c r="AM336" s="31">
        <f t="shared" si="62"/>
        <v>-0.4961135655587876</v>
      </c>
      <c r="AN336" s="131">
        <f t="shared" si="54"/>
        <v>0</v>
      </c>
      <c r="AO336" s="31">
        <f t="shared" si="71"/>
        <v>3.6855432027689434</v>
      </c>
      <c r="AP336" s="31">
        <f t="shared" si="63"/>
        <v>2.5482810432299727</v>
      </c>
      <c r="AQ336" s="9">
        <f t="shared" si="74"/>
        <v>0</v>
      </c>
      <c r="AR336" s="31">
        <f t="shared" si="64"/>
        <v>-0.5749176822009051</v>
      </c>
      <c r="AS336" s="31">
        <f t="shared" si="42"/>
        <v>5.785144009229811</v>
      </c>
      <c r="AT336" s="154">
        <f t="shared" si="58"/>
        <v>-1.7851440092298114</v>
      </c>
      <c r="AU336" s="31">
        <f t="shared" si="65"/>
        <v>0</v>
      </c>
      <c r="AV336" s="31">
        <f t="shared" si="43"/>
        <v>101.93124172919892</v>
      </c>
      <c r="AW336" s="31">
        <f t="shared" si="66"/>
        <v>0</v>
      </c>
      <c r="AX336" s="9">
        <f t="shared" si="45"/>
        <v>0</v>
      </c>
      <c r="AY336" s="31">
        <f t="shared" si="46"/>
        <v>0</v>
      </c>
      <c r="AZ336" s="31">
        <f t="shared" si="72"/>
        <v>0</v>
      </c>
      <c r="BA336" s="31">
        <f t="shared" si="67"/>
        <v>0</v>
      </c>
      <c r="BB336" s="31">
        <f t="shared" si="73"/>
        <v>2.229745912826226</v>
      </c>
      <c r="BC336" s="31">
        <f t="shared" si="48"/>
        <v>0</v>
      </c>
      <c r="BE336" s="31">
        <f t="shared" si="49"/>
        <v>101.93124172919892</v>
      </c>
    </row>
    <row r="337" spans="1:57" s="31" customFormat="1" ht="18" customHeight="1">
      <c r="A337" s="141"/>
      <c r="B337" s="148"/>
      <c r="C337" s="83"/>
      <c r="D337" s="14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1">
        <f t="shared" si="35"/>
        <v>2.187042731682646</v>
      </c>
      <c r="AC337" s="31">
        <f t="shared" si="60"/>
        <v>58</v>
      </c>
      <c r="AD337" s="9">
        <f t="shared" si="37"/>
        <v>39.065606237594494</v>
      </c>
      <c r="AE337" s="9">
        <f t="shared" si="38"/>
        <v>0</v>
      </c>
      <c r="AF337" s="31">
        <f t="shared" si="61"/>
        <v>58</v>
      </c>
      <c r="AG337" s="31">
        <f t="shared" si="51"/>
        <v>1.0122909661567112</v>
      </c>
      <c r="AH337" s="9">
        <f t="shared" si="68"/>
        <v>99.97909630549238</v>
      </c>
      <c r="AI337" s="9">
        <f t="shared" si="40"/>
        <v>2.187042731682646</v>
      </c>
      <c r="AJ337" s="31">
        <f t="shared" si="52"/>
        <v>-2.212957268317354</v>
      </c>
      <c r="AK337" s="31">
        <f t="shared" si="41"/>
        <v>3</v>
      </c>
      <c r="AL337" s="31">
        <f t="shared" si="70"/>
        <v>3.15</v>
      </c>
      <c r="AM337" s="31">
        <f t="shared" si="62"/>
        <v>-0.5632185644986993</v>
      </c>
      <c r="AN337" s="131">
        <f t="shared" si="54"/>
        <v>0</v>
      </c>
      <c r="AO337" s="31">
        <f t="shared" si="71"/>
        <v>3.7507238804209395</v>
      </c>
      <c r="AP337" s="31">
        <f t="shared" si="63"/>
        <v>2.4994774076373094</v>
      </c>
      <c r="AQ337" s="9">
        <f t="shared" si="74"/>
        <v>0</v>
      </c>
      <c r="AR337" s="31">
        <f t="shared" si="64"/>
        <v>-0.6435822648052705</v>
      </c>
      <c r="AS337" s="31">
        <f t="shared" si="42"/>
        <v>6.002412934736466</v>
      </c>
      <c r="AT337" s="154">
        <f t="shared" si="58"/>
        <v>-2.0024129347364656</v>
      </c>
      <c r="AU337" s="31">
        <f t="shared" si="65"/>
        <v>0</v>
      </c>
      <c r="AV337" s="31">
        <f t="shared" si="43"/>
        <v>99.97909630549238</v>
      </c>
      <c r="AW337" s="31">
        <f t="shared" si="66"/>
        <v>0</v>
      </c>
      <c r="AX337" s="9">
        <f t="shared" si="45"/>
        <v>0</v>
      </c>
      <c r="AY337" s="31">
        <f t="shared" si="46"/>
        <v>0</v>
      </c>
      <c r="AZ337" s="31">
        <f t="shared" si="72"/>
        <v>0</v>
      </c>
      <c r="BA337" s="31">
        <f t="shared" si="67"/>
        <v>0</v>
      </c>
      <c r="BB337" s="31">
        <f t="shared" si="73"/>
        <v>2.187042731682646</v>
      </c>
      <c r="BC337" s="31">
        <f t="shared" si="48"/>
        <v>0</v>
      </c>
      <c r="BE337" s="31">
        <f t="shared" si="49"/>
        <v>99.97909630549238</v>
      </c>
    </row>
    <row r="338" spans="1:57" s="31" customFormat="1" ht="18" customHeight="1">
      <c r="A338" s="141"/>
      <c r="B338" s="148"/>
      <c r="C338" s="83"/>
      <c r="D338" s="14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1">
        <f t="shared" si="35"/>
        <v>2.1448027584897624</v>
      </c>
      <c r="AC338" s="31">
        <f t="shared" si="60"/>
        <v>58.5</v>
      </c>
      <c r="AD338" s="9">
        <f t="shared" si="37"/>
        <v>39.09676440356914</v>
      </c>
      <c r="AE338" s="9">
        <f t="shared" si="38"/>
        <v>0</v>
      </c>
      <c r="AF338" s="31">
        <f t="shared" si="61"/>
        <v>58.5</v>
      </c>
      <c r="AG338" s="31">
        <f t="shared" si="51"/>
        <v>1.0210176124166828</v>
      </c>
      <c r="AH338" s="9">
        <f t="shared" si="68"/>
        <v>98.04812610238913</v>
      </c>
      <c r="AI338" s="9">
        <f t="shared" si="40"/>
        <v>2.1448027584897624</v>
      </c>
      <c r="AJ338" s="31">
        <f t="shared" si="52"/>
        <v>-2.2551972415102375</v>
      </c>
      <c r="AK338" s="31">
        <f t="shared" si="41"/>
        <v>3</v>
      </c>
      <c r="AL338" s="31">
        <f t="shared" si="70"/>
        <v>3.15</v>
      </c>
      <c r="AM338" s="31">
        <f t="shared" si="62"/>
        <v>-0.6295956652303731</v>
      </c>
      <c r="AN338" s="131">
        <f t="shared" si="54"/>
        <v>0</v>
      </c>
      <c r="AO338" s="31">
        <f t="shared" si="71"/>
        <v>3.8201998913707946</v>
      </c>
      <c r="AP338" s="31">
        <f t="shared" si="63"/>
        <v>2.4512031525597284</v>
      </c>
      <c r="AQ338" s="9">
        <f t="shared" si="74"/>
        <v>0</v>
      </c>
      <c r="AR338" s="31">
        <f t="shared" si="64"/>
        <v>-0.7096440763404047</v>
      </c>
      <c r="AS338" s="31">
        <f t="shared" si="42"/>
        <v>6.233999637902649</v>
      </c>
      <c r="AT338" s="154">
        <f t="shared" si="58"/>
        <v>-2.2339996379026488</v>
      </c>
      <c r="AU338" s="31">
        <f t="shared" si="65"/>
        <v>0</v>
      </c>
      <c r="AV338" s="31">
        <f t="shared" si="43"/>
        <v>98.04812610238913</v>
      </c>
      <c r="AW338" s="31">
        <f t="shared" si="66"/>
        <v>0</v>
      </c>
      <c r="AX338" s="9">
        <f t="shared" si="45"/>
        <v>0</v>
      </c>
      <c r="AY338" s="31">
        <f t="shared" si="46"/>
        <v>0</v>
      </c>
      <c r="AZ338" s="31">
        <f t="shared" si="72"/>
        <v>0</v>
      </c>
      <c r="BA338" s="31">
        <f t="shared" si="67"/>
        <v>0</v>
      </c>
      <c r="BB338" s="31">
        <f t="shared" si="73"/>
        <v>2.1448027584897624</v>
      </c>
      <c r="BC338" s="31">
        <f t="shared" si="48"/>
        <v>0</v>
      </c>
      <c r="BE338" s="31">
        <f t="shared" si="49"/>
        <v>98.04812610238913</v>
      </c>
    </row>
    <row r="339" spans="1:57" s="31" customFormat="1" ht="18" customHeight="1">
      <c r="A339" s="141"/>
      <c r="B339" s="148"/>
      <c r="C339" s="83"/>
      <c r="D339" s="14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1">
        <f t="shared" si="35"/>
        <v>2.103012166596462</v>
      </c>
      <c r="AC339" s="31">
        <f t="shared" si="60"/>
        <v>59</v>
      </c>
      <c r="AD339" s="9">
        <f t="shared" si="37"/>
        <v>39.10537210305604</v>
      </c>
      <c r="AE339" s="9">
        <f t="shared" si="38"/>
        <v>0</v>
      </c>
      <c r="AF339" s="31">
        <f t="shared" si="61"/>
        <v>59</v>
      </c>
      <c r="AG339" s="31">
        <f t="shared" si="51"/>
        <v>1.0297442586766543</v>
      </c>
      <c r="AH339" s="9">
        <f t="shared" si="68"/>
        <v>96.1376990444097</v>
      </c>
      <c r="AI339" s="9">
        <f>($AE$280-$AE$282)/TAN(AG339)</f>
        <v>2.103012166596462</v>
      </c>
      <c r="AJ339" s="31">
        <f t="shared" si="52"/>
        <v>-2.296987833403538</v>
      </c>
      <c r="AK339" s="31">
        <f t="shared" si="41"/>
        <v>3</v>
      </c>
      <c r="AL339" s="31">
        <f t="shared" si="70"/>
        <v>3.15</v>
      </c>
      <c r="AM339" s="31">
        <f t="shared" si="62"/>
        <v>-0.6952665953484165</v>
      </c>
      <c r="AN339" s="131">
        <f t="shared" si="54"/>
        <v>0</v>
      </c>
      <c r="AO339" s="31">
        <f t="shared" si="71"/>
        <v>3.8944219781599614</v>
      </c>
      <c r="AP339" s="31">
        <f t="shared" si="63"/>
        <v>2.4034424761102424</v>
      </c>
      <c r="AQ339" s="9">
        <f t="shared" si="74"/>
        <v>0</v>
      </c>
      <c r="AR339" s="31">
        <f t="shared" si="64"/>
        <v>-0.773257861975159</v>
      </c>
      <c r="AS339" s="31">
        <f t="shared" si="42"/>
        <v>6.481406593866538</v>
      </c>
      <c r="AT339" s="154">
        <f t="shared" si="58"/>
        <v>-2.481406593866538</v>
      </c>
      <c r="AU339" s="31">
        <f t="shared" si="65"/>
        <v>0</v>
      </c>
      <c r="AV339" s="31">
        <f t="shared" si="43"/>
        <v>96.1376990444097</v>
      </c>
      <c r="AW339" s="31">
        <f t="shared" si="66"/>
        <v>0</v>
      </c>
      <c r="AX339" s="9">
        <f t="shared" si="45"/>
        <v>0</v>
      </c>
      <c r="AY339" s="31">
        <f t="shared" si="46"/>
        <v>0</v>
      </c>
      <c r="AZ339" s="31">
        <f t="shared" si="72"/>
        <v>0</v>
      </c>
      <c r="BA339" s="31">
        <f t="shared" si="67"/>
        <v>0</v>
      </c>
      <c r="BB339" s="31">
        <f t="shared" si="73"/>
        <v>2.103012166596462</v>
      </c>
      <c r="BC339" s="31">
        <f t="shared" si="48"/>
        <v>0</v>
      </c>
      <c r="BE339" s="31">
        <f t="shared" si="49"/>
        <v>96.1376990444097</v>
      </c>
    </row>
    <row r="340" spans="1:57" s="31" customFormat="1" ht="18" customHeight="1">
      <c r="A340" s="141"/>
      <c r="B340" s="148"/>
      <c r="C340" s="83"/>
      <c r="D340" s="14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1">
        <f t="shared" si="35"/>
        <v>2.061657557471929</v>
      </c>
      <c r="AC340" s="31">
        <f t="shared" si="60"/>
        <v>59.5</v>
      </c>
      <c r="AD340" s="9">
        <f t="shared" si="37"/>
        <v>39.09178187001698</v>
      </c>
      <c r="AE340" s="9">
        <f t="shared" si="38"/>
        <v>0</v>
      </c>
      <c r="AF340" s="31">
        <f t="shared" si="61"/>
        <v>59.5</v>
      </c>
      <c r="AG340" s="31">
        <f t="shared" si="51"/>
        <v>1.038470904936626</v>
      </c>
      <c r="AH340" s="9">
        <f t="shared" si="68"/>
        <v>94.24720262728817</v>
      </c>
      <c r="AI340" s="9">
        <f t="shared" si="40"/>
        <v>2.061657557471929</v>
      </c>
      <c r="AJ340" s="31">
        <f t="shared" si="52"/>
        <v>-2.338342442528071</v>
      </c>
      <c r="AK340" s="31">
        <f t="shared" si="41"/>
        <v>3</v>
      </c>
      <c r="AL340" s="31">
        <f t="shared" si="70"/>
        <v>3.15</v>
      </c>
      <c r="AM340" s="31">
        <f t="shared" si="62"/>
        <v>-0.7602524096869687</v>
      </c>
      <c r="AN340" s="131">
        <f>IF(AR340&lt;Ho,0,AM340+(1/TAN(AG340)-1/TAN(β))*Ho)</f>
        <v>0</v>
      </c>
      <c r="AO340" s="31">
        <f t="shared" si="71"/>
        <v>3.973906197188482</v>
      </c>
      <c r="AP340" s="31">
        <f t="shared" si="63"/>
        <v>2.3561800656822043</v>
      </c>
      <c r="AQ340" s="9">
        <f t="shared" si="74"/>
        <v>0</v>
      </c>
      <c r="AR340" s="31">
        <f t="shared" si="64"/>
        <v>-0.8345663873528424</v>
      </c>
      <c r="AS340" s="31">
        <f t="shared" si="42"/>
        <v>6.746353990628274</v>
      </c>
      <c r="AT340" s="154">
        <f t="shared" si="58"/>
        <v>-2.7463539906282737</v>
      </c>
      <c r="AU340" s="31">
        <f t="shared" si="65"/>
        <v>0</v>
      </c>
      <c r="AV340" s="31">
        <f t="shared" si="43"/>
        <v>94.24720262728817</v>
      </c>
      <c r="AW340" s="31">
        <f t="shared" si="66"/>
        <v>0</v>
      </c>
      <c r="AX340" s="9">
        <f t="shared" si="45"/>
        <v>0</v>
      </c>
      <c r="AY340" s="31">
        <f t="shared" si="46"/>
        <v>0</v>
      </c>
      <c r="AZ340" s="31">
        <f t="shared" si="72"/>
        <v>0</v>
      </c>
      <c r="BA340" s="31">
        <f t="shared" si="67"/>
        <v>0</v>
      </c>
      <c r="BB340" s="31">
        <f t="shared" si="73"/>
        <v>2.061657557471929</v>
      </c>
      <c r="BC340" s="31">
        <f t="shared" si="48"/>
        <v>0</v>
      </c>
      <c r="BE340" s="31">
        <f t="shared" si="49"/>
        <v>94.24720262728817</v>
      </c>
    </row>
    <row r="341" spans="1:57" s="31" customFormat="1" ht="18" customHeight="1">
      <c r="A341" s="141"/>
      <c r="B341" s="148"/>
      <c r="C341" s="83"/>
      <c r="D341" s="14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1">
        <f t="shared" si="35"/>
        <v>2.0207259421636907</v>
      </c>
      <c r="AC341" s="31">
        <f t="shared" si="60"/>
        <v>60</v>
      </c>
      <c r="AD341" s="9">
        <f t="shared" si="37"/>
        <v>39.05632552417369</v>
      </c>
      <c r="AE341" s="9">
        <f t="shared" si="38"/>
        <v>0</v>
      </c>
      <c r="AF341" s="31">
        <f t="shared" si="61"/>
        <v>60</v>
      </c>
      <c r="AG341" s="31">
        <f t="shared" si="51"/>
        <v>1.0471975511965976</v>
      </c>
      <c r="AH341" s="9">
        <f t="shared" si="68"/>
        <v>92.37604307034016</v>
      </c>
      <c r="AI341" s="9">
        <f t="shared" si="40"/>
        <v>2.0207259421636907</v>
      </c>
      <c r="AJ341" s="31">
        <f t="shared" si="52"/>
        <v>-2.379274057836309</v>
      </c>
      <c r="AK341" s="31">
        <f t="shared" si="41"/>
        <v>3</v>
      </c>
      <c r="AL341" s="31">
        <f t="shared" si="70"/>
        <v>3.15</v>
      </c>
      <c r="AM341" s="31">
        <f t="shared" si="62"/>
        <v>-0.8245735194570574</v>
      </c>
      <c r="AN341" s="131">
        <f t="shared" si="54"/>
        <v>0</v>
      </c>
      <c r="AO341" s="31">
        <f t="shared" si="71"/>
        <v>4.059246195106565</v>
      </c>
      <c r="AP341" s="31">
        <f t="shared" si="63"/>
        <v>2.309401076758504</v>
      </c>
      <c r="AQ341" s="9">
        <f t="shared" si="74"/>
        <v>0</v>
      </c>
      <c r="AR341" s="31">
        <f t="shared" si="64"/>
        <v>-0.8937015770143071</v>
      </c>
      <c r="AS341" s="31">
        <f t="shared" si="42"/>
        <v>7.030820650355216</v>
      </c>
      <c r="AT341" s="154">
        <f t="shared" si="58"/>
        <v>-3.030820650355216</v>
      </c>
      <c r="AU341" s="31">
        <f t="shared" si="65"/>
        <v>0</v>
      </c>
      <c r="AV341" s="31">
        <f t="shared" si="43"/>
        <v>92.37604307034016</v>
      </c>
      <c r="AW341" s="31">
        <f t="shared" si="66"/>
        <v>0</v>
      </c>
      <c r="AX341" s="9">
        <f t="shared" si="45"/>
        <v>0</v>
      </c>
      <c r="AY341" s="31">
        <f t="shared" si="46"/>
        <v>0</v>
      </c>
      <c r="AZ341" s="31">
        <f t="shared" si="72"/>
        <v>0</v>
      </c>
      <c r="BA341" s="31">
        <f t="shared" si="67"/>
        <v>0</v>
      </c>
      <c r="BB341" s="31">
        <f t="shared" si="73"/>
        <v>2.0207259421636907</v>
      </c>
      <c r="BC341" s="31">
        <f t="shared" si="48"/>
        <v>0</v>
      </c>
      <c r="BE341" s="31">
        <f t="shared" si="49"/>
        <v>92.37604307034016</v>
      </c>
    </row>
    <row r="342" spans="1:57" s="31" customFormat="1" ht="18" customHeight="1">
      <c r="A342" s="141"/>
      <c r="B342" s="148"/>
      <c r="C342" s="83"/>
      <c r="D342" s="14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1">
        <f t="shared" si="35"/>
        <v>1.9802047236571954</v>
      </c>
      <c r="AC342" s="31">
        <f t="shared" si="60"/>
        <v>60.5</v>
      </c>
      <c r="AD342" s="9">
        <f t="shared" si="37"/>
        <v>38.999314858736476</v>
      </c>
      <c r="AE342" s="9">
        <f t="shared" si="38"/>
        <v>0</v>
      </c>
      <c r="AF342" s="31">
        <f t="shared" si="61"/>
        <v>60.5</v>
      </c>
      <c r="AG342" s="31">
        <f t="shared" si="51"/>
        <v>1.0559241974565694</v>
      </c>
      <c r="AH342" s="9">
        <f t="shared" si="68"/>
        <v>90.52364451004321</v>
      </c>
      <c r="AI342" s="9">
        <f t="shared" si="40"/>
        <v>1.9802047236571954</v>
      </c>
      <c r="AJ342" s="31">
        <f t="shared" si="52"/>
        <v>-2.4197952763428043</v>
      </c>
      <c r="AK342" s="31">
        <f t="shared" si="41"/>
        <v>3</v>
      </c>
      <c r="AL342" s="31">
        <f t="shared" si="70"/>
        <v>3.15</v>
      </c>
      <c r="AM342" s="31">
        <f t="shared" si="62"/>
        <v>-0.8882497199672641</v>
      </c>
      <c r="AN342" s="131">
        <f t="shared" si="54"/>
        <v>0</v>
      </c>
      <c r="AO342" s="31">
        <f t="shared" si="71"/>
        <v>4.151128362313667</v>
      </c>
      <c r="AP342" s="31">
        <f t="shared" si="63"/>
        <v>2.26309111275108</v>
      </c>
      <c r="AQ342" s="9">
        <f t="shared" si="74"/>
        <v>0</v>
      </c>
      <c r="AR342" s="31">
        <f t="shared" si="64"/>
        <v>-0.9507855254359019</v>
      </c>
      <c r="AS342" s="31">
        <f t="shared" si="42"/>
        <v>7.337094541045557</v>
      </c>
      <c r="AT342" s="154">
        <f t="shared" si="58"/>
        <v>-3.3370945410455572</v>
      </c>
      <c r="AU342" s="31">
        <f t="shared" si="65"/>
        <v>0</v>
      </c>
      <c r="AV342" s="31">
        <f t="shared" si="43"/>
        <v>90.52364451004321</v>
      </c>
      <c r="AW342" s="31">
        <f t="shared" si="66"/>
        <v>0</v>
      </c>
      <c r="AX342" s="9">
        <f t="shared" si="45"/>
        <v>0</v>
      </c>
      <c r="AY342" s="31">
        <f t="shared" si="46"/>
        <v>0</v>
      </c>
      <c r="AZ342" s="31">
        <f t="shared" si="72"/>
        <v>0</v>
      </c>
      <c r="BA342" s="31">
        <f t="shared" si="67"/>
        <v>0</v>
      </c>
      <c r="BB342" s="31">
        <f t="shared" si="73"/>
        <v>1.9802047236571954</v>
      </c>
      <c r="BC342" s="31">
        <f t="shared" si="48"/>
        <v>0</v>
      </c>
      <c r="BE342" s="31">
        <f t="shared" si="49"/>
        <v>90.52364451004321</v>
      </c>
    </row>
    <row r="343" spans="1:57" s="31" customFormat="1" ht="18" customHeight="1">
      <c r="A343" s="141"/>
      <c r="B343" s="148"/>
      <c r="C343" s="83"/>
      <c r="D343" s="14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1">
        <f t="shared" si="35"/>
        <v>1.9400816800846916</v>
      </c>
      <c r="AC343" s="31">
        <f t="shared" si="60"/>
        <v>61</v>
      </c>
      <c r="AD343" s="9">
        <f t="shared" si="37"/>
        <v>38.92104228512994</v>
      </c>
      <c r="AE343" s="9">
        <f t="shared" si="38"/>
        <v>0</v>
      </c>
      <c r="AF343" s="31">
        <f t="shared" si="61"/>
        <v>61</v>
      </c>
      <c r="AG343" s="31">
        <f t="shared" si="51"/>
        <v>1.064650843716541</v>
      </c>
      <c r="AH343" s="9">
        <f t="shared" si="68"/>
        <v>88.68944823244304</v>
      </c>
      <c r="AI343" s="9">
        <f t="shared" si="40"/>
        <v>1.9400816800846916</v>
      </c>
      <c r="AJ343" s="31">
        <f t="shared" si="52"/>
        <v>-2.4599183199153085</v>
      </c>
      <c r="AK343" s="31">
        <f t="shared" si="41"/>
        <v>3</v>
      </c>
      <c r="AL343" s="31">
        <f t="shared" si="70"/>
        <v>3.15</v>
      </c>
      <c r="AM343" s="31">
        <f t="shared" si="62"/>
        <v>-0.9513002170097704</v>
      </c>
      <c r="AN343" s="131">
        <f t="shared" si="54"/>
        <v>0</v>
      </c>
      <c r="AO343" s="31">
        <f t="shared" si="71"/>
        <v>4.250350682203884</v>
      </c>
      <c r="AP343" s="31">
        <f t="shared" si="63"/>
        <v>2.217236205811076</v>
      </c>
      <c r="AQ343" s="9">
        <f t="shared" si="74"/>
        <v>0</v>
      </c>
      <c r="AR343" s="31">
        <f t="shared" si="64"/>
        <v>-1.0059313970078239</v>
      </c>
      <c r="AS343" s="31">
        <f t="shared" si="42"/>
        <v>7.66783560734628</v>
      </c>
      <c r="AT343" s="154">
        <f t="shared" si="58"/>
        <v>-3.66783560734628</v>
      </c>
      <c r="AU343" s="31">
        <f t="shared" si="65"/>
        <v>0</v>
      </c>
      <c r="AV343" s="31">
        <f>IF(AG343&gt;=ω3,0.5*$AE$280*AP343*γs+AP343*$AE$289,IF(AG343&gt;ω2,0.5*AO343*AS343*γs,0.5*(Hl-Df)^2*(TAN(αl)+1/TAN(AG343))*γs))</f>
        <v>88.68944823244304</v>
      </c>
      <c r="AW343" s="31">
        <f t="shared" si="66"/>
        <v>0</v>
      </c>
      <c r="AX343" s="9">
        <f t="shared" si="45"/>
        <v>0</v>
      </c>
      <c r="AY343" s="31">
        <f t="shared" si="46"/>
        <v>0</v>
      </c>
      <c r="AZ343" s="31">
        <f t="shared" si="72"/>
        <v>0</v>
      </c>
      <c r="BA343" s="31">
        <f t="shared" si="67"/>
        <v>0</v>
      </c>
      <c r="BB343" s="31">
        <f t="shared" si="73"/>
        <v>1.9400816800846916</v>
      </c>
      <c r="BC343" s="31">
        <f t="shared" si="48"/>
        <v>0</v>
      </c>
      <c r="BE343" s="31">
        <f t="shared" si="49"/>
        <v>88.68944823244304</v>
      </c>
    </row>
    <row r="344" spans="1:57" s="31" customFormat="1" ht="18" customHeight="1">
      <c r="A344" s="141"/>
      <c r="B344" s="148"/>
      <c r="C344" s="83"/>
      <c r="D344" s="14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1">
        <f t="shared" si="35"/>
        <v>1.900344948734529</v>
      </c>
      <c r="AC344" s="31">
        <f t="shared" si="60"/>
        <v>61.5</v>
      </c>
      <c r="AD344" s="9">
        <f t="shared" si="37"/>
        <v>38.821781436903606</v>
      </c>
      <c r="AE344" s="9">
        <f t="shared" si="38"/>
        <v>0</v>
      </c>
      <c r="AF344" s="31">
        <f t="shared" si="61"/>
        <v>61.5</v>
      </c>
      <c r="AG344" s="31">
        <f t="shared" si="51"/>
        <v>1.0733774899765127</v>
      </c>
      <c r="AH344" s="9">
        <f t="shared" si="68"/>
        <v>86.8729119421499</v>
      </c>
      <c r="AI344" s="9">
        <f t="shared" si="40"/>
        <v>1.900344948734529</v>
      </c>
      <c r="AJ344" s="31">
        <f t="shared" si="52"/>
        <v>-2.4996550512654707</v>
      </c>
      <c r="AK344" s="31">
        <f t="shared" si="41"/>
        <v>3</v>
      </c>
      <c r="AL344" s="31">
        <f t="shared" si="70"/>
        <v>3.15</v>
      </c>
      <c r="AM344" s="31">
        <f t="shared" si="62"/>
        <v>-1.0137436519885972</v>
      </c>
      <c r="AN344" s="131">
        <f t="shared" si="54"/>
        <v>0</v>
      </c>
      <c r="AO344" s="31">
        <f t="shared" si="71"/>
        <v>4.357846372283459</v>
      </c>
      <c r="AP344" s="31">
        <f t="shared" si="63"/>
        <v>2.1718227985537473</v>
      </c>
      <c r="AQ344" s="9">
        <f t="shared" si="74"/>
        <v>0</v>
      </c>
      <c r="AR344" s="31">
        <f t="shared" si="64"/>
        <v>-1.0592442289302733</v>
      </c>
      <c r="AS344" s="31">
        <f t="shared" si="42"/>
        <v>8.026154574278197</v>
      </c>
      <c r="AT344" s="154">
        <f t="shared" si="58"/>
        <v>-4.026154574278197</v>
      </c>
      <c r="AU344" s="31">
        <f t="shared" si="65"/>
        <v>0</v>
      </c>
      <c r="AV344" s="31">
        <f t="shared" si="43"/>
        <v>86.8729119421499</v>
      </c>
      <c r="AW344" s="31">
        <f t="shared" si="66"/>
        <v>0</v>
      </c>
      <c r="AX344" s="9">
        <f t="shared" si="45"/>
        <v>0</v>
      </c>
      <c r="AY344" s="31">
        <f t="shared" si="46"/>
        <v>0</v>
      </c>
      <c r="AZ344" s="31">
        <f t="shared" si="72"/>
        <v>0</v>
      </c>
      <c r="BA344" s="31">
        <f t="shared" si="67"/>
        <v>0</v>
      </c>
      <c r="BB344" s="31">
        <f t="shared" si="73"/>
        <v>1.900344948734529</v>
      </c>
      <c r="BC344" s="31">
        <f t="shared" si="48"/>
        <v>0</v>
      </c>
      <c r="BE344" s="31">
        <f t="shared" si="49"/>
        <v>86.8729119421499</v>
      </c>
    </row>
    <row r="345" spans="1:57" s="31" customFormat="1" ht="18" customHeight="1">
      <c r="A345" s="141"/>
      <c r="B345" s="148"/>
      <c r="C345" s="83"/>
      <c r="D345" s="14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1">
        <f t="shared" si="35"/>
        <v>1.860983010815176</v>
      </c>
      <c r="AC345" s="31">
        <f t="shared" si="60"/>
        <v>62</v>
      </c>
      <c r="AD345" s="9">
        <f t="shared" si="37"/>
        <v>38.70178773485772</v>
      </c>
      <c r="AE345" s="9">
        <f t="shared" si="38"/>
        <v>0</v>
      </c>
      <c r="AF345" s="31">
        <f t="shared" si="61"/>
        <v>62</v>
      </c>
      <c r="AG345" s="31">
        <f t="shared" si="51"/>
        <v>1.0821041362364843</v>
      </c>
      <c r="AH345" s="9">
        <f t="shared" si="68"/>
        <v>85.0735090658366</v>
      </c>
      <c r="AI345" s="9">
        <f t="shared" si="40"/>
        <v>1.860983010815176</v>
      </c>
      <c r="AJ345" s="31">
        <f t="shared" si="52"/>
        <v>-2.539016989184824</v>
      </c>
      <c r="AK345" s="31">
        <f t="shared" si="41"/>
        <v>3</v>
      </c>
      <c r="AL345" s="31">
        <f t="shared" si="70"/>
        <v>3.15</v>
      </c>
      <c r="AM345" s="31">
        <f t="shared" si="62"/>
        <v>-1.0755981258618665</v>
      </c>
      <c r="AN345" s="131">
        <f t="shared" si="54"/>
        <v>0</v>
      </c>
      <c r="AO345" s="31">
        <f t="shared" si="71"/>
        <v>4.474713801269293</v>
      </c>
      <c r="AP345" s="31">
        <f t="shared" si="63"/>
        <v>2.126837726645915</v>
      </c>
      <c r="AQ345" s="9">
        <f t="shared" si="74"/>
        <v>0</v>
      </c>
      <c r="AR345" s="31">
        <f t="shared" si="64"/>
        <v>-1.1108216490298701</v>
      </c>
      <c r="AS345" s="31">
        <f t="shared" si="42"/>
        <v>8.415712670897644</v>
      </c>
      <c r="AT345" s="154">
        <f t="shared" si="58"/>
        <v>-4.415712670897644</v>
      </c>
      <c r="AU345" s="31">
        <f t="shared" si="65"/>
        <v>0</v>
      </c>
      <c r="AV345" s="31">
        <f t="shared" si="43"/>
        <v>85.0735090658366</v>
      </c>
      <c r="AW345" s="31">
        <f t="shared" si="66"/>
        <v>0</v>
      </c>
      <c r="AX345" s="9">
        <f t="shared" si="45"/>
        <v>0</v>
      </c>
      <c r="AY345" s="31">
        <f t="shared" si="46"/>
        <v>0</v>
      </c>
      <c r="AZ345" s="31">
        <f t="shared" si="72"/>
        <v>0</v>
      </c>
      <c r="BA345" s="31">
        <f t="shared" si="67"/>
        <v>0</v>
      </c>
      <c r="BB345" s="31">
        <f t="shared" si="73"/>
        <v>1.860983010815176</v>
      </c>
      <c r="BC345" s="31">
        <f t="shared" si="48"/>
        <v>0</v>
      </c>
      <c r="BE345" s="31">
        <f t="shared" si="49"/>
        <v>85.0735090658366</v>
      </c>
    </row>
    <row r="346" spans="1:57" s="31" customFormat="1" ht="18" customHeight="1">
      <c r="A346" s="141"/>
      <c r="B346" s="148"/>
      <c r="C346" s="83"/>
      <c r="D346" s="14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1">
        <f t="shared" si="35"/>
        <v>1.8219846769311128</v>
      </c>
      <c r="AC346" s="31">
        <f t="shared" si="60"/>
        <v>62.5</v>
      </c>
      <c r="AD346" s="9">
        <f t="shared" si="37"/>
        <v>38.56129891526649</v>
      </c>
      <c r="AE346" s="9">
        <f t="shared" si="38"/>
        <v>0</v>
      </c>
      <c r="AF346" s="31">
        <f t="shared" si="61"/>
        <v>62.5</v>
      </c>
      <c r="AG346" s="31">
        <f t="shared" si="51"/>
        <v>1.0908307824964558</v>
      </c>
      <c r="AH346" s="9">
        <f t="shared" si="68"/>
        <v>83.29072808827944</v>
      </c>
      <c r="AI346" s="9">
        <f t="shared" si="40"/>
        <v>1.8219846769311128</v>
      </c>
      <c r="AJ346" s="31">
        <f t="shared" si="52"/>
        <v>-2.578015323068887</v>
      </c>
      <c r="AK346" s="31">
        <f t="shared" si="41"/>
        <v>3</v>
      </c>
      <c r="AL346" s="31">
        <f t="shared" si="70"/>
        <v>3.15</v>
      </c>
      <c r="AM346" s="31">
        <f t="shared" si="62"/>
        <v>-1.1368812219653939</v>
      </c>
      <c r="AN346" s="131">
        <f t="shared" si="54"/>
        <v>0</v>
      </c>
      <c r="AO346" s="31">
        <f t="shared" si="71"/>
        <v>4.602254715908961</v>
      </c>
      <c r="AP346" s="31">
        <f t="shared" si="63"/>
        <v>2.082268202206986</v>
      </c>
      <c r="AQ346" s="9">
        <f t="shared" si="74"/>
        <v>0</v>
      </c>
      <c r="AR346" s="31">
        <f t="shared" si="64"/>
        <v>-1.1607545188323873</v>
      </c>
      <c r="AS346" s="31">
        <f t="shared" si="42"/>
        <v>8.84084905302987</v>
      </c>
      <c r="AT346" s="154">
        <f t="shared" si="58"/>
        <v>-4.840849053029871</v>
      </c>
      <c r="AU346" s="31">
        <f t="shared" si="65"/>
        <v>0</v>
      </c>
      <c r="AV346" s="31">
        <f t="shared" si="43"/>
        <v>83.29072808827944</v>
      </c>
      <c r="AW346" s="31">
        <f t="shared" si="66"/>
        <v>0</v>
      </c>
      <c r="AX346" s="9">
        <f t="shared" si="45"/>
        <v>0</v>
      </c>
      <c r="AY346" s="31">
        <f t="shared" si="46"/>
        <v>0</v>
      </c>
      <c r="AZ346" s="31">
        <f t="shared" si="72"/>
        <v>0</v>
      </c>
      <c r="BA346" s="31">
        <f t="shared" si="67"/>
        <v>0</v>
      </c>
      <c r="BB346" s="31">
        <f t="shared" si="73"/>
        <v>1.8219846769311128</v>
      </c>
      <c r="BC346" s="31">
        <f t="shared" si="48"/>
        <v>0</v>
      </c>
      <c r="BE346" s="31">
        <f t="shared" si="49"/>
        <v>83.29072808827944</v>
      </c>
    </row>
    <row r="347" spans="1:57" ht="18" customHeight="1">
      <c r="A347" s="141"/>
      <c r="B347" s="148"/>
      <c r="C347" s="83"/>
      <c r="D347" s="14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2"/>
      <c r="S347" s="32"/>
      <c r="T347" s="39"/>
      <c r="U347" s="39"/>
      <c r="V347" s="39"/>
      <c r="W347" s="39"/>
      <c r="X347" s="39"/>
      <c r="Y347" s="32"/>
      <c r="Z347" s="32"/>
      <c r="AA347" s="32"/>
      <c r="AB347" s="9">
        <f t="shared" si="35"/>
        <v>1.783339073230501</v>
      </c>
      <c r="AC347" s="9">
        <f t="shared" si="60"/>
        <v>63</v>
      </c>
      <c r="AD347" s="9">
        <f t="shared" si="37"/>
        <v>38.40053552294276</v>
      </c>
      <c r="AE347" s="9">
        <f t="shared" si="38"/>
        <v>0</v>
      </c>
      <c r="AF347" s="9">
        <f t="shared" si="61"/>
        <v>63</v>
      </c>
      <c r="AG347" s="9">
        <f t="shared" si="51"/>
        <v>1.0995574287564276</v>
      </c>
      <c r="AH347" s="9">
        <f t="shared" si="68"/>
        <v>81.52407191910862</v>
      </c>
      <c r="AI347" s="9">
        <f t="shared" si="40"/>
        <v>1.783339073230501</v>
      </c>
      <c r="AJ347" s="9">
        <f t="shared" si="52"/>
        <v>-2.616660926769499</v>
      </c>
      <c r="AK347" s="9">
        <f t="shared" si="41"/>
        <v>3</v>
      </c>
      <c r="AL347" s="9">
        <f t="shared" si="70"/>
        <v>3.15</v>
      </c>
      <c r="AM347" s="9">
        <f t="shared" si="62"/>
        <v>-1.197610027780641</v>
      </c>
      <c r="AN347" s="153">
        <f t="shared" si="54"/>
        <v>0</v>
      </c>
      <c r="AO347" s="9">
        <f t="shared" si="71"/>
        <v>4.742023601006782</v>
      </c>
      <c r="AP347" s="9">
        <f t="shared" si="63"/>
        <v>2.0381017979777156</v>
      </c>
      <c r="AQ347" s="9">
        <f t="shared" si="74"/>
        <v>0</v>
      </c>
      <c r="AR347" s="9">
        <f t="shared" si="64"/>
        <v>-1.2091275108172548</v>
      </c>
      <c r="AS347" s="9">
        <f t="shared" si="42"/>
        <v>9.306745336689271</v>
      </c>
      <c r="AT347" s="130">
        <f t="shared" si="58"/>
        <v>-5.306745336689271</v>
      </c>
      <c r="AU347" s="9">
        <f t="shared" si="65"/>
        <v>0</v>
      </c>
      <c r="AV347" s="9">
        <f t="shared" si="43"/>
        <v>81.52407191910862</v>
      </c>
      <c r="AW347" s="9">
        <f t="shared" si="66"/>
        <v>0</v>
      </c>
      <c r="AX347" s="9">
        <f t="shared" si="45"/>
        <v>0</v>
      </c>
      <c r="AY347" s="9">
        <f t="shared" si="46"/>
        <v>0</v>
      </c>
      <c r="AZ347" s="9">
        <f t="shared" si="72"/>
        <v>0</v>
      </c>
      <c r="BA347" s="9">
        <f t="shared" si="67"/>
        <v>0</v>
      </c>
      <c r="BB347" s="9">
        <f t="shared" si="73"/>
        <v>1.783339073230501</v>
      </c>
      <c r="BC347" s="9">
        <f t="shared" si="48"/>
        <v>0</v>
      </c>
      <c r="BE347" s="9">
        <f t="shared" si="49"/>
        <v>81.52407191910862</v>
      </c>
    </row>
    <row r="348" spans="1:57" ht="18" customHeight="1">
      <c r="A348" s="141"/>
      <c r="B348" s="148"/>
      <c r="C348" s="83"/>
      <c r="D348" s="14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2"/>
      <c r="S348" s="32"/>
      <c r="T348" s="39"/>
      <c r="U348" s="39"/>
      <c r="V348" s="39"/>
      <c r="W348" s="39"/>
      <c r="X348" s="39"/>
      <c r="Y348" s="32"/>
      <c r="Z348" s="32"/>
      <c r="AA348" s="32"/>
      <c r="AB348" s="9">
        <f t="shared" si="35"/>
        <v>1.74503562818701</v>
      </c>
      <c r="AC348" s="9">
        <f t="shared" si="60"/>
        <v>63.5</v>
      </c>
      <c r="AD348" s="9">
        <f t="shared" si="37"/>
        <v>38.21970137076011</v>
      </c>
      <c r="AE348" s="9">
        <f t="shared" si="38"/>
        <v>0</v>
      </c>
      <c r="AF348" s="9">
        <f t="shared" si="61"/>
        <v>63.5</v>
      </c>
      <c r="AG348" s="9">
        <f t="shared" si="51"/>
        <v>1.1082840750163994</v>
      </c>
      <c r="AH348" s="9">
        <f t="shared" si="68"/>
        <v>79.77305728854903</v>
      </c>
      <c r="AI348" s="9">
        <f t="shared" si="40"/>
        <v>1.74503562818701</v>
      </c>
      <c r="AJ348" s="9">
        <f t="shared" si="52"/>
        <v>-2.65496437181299</v>
      </c>
      <c r="AK348" s="9">
        <f t="shared" si="41"/>
        <v>3</v>
      </c>
      <c r="AL348" s="9">
        <f t="shared" si="70"/>
        <v>3.15</v>
      </c>
      <c r="AM348" s="9">
        <f t="shared" si="62"/>
        <v>-1.2578011557061268</v>
      </c>
      <c r="AN348" s="153">
        <f t="shared" si="54"/>
        <v>0</v>
      </c>
      <c r="AO348" s="9">
        <f t="shared" si="71"/>
        <v>4.89589214849442</v>
      </c>
      <c r="AP348" s="9">
        <f t="shared" si="63"/>
        <v>1.9943264322137257</v>
      </c>
      <c r="AQ348" s="9">
        <f t="shared" si="74"/>
        <v>0</v>
      </c>
      <c r="AR348" s="9">
        <f t="shared" si="64"/>
        <v>-1.2560196275816327</v>
      </c>
      <c r="AS348" s="9">
        <f>SIN(θu-ω2)*SIN(AG348)/COS(ω2)/SIN(θu-AG348)*λ</f>
        <v>9.8196404949814</v>
      </c>
      <c r="AT348" s="130">
        <f t="shared" si="58"/>
        <v>-5.8196404949814</v>
      </c>
      <c r="AU348" s="9">
        <f t="shared" si="65"/>
        <v>0</v>
      </c>
      <c r="AV348" s="9">
        <f t="shared" si="43"/>
        <v>79.77305728854903</v>
      </c>
      <c r="AW348" s="9">
        <f t="shared" si="66"/>
        <v>0</v>
      </c>
      <c r="AX348" s="9">
        <f>IF(AG348&gt;=ω1,0,IF(AR348&lt;Ho,0.5*AM348*AR348*γs,0.5*(AM348+AN348)*Ho*γs+AN348*$AE$288))</f>
        <v>0</v>
      </c>
      <c r="AY348" s="9">
        <f t="shared" si="46"/>
        <v>0</v>
      </c>
      <c r="AZ348" s="9">
        <f t="shared" si="72"/>
        <v>0</v>
      </c>
      <c r="BA348" s="9">
        <f t="shared" si="67"/>
        <v>0</v>
      </c>
      <c r="BB348" s="9">
        <f t="shared" si="73"/>
        <v>1.74503562818701</v>
      </c>
      <c r="BC348" s="9">
        <f t="shared" si="48"/>
        <v>0</v>
      </c>
      <c r="BE348" s="9">
        <f t="shared" si="49"/>
        <v>79.77305728854903</v>
      </c>
    </row>
    <row r="349" spans="1:57" ht="18" customHeight="1">
      <c r="A349" s="141"/>
      <c r="B349" s="148"/>
      <c r="C349" s="83"/>
      <c r="D349" s="14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9">
        <f t="shared" si="35"/>
        <v>1.7070640599805151</v>
      </c>
      <c r="AC349" s="9">
        <f t="shared" si="60"/>
        <v>64</v>
      </c>
      <c r="AD349" s="9">
        <f>MAX(0,SIN(AG349-φ+AE349)/COS(AG349-φ-δu-αl)/COS(AE349)*(AH349))</f>
        <v>38.01898396712713</v>
      </c>
      <c r="AE349" s="9">
        <f t="shared" si="38"/>
        <v>0</v>
      </c>
      <c r="AF349" s="9">
        <f t="shared" si="61"/>
        <v>64</v>
      </c>
      <c r="AG349" s="9">
        <f t="shared" si="51"/>
        <v>1.117010721276371</v>
      </c>
      <c r="AH349" s="9">
        <f t="shared" si="68"/>
        <v>78.03721417053784</v>
      </c>
      <c r="AI349" s="9">
        <f t="shared" si="40"/>
        <v>1.7070640599805151</v>
      </c>
      <c r="AJ349" s="9">
        <f t="shared" si="52"/>
        <v>-2.6929359400194848</v>
      </c>
      <c r="AK349" s="9">
        <f t="shared" si="41"/>
        <v>3</v>
      </c>
      <c r="AL349" s="9">
        <f t="shared" si="70"/>
        <v>3.15</v>
      </c>
      <c r="AM349" s="9">
        <f t="shared" si="62"/>
        <v>-1.3174707628877618</v>
      </c>
      <c r="AN349" s="153">
        <f t="shared" si="54"/>
        <v>0</v>
      </c>
      <c r="AO349" s="9">
        <f t="shared" si="71"/>
        <v>5.066134521283537</v>
      </c>
      <c r="AP349" s="9">
        <f t="shared" si="63"/>
        <v>1.950930354263446</v>
      </c>
      <c r="AQ349" s="9">
        <f t="shared" si="74"/>
        <v>0</v>
      </c>
      <c r="AR349" s="9">
        <f t="shared" si="64"/>
        <v>-1.3015046696220554</v>
      </c>
      <c r="AS349" s="9">
        <f t="shared" si="42"/>
        <v>10.387115070945125</v>
      </c>
      <c r="AT349" s="130">
        <f t="shared" si="58"/>
        <v>-6.387115070945125</v>
      </c>
      <c r="AU349" s="9">
        <f t="shared" si="65"/>
        <v>0</v>
      </c>
      <c r="AV349" s="9">
        <f t="shared" si="43"/>
        <v>78.03721417053784</v>
      </c>
      <c r="AW349" s="9">
        <f t="shared" si="66"/>
        <v>0</v>
      </c>
      <c r="AX349" s="9">
        <f t="shared" si="45"/>
        <v>0</v>
      </c>
      <c r="AY349" s="9">
        <f t="shared" si="46"/>
        <v>0</v>
      </c>
      <c r="AZ349" s="9">
        <f t="shared" si="72"/>
        <v>0</v>
      </c>
      <c r="BA349" s="9">
        <f t="shared" si="67"/>
        <v>0</v>
      </c>
      <c r="BB349" s="9">
        <f t="shared" si="73"/>
        <v>1.7070640599805151</v>
      </c>
      <c r="BC349" s="9">
        <f t="shared" si="48"/>
        <v>0</v>
      </c>
      <c r="BE349" s="9">
        <f t="shared" si="49"/>
        <v>78.03721417053784</v>
      </c>
    </row>
    <row r="350" spans="1:57" ht="18" customHeight="1">
      <c r="A350" s="141"/>
      <c r="B350" s="148"/>
      <c r="C350" s="83"/>
      <c r="D350" s="14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9">
        <f t="shared" si="35"/>
        <v>1.6694143644435613</v>
      </c>
      <c r="AC350" s="9">
        <f t="shared" si="60"/>
        <v>64.5</v>
      </c>
      <c r="AD350" s="9">
        <f t="shared" si="37"/>
        <v>37.798554912795495</v>
      </c>
      <c r="AE350" s="9">
        <f t="shared" si="38"/>
        <v>0</v>
      </c>
      <c r="AF350" s="9">
        <f t="shared" si="61"/>
        <v>64.5</v>
      </c>
      <c r="AG350" s="9">
        <f t="shared" si="51"/>
        <v>1.1257373675363425</v>
      </c>
      <c r="AH350" s="9">
        <f t="shared" si="68"/>
        <v>76.31608523170566</v>
      </c>
      <c r="AI350" s="9">
        <f t="shared" si="40"/>
        <v>1.6694143644435613</v>
      </c>
      <c r="AJ350" s="9">
        <f t="shared" si="52"/>
        <v>-2.7305856355564386</v>
      </c>
      <c r="AK350" s="9">
        <f t="shared" si="41"/>
        <v>3</v>
      </c>
      <c r="AL350" s="9">
        <f t="shared" si="70"/>
        <v>3.15</v>
      </c>
      <c r="AM350" s="9">
        <f t="shared" si="62"/>
        <v>-1.376634570160118</v>
      </c>
      <c r="AN350" s="153">
        <f t="shared" si="54"/>
        <v>0</v>
      </c>
      <c r="AO350" s="9">
        <f t="shared" si="71"/>
        <v>5.255541681842221</v>
      </c>
      <c r="AP350" s="9">
        <f t="shared" si="63"/>
        <v>1.9079021307926414</v>
      </c>
      <c r="AQ350" s="9">
        <f t="shared" si="74"/>
        <v>0</v>
      </c>
      <c r="AR350" s="9">
        <f t="shared" si="64"/>
        <v>-1.3456516575707143</v>
      </c>
      <c r="AS350" s="9">
        <f t="shared" si="42"/>
        <v>11.018472272807402</v>
      </c>
      <c r="AT350" s="130">
        <f t="shared" si="58"/>
        <v>-7.0184722728074025</v>
      </c>
      <c r="AU350" s="9">
        <f t="shared" si="65"/>
        <v>0</v>
      </c>
      <c r="AV350" s="9">
        <f t="shared" si="43"/>
        <v>76.31608523170566</v>
      </c>
      <c r="AW350" s="9">
        <f t="shared" si="66"/>
        <v>0</v>
      </c>
      <c r="AX350" s="9">
        <f t="shared" si="45"/>
        <v>0</v>
      </c>
      <c r="AY350" s="9">
        <f t="shared" si="46"/>
        <v>0</v>
      </c>
      <c r="AZ350" s="9">
        <f t="shared" si="72"/>
        <v>0</v>
      </c>
      <c r="BA350" s="9">
        <f t="shared" si="67"/>
        <v>0</v>
      </c>
      <c r="BB350" s="9">
        <f t="shared" si="73"/>
        <v>1.6694143644435613</v>
      </c>
      <c r="BC350" s="9">
        <f t="shared" si="48"/>
        <v>0</v>
      </c>
      <c r="BE350" s="9">
        <f t="shared" si="49"/>
        <v>76.31608523170566</v>
      </c>
    </row>
    <row r="351" spans="1:57" ht="18" customHeight="1">
      <c r="A351" s="141"/>
      <c r="B351" s="148"/>
      <c r="C351" s="83"/>
      <c r="D351" s="14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9">
        <f t="shared" si="35"/>
        <v>1.632076803542495</v>
      </c>
      <c r="AC351" s="9">
        <f t="shared" si="60"/>
        <v>65</v>
      </c>
      <c r="AD351" s="9">
        <f t="shared" si="37"/>
        <v>37.55857026827808</v>
      </c>
      <c r="AE351" s="9">
        <f t="shared" si="38"/>
        <v>0</v>
      </c>
      <c r="AF351" s="9">
        <f t="shared" si="61"/>
        <v>65</v>
      </c>
      <c r="AG351" s="9">
        <f t="shared" si="51"/>
        <v>1.1344640137963142</v>
      </c>
      <c r="AH351" s="9">
        <f t="shared" si="68"/>
        <v>74.60922530479978</v>
      </c>
      <c r="AI351" s="9">
        <f t="shared" si="40"/>
        <v>1.632076803542495</v>
      </c>
      <c r="AJ351" s="9">
        <f t="shared" si="52"/>
        <v>-2.767923196457505</v>
      </c>
      <c r="AK351" s="9">
        <f t="shared" si="41"/>
        <v>3</v>
      </c>
      <c r="AL351" s="9">
        <f t="shared" si="70"/>
        <v>3.15</v>
      </c>
      <c r="AM351" s="9">
        <f t="shared" si="62"/>
        <v>-1.4353078801475079</v>
      </c>
      <c r="AN351" s="153">
        <f t="shared" si="54"/>
        <v>0</v>
      </c>
      <c r="AO351" s="9">
        <f t="shared" si="71"/>
        <v>5.4675770405881154</v>
      </c>
      <c r="AP351" s="9">
        <f t="shared" si="63"/>
        <v>1.8652306326199943</v>
      </c>
      <c r="AQ351" s="9">
        <f>MAX(0,(Hl-Df)/TAN(AG351)-λ)</f>
        <v>0</v>
      </c>
      <c r="AR351" s="9">
        <f t="shared" si="64"/>
        <v>-1.388525213977765</v>
      </c>
      <c r="AS351" s="9">
        <f t="shared" si="42"/>
        <v>11.725256801960386</v>
      </c>
      <c r="AT351" s="130">
        <f t="shared" si="58"/>
        <v>-7.725256801960386</v>
      </c>
      <c r="AU351" s="9">
        <f t="shared" si="65"/>
        <v>0</v>
      </c>
      <c r="AV351" s="9">
        <f t="shared" si="43"/>
        <v>74.60922530479978</v>
      </c>
      <c r="AW351" s="9">
        <f t="shared" si="66"/>
        <v>0</v>
      </c>
      <c r="AX351" s="9">
        <f t="shared" si="45"/>
        <v>0</v>
      </c>
      <c r="AY351" s="9">
        <f t="shared" si="46"/>
        <v>0</v>
      </c>
      <c r="AZ351" s="9">
        <f t="shared" si="72"/>
        <v>0</v>
      </c>
      <c r="BA351" s="9">
        <f t="shared" si="67"/>
        <v>0</v>
      </c>
      <c r="BB351" s="9">
        <f t="shared" si="73"/>
        <v>1.632076803542495</v>
      </c>
      <c r="BC351" s="9">
        <f t="shared" si="48"/>
        <v>0</v>
      </c>
      <c r="BE351" s="9">
        <f t="shared" si="49"/>
        <v>74.60922530479978</v>
      </c>
    </row>
    <row r="352" spans="1:57" ht="18" customHeight="1">
      <c r="A352" s="141"/>
      <c r="B352" s="50"/>
      <c r="C352" s="33"/>
      <c r="D352" s="5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AB352" s="9">
        <f t="shared" si="35"/>
        <v>1.5950418943640459</v>
      </c>
      <c r="AC352" s="9">
        <f t="shared" si="60"/>
        <v>65.5</v>
      </c>
      <c r="AD352" s="9">
        <f t="shared" si="37"/>
        <v>37.299170893052505</v>
      </c>
      <c r="AE352" s="9">
        <f t="shared" si="38"/>
        <v>0</v>
      </c>
      <c r="AF352" s="9">
        <f t="shared" si="61"/>
        <v>65.5</v>
      </c>
      <c r="AG352" s="9">
        <f t="shared" si="51"/>
        <v>1.143190660056286</v>
      </c>
      <c r="AH352" s="9">
        <f t="shared" si="68"/>
        <v>72.91620088521353</v>
      </c>
      <c r="AI352" s="9">
        <f t="shared" si="40"/>
        <v>1.5950418943640459</v>
      </c>
      <c r="AJ352" s="9">
        <f t="shared" si="52"/>
        <v>-2.8049581056359543</v>
      </c>
      <c r="AK352" s="9">
        <f t="shared" si="41"/>
        <v>3</v>
      </c>
      <c r="AL352" s="9">
        <f t="shared" si="70"/>
        <v>3.15</v>
      </c>
      <c r="AM352" s="9">
        <f t="shared" si="62"/>
        <v>-1.4935055945707851</v>
      </c>
      <c r="AN352" s="153">
        <f t="shared" si="54"/>
        <v>0</v>
      </c>
      <c r="AO352" s="9">
        <f t="shared" si="71"/>
        <v>5.706591963245357</v>
      </c>
      <c r="AP352" s="9">
        <f t="shared" si="63"/>
        <v>1.8229050221303382</v>
      </c>
      <c r="AQ352" s="9">
        <f>MAX(0,(Hl-Df)/TAN(AG352)-λ)</f>
        <v>0</v>
      </c>
      <c r="AR352" s="9">
        <f t="shared" si="64"/>
        <v>-1.4301859090908005</v>
      </c>
      <c r="AS352" s="9">
        <f t="shared" si="42"/>
        <v>12.521973210817857</v>
      </c>
      <c r="AT352" s="130">
        <f t="shared" si="58"/>
        <v>-8.521973210817857</v>
      </c>
      <c r="AU352" s="9">
        <f t="shared" si="65"/>
        <v>0</v>
      </c>
      <c r="AV352" s="9">
        <f>IF(AG352&gt;=ω3,0.5*$AE$280*AP352*γs+AP352*$AE$289,IF(AG352&gt;ω2,0.5*AO352*AS352*γs,0.5*(Hl-Df)^2*(TAN(αl)+1/TAN(AG352))*γs))</f>
        <v>72.91620088521353</v>
      </c>
      <c r="AW352" s="9">
        <f t="shared" si="66"/>
        <v>0</v>
      </c>
      <c r="AX352" s="9">
        <f t="shared" si="45"/>
        <v>0</v>
      </c>
      <c r="AY352" s="9">
        <f t="shared" si="46"/>
        <v>0</v>
      </c>
      <c r="AZ352" s="9">
        <f t="shared" si="72"/>
        <v>0</v>
      </c>
      <c r="BA352" s="9">
        <f t="shared" si="67"/>
        <v>0</v>
      </c>
      <c r="BB352" s="9">
        <f t="shared" si="73"/>
        <v>1.5950418943640459</v>
      </c>
      <c r="BC352" s="9">
        <f t="shared" si="48"/>
        <v>0</v>
      </c>
      <c r="BE352" s="9">
        <f t="shared" si="49"/>
        <v>72.91620088521353</v>
      </c>
    </row>
    <row r="353" spans="1:57" ht="18" customHeight="1">
      <c r="A353" s="141"/>
      <c r="B353" s="50"/>
      <c r="C353" s="33"/>
      <c r="D353" s="5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AB353" s="9">
        <f t="shared" si="35"/>
        <v>1.5583003985798762</v>
      </c>
      <c r="AC353" s="9">
        <f t="shared" si="60"/>
        <v>66</v>
      </c>
      <c r="AD353" s="9">
        <f t="shared" si="37"/>
        <v>37.02048275763211</v>
      </c>
      <c r="AE353" s="9">
        <f t="shared" si="38"/>
        <v>0</v>
      </c>
      <c r="AF353" s="9">
        <f t="shared" si="61"/>
        <v>66</v>
      </c>
      <c r="AG353" s="9">
        <f t="shared" si="51"/>
        <v>1.1519173063162575</v>
      </c>
      <c r="AH353" s="9">
        <f t="shared" si="68"/>
        <v>71.23658964936578</v>
      </c>
      <c r="AI353" s="9">
        <f t="shared" si="40"/>
        <v>1.5583003985798762</v>
      </c>
      <c r="AJ353" s="9">
        <f t="shared" si="52"/>
        <v>-2.8416996014201237</v>
      </c>
      <c r="AK353" s="9">
        <f t="shared" si="41"/>
        <v>3</v>
      </c>
      <c r="AL353" s="9">
        <f t="shared" si="70"/>
        <v>3.15</v>
      </c>
      <c r="AM353" s="9">
        <f t="shared" si="62"/>
        <v>-1.5512422308030516</v>
      </c>
      <c r="AN353" s="153">
        <f t="shared" si="54"/>
        <v>0</v>
      </c>
      <c r="AO353" s="9">
        <f t="shared" si="71"/>
        <v>5.9781298336976345</v>
      </c>
      <c r="AP353" s="9">
        <f t="shared" si="63"/>
        <v>1.7809147412341444</v>
      </c>
      <c r="AQ353" s="9">
        <f aca="true" t="shared" si="75" ref="AQ353:AQ363">MAX(0,(Hl-Df)/TAN(AG353)-λ)</f>
        <v>0</v>
      </c>
      <c r="AR353" s="9">
        <f t="shared" si="64"/>
        <v>-1.4706905745316101</v>
      </c>
      <c r="AS353" s="9">
        <f t="shared" si="42"/>
        <v>13.427099445658781</v>
      </c>
      <c r="AT353" s="130">
        <f t="shared" si="58"/>
        <v>-9.427099445658781</v>
      </c>
      <c r="AU353" s="9">
        <f t="shared" si="65"/>
        <v>0</v>
      </c>
      <c r="AV353" s="9">
        <f t="shared" si="43"/>
        <v>71.23658964936578</v>
      </c>
      <c r="AW353" s="9">
        <f t="shared" si="66"/>
        <v>0</v>
      </c>
      <c r="AX353" s="9">
        <f t="shared" si="45"/>
        <v>0</v>
      </c>
      <c r="AY353" s="9">
        <f t="shared" si="46"/>
        <v>0</v>
      </c>
      <c r="AZ353" s="9">
        <f t="shared" si="72"/>
        <v>0</v>
      </c>
      <c r="BA353" s="9">
        <f t="shared" si="67"/>
        <v>0</v>
      </c>
      <c r="BB353" s="9">
        <f t="shared" si="73"/>
        <v>1.5583003985798762</v>
      </c>
      <c r="BC353" s="9">
        <f t="shared" si="48"/>
        <v>0</v>
      </c>
      <c r="BE353" s="9">
        <f t="shared" si="49"/>
        <v>71.23658964936578</v>
      </c>
    </row>
    <row r="354" spans="1:57" ht="18" customHeight="1">
      <c r="A354" s="141"/>
      <c r="B354" s="50"/>
      <c r="C354" s="33"/>
      <c r="D354" s="5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AB354" s="9">
        <f t="shared" si="35"/>
        <v>1.5218433123632678</v>
      </c>
      <c r="AC354" s="9">
        <f t="shared" si="60"/>
        <v>66.5</v>
      </c>
      <c r="AD354" s="9">
        <f t="shared" si="37"/>
        <v>36.72261722949731</v>
      </c>
      <c r="AE354" s="9">
        <f t="shared" si="38"/>
        <v>0</v>
      </c>
      <c r="AF354" s="9">
        <f t="shared" si="61"/>
        <v>66.5</v>
      </c>
      <c r="AG354" s="9">
        <f t="shared" si="51"/>
        <v>1.160643952576229</v>
      </c>
      <c r="AH354" s="9">
        <f t="shared" si="68"/>
        <v>69.56997999374939</v>
      </c>
      <c r="AI354" s="9">
        <f t="shared" si="40"/>
        <v>1.5218433123632678</v>
      </c>
      <c r="AJ354" s="9">
        <f t="shared" si="52"/>
        <v>-2.878156687636732</v>
      </c>
      <c r="AK354" s="9">
        <f t="shared" si="41"/>
        <v>3</v>
      </c>
      <c r="AL354" s="9">
        <f t="shared" si="70"/>
        <v>3.15</v>
      </c>
      <c r="AM354" s="9">
        <f t="shared" si="62"/>
        <v>-1.6085319377148648</v>
      </c>
      <c r="AN354" s="153">
        <f t="shared" si="54"/>
        <v>0</v>
      </c>
      <c r="AO354" s="9">
        <f t="shared" si="71"/>
        <v>6.289364247306843</v>
      </c>
      <c r="AP354" s="9">
        <f t="shared" si="63"/>
        <v>1.7392494998437347</v>
      </c>
      <c r="AQ354" s="9">
        <f t="shared" si="75"/>
        <v>0</v>
      </c>
      <c r="AR354" s="9">
        <f t="shared" si="64"/>
        <v>-1.5100925882948282</v>
      </c>
      <c r="AS354" s="9">
        <f t="shared" si="42"/>
        <v>14.464547491022811</v>
      </c>
      <c r="AT354" s="130">
        <f t="shared" si="58"/>
        <v>-10.464547491022811</v>
      </c>
      <c r="AU354" s="9">
        <f t="shared" si="65"/>
        <v>0</v>
      </c>
      <c r="AV354" s="9">
        <f t="shared" si="43"/>
        <v>69.56997999374939</v>
      </c>
      <c r="AW354" s="9">
        <f t="shared" si="66"/>
        <v>0</v>
      </c>
      <c r="AX354" s="9">
        <f t="shared" si="45"/>
        <v>0</v>
      </c>
      <c r="AY354" s="9">
        <f t="shared" si="46"/>
        <v>0</v>
      </c>
      <c r="AZ354" s="9">
        <f t="shared" si="72"/>
        <v>0</v>
      </c>
      <c r="BA354" s="9">
        <f t="shared" si="67"/>
        <v>0</v>
      </c>
      <c r="BB354" s="9">
        <f t="shared" si="73"/>
        <v>1.5218433123632678</v>
      </c>
      <c r="BC354" s="9">
        <f t="shared" si="48"/>
        <v>0</v>
      </c>
      <c r="BE354" s="9">
        <f t="shared" si="49"/>
        <v>69.56997999374939</v>
      </c>
    </row>
    <row r="355" spans="1:57" ht="18" customHeight="1">
      <c r="A355" s="141"/>
      <c r="B355" s="50"/>
      <c r="C355" s="33"/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AB355" s="9">
        <f t="shared" si="35"/>
        <v>1.4856618567336173</v>
      </c>
      <c r="AC355" s="9">
        <f t="shared" si="60"/>
        <v>67</v>
      </c>
      <c r="AD355" s="9">
        <f t="shared" si="37"/>
        <v>36.40567133379624</v>
      </c>
      <c r="AE355" s="9">
        <f t="shared" si="38"/>
        <v>0</v>
      </c>
      <c r="AF355" s="9">
        <f t="shared" si="61"/>
        <v>67</v>
      </c>
      <c r="AG355" s="9">
        <f t="shared" si="51"/>
        <v>1.1693705988362006</v>
      </c>
      <c r="AH355" s="9">
        <f t="shared" si="68"/>
        <v>67.91597059353678</v>
      </c>
      <c r="AI355" s="9">
        <f t="shared" si="40"/>
        <v>1.4856618567336173</v>
      </c>
      <c r="AJ355" s="9">
        <f t="shared" si="52"/>
        <v>-2.9143381432663826</v>
      </c>
      <c r="AK355" s="9">
        <f t="shared" si="41"/>
        <v>3</v>
      </c>
      <c r="AL355" s="9">
        <f aca="true" t="shared" si="76" ref="AL355:AL386">AK355+($AH$281+$AH$278)*$AE$282</f>
        <v>3.15</v>
      </c>
      <c r="AM355" s="9">
        <f t="shared" si="62"/>
        <v>-1.6653885108471727</v>
      </c>
      <c r="AN355" s="153">
        <f>IF(AR355&lt;Ho,0,AM355+(1/TAN(AG355)-1/TAN(β))*Ho)</f>
        <v>0</v>
      </c>
      <c r="AO355" s="9">
        <f aca="true" t="shared" si="77" ref="AO355:AO386">AL355-($AH$278+$AH$281)*AT355</f>
        <v>6.649745842684433</v>
      </c>
      <c r="AP355" s="9">
        <f t="shared" si="63"/>
        <v>1.6978992648384197</v>
      </c>
      <c r="AQ355" s="9">
        <f t="shared" si="75"/>
        <v>0</v>
      </c>
      <c r="AR355" s="9">
        <f t="shared" si="64"/>
        <v>-1.5484421340818493</v>
      </c>
      <c r="AS355" s="9">
        <f t="shared" si="42"/>
        <v>15.665819475614777</v>
      </c>
      <c r="AT355" s="130">
        <f t="shared" si="58"/>
        <v>-11.665819475614777</v>
      </c>
      <c r="AU355" s="9">
        <f t="shared" si="65"/>
        <v>0</v>
      </c>
      <c r="AV355" s="9">
        <f t="shared" si="43"/>
        <v>67.91597059353678</v>
      </c>
      <c r="AW355" s="9">
        <f t="shared" si="66"/>
        <v>0</v>
      </c>
      <c r="AX355" s="9">
        <f t="shared" si="45"/>
        <v>0</v>
      </c>
      <c r="AY355" s="9">
        <f t="shared" si="46"/>
        <v>0</v>
      </c>
      <c r="AZ355" s="9">
        <f aca="true" t="shared" si="78" ref="AZ355:AZ386">IF(AG355&lt;=ω1,0,IF(AG355&gt;=ω2,0,IF(3*d&lt;=AQ355,$AL$284,0.5*($AL$279+AY355)*AQ355)))</f>
        <v>0</v>
      </c>
      <c r="BA355" s="9">
        <f t="shared" si="67"/>
        <v>0</v>
      </c>
      <c r="BB355" s="9">
        <f aca="true" t="shared" si="79" ref="BB355:BB386">AB355</f>
        <v>1.4856618567336173</v>
      </c>
      <c r="BC355" s="9">
        <f t="shared" si="48"/>
        <v>0</v>
      </c>
      <c r="BE355" s="9">
        <f t="shared" si="49"/>
        <v>67.91597059353678</v>
      </c>
    </row>
    <row r="356" spans="1:57" ht="18" customHeight="1">
      <c r="A356" s="141"/>
      <c r="B356" s="50"/>
      <c r="C356" s="33"/>
      <c r="D356" s="5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9">
        <f aca="true" t="shared" si="80" ref="AB356:AB400">($AE$280-$AE$282)/TAN(AG356)</f>
        <v>1.4497474683058327</v>
      </c>
      <c r="AC356" s="9">
        <f t="shared" si="60"/>
        <v>67.5</v>
      </c>
      <c r="AD356" s="9">
        <f aca="true" t="shared" si="81" ref="AD356:AD368">MAX(0,SIN(AG356-φ+AE356)/COS(AG356-φ-δu-αl)/COS(AE356)*(AH356))</f>
        <v>36.0697279896439</v>
      </c>
      <c r="AE356" s="9">
        <f aca="true" t="shared" si="82" ref="AE356:AE400">ATAN(BA356/AH356)</f>
        <v>0</v>
      </c>
      <c r="AF356" s="9">
        <f t="shared" si="61"/>
        <v>67.5</v>
      </c>
      <c r="AG356" s="9">
        <f t="shared" si="51"/>
        <v>1.1780972450961724</v>
      </c>
      <c r="AH356" s="9">
        <f t="shared" si="68"/>
        <v>66.27416997969522</v>
      </c>
      <c r="AI356" s="9">
        <f aca="true" t="shared" si="83" ref="AI356:AI362">($AE$280-$AE$282)/TAN(AG356)</f>
        <v>1.4497474683058327</v>
      </c>
      <c r="AJ356" s="9">
        <f t="shared" si="52"/>
        <v>-2.9502525316941672</v>
      </c>
      <c r="AK356" s="9">
        <f t="shared" si="41"/>
        <v>3</v>
      </c>
      <c r="AL356" s="9">
        <f t="shared" si="76"/>
        <v>3.15</v>
      </c>
      <c r="AM356" s="9">
        <f t="shared" si="62"/>
        <v>-1.721825406947977</v>
      </c>
      <c r="AN356" s="153">
        <f t="shared" si="54"/>
        <v>0</v>
      </c>
      <c r="AO356" s="9">
        <f t="shared" si="77"/>
        <v>7.071983658026642</v>
      </c>
      <c r="AP356" s="9">
        <f t="shared" si="63"/>
        <v>1.6568542494923804</v>
      </c>
      <c r="AQ356" s="9">
        <f t="shared" si="75"/>
        <v>0</v>
      </c>
      <c r="AR356" s="9">
        <f t="shared" si="64"/>
        <v>-1.5857864376269042</v>
      </c>
      <c r="AS356" s="9">
        <f aca="true" t="shared" si="84" ref="AS356:AS366">SIN(θu-ω2)*SIN(AG356)/COS(ω2)/SIN(θu-AG356)*λ</f>
        <v>17.07327886008881</v>
      </c>
      <c r="AT356" s="130">
        <f t="shared" si="58"/>
        <v>-13.07327886008881</v>
      </c>
      <c r="AU356" s="9">
        <f t="shared" si="65"/>
        <v>0</v>
      </c>
      <c r="AV356" s="9">
        <f aca="true" t="shared" si="85" ref="AV356:AV370">IF(AG356&gt;=ω3,0.5*$AE$280*AP356*γs+AP356*$AE$289,IF(AG356&gt;ω2,0.5*AO356*AS356*γs,0.5*(Hl-Df)^2*(TAN(αl)+1/TAN(AG356))*γs))</f>
        <v>66.27416997969522</v>
      </c>
      <c r="AW356" s="9">
        <f t="shared" si="66"/>
        <v>0</v>
      </c>
      <c r="AX356" s="9">
        <f>IF(AG356&gt;=ω1,0,IF(AR356&lt;Ho,0.5*AM356*AR356*γs,0.5*(AM356+AN356)*Ho*γs+AN356*$AE$288))</f>
        <v>0</v>
      </c>
      <c r="AY356" s="9">
        <f aca="true" t="shared" si="86" ref="AY356:AY400">IF(AQ356&lt;=0,0,IF(AG356&gt;=ω3,0,IF(AG356&lt;=ω1,0,IF(AG356&gt;ω2,0,IF(3*d&lt;=AQ356,0,IF(AQ356&lt;(3*d-2*B),0,IF(d&lt;=B/3,qf/3/d*(3*d-AQ356),IF(d&gt;2/3*B,qb/(3*(B-d))*(AQ356-(3*d-2*B)),qf-(qf-qb)/B*AQ356))))))))</f>
        <v>0</v>
      </c>
      <c r="AZ356" s="9">
        <f t="shared" si="78"/>
        <v>0</v>
      </c>
      <c r="BA356" s="9">
        <f t="shared" si="67"/>
        <v>0</v>
      </c>
      <c r="BB356" s="9">
        <f t="shared" si="79"/>
        <v>1.4497474683058327</v>
      </c>
      <c r="BC356" s="9">
        <f aca="true" t="shared" si="87" ref="BC356:BC400">IF(AG356&lt;=ω1,$C$159,0)</f>
        <v>0</v>
      </c>
      <c r="BE356" s="9">
        <f aca="true" t="shared" si="88" ref="BE356:BE400">AU356+AV356</f>
        <v>66.27416997969522</v>
      </c>
    </row>
    <row r="357" spans="1:57" ht="18" customHeight="1">
      <c r="A357" s="141"/>
      <c r="B357" s="50"/>
      <c r="C357" s="33"/>
      <c r="D357" s="50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9">
        <f t="shared" si="80"/>
        <v>1.4140917904230486</v>
      </c>
      <c r="AC357" s="9">
        <f t="shared" si="60"/>
        <v>68</v>
      </c>
      <c r="AD357" s="9">
        <f t="shared" si="81"/>
        <v>35.71485622277337</v>
      </c>
      <c r="AE357" s="9">
        <f t="shared" si="82"/>
        <v>0</v>
      </c>
      <c r="AF357" s="9">
        <f t="shared" si="61"/>
        <v>68</v>
      </c>
      <c r="AG357" s="9">
        <f t="shared" si="51"/>
        <v>1.1868238913561442</v>
      </c>
      <c r="AH357" s="9">
        <f t="shared" si="68"/>
        <v>64.64419613362507</v>
      </c>
      <c r="AI357" s="9">
        <f t="shared" si="83"/>
        <v>1.4140917904230486</v>
      </c>
      <c r="AJ357" s="9">
        <f t="shared" si="52"/>
        <v>-2.9859082095769516</v>
      </c>
      <c r="AK357" s="9">
        <f t="shared" si="41"/>
        <v>3</v>
      </c>
      <c r="AL357" s="9">
        <f t="shared" si="76"/>
        <v>3.15</v>
      </c>
      <c r="AM357" s="9">
        <f t="shared" si="62"/>
        <v>-1.777855757906638</v>
      </c>
      <c r="AN357" s="153">
        <f aca="true" t="shared" si="89" ref="AN357:AN368">IF(AR357&lt;Ho,0,AM357+(1/TAN(AG357)-1/TAN(β))*Ho)</f>
        <v>0</v>
      </c>
      <c r="AO357" s="9">
        <f t="shared" si="77"/>
        <v>7.573581892964274</v>
      </c>
      <c r="AP357" s="9">
        <f t="shared" si="63"/>
        <v>1.616104903340627</v>
      </c>
      <c r="AQ357" s="9">
        <f t="shared" si="75"/>
        <v>0</v>
      </c>
      <c r="AR357" s="9">
        <f t="shared" si="64"/>
        <v>-1.622169982362401</v>
      </c>
      <c r="AS357" s="9">
        <f t="shared" si="84"/>
        <v>18.745272976547582</v>
      </c>
      <c r="AT357" s="130">
        <f t="shared" si="58"/>
        <v>-14.745272976547582</v>
      </c>
      <c r="AU357" s="9">
        <f t="shared" si="65"/>
        <v>0</v>
      </c>
      <c r="AV357" s="9">
        <f t="shared" si="85"/>
        <v>64.64419613362507</v>
      </c>
      <c r="AW357" s="9">
        <f t="shared" si="66"/>
        <v>0</v>
      </c>
      <c r="AX357" s="9">
        <f>IF(AG357&gt;=ω1,0,IF(AR357&lt;Ho,0.5*AM357*AR357*γs,0.5*(AM357+AN357)*Ho*γs+AN357*$AE$288))</f>
        <v>0</v>
      </c>
      <c r="AY357" s="9">
        <f t="shared" si="86"/>
        <v>0</v>
      </c>
      <c r="AZ357" s="9">
        <f t="shared" si="78"/>
        <v>0</v>
      </c>
      <c r="BA357" s="9">
        <f t="shared" si="67"/>
        <v>0</v>
      </c>
      <c r="BB357" s="9">
        <f t="shared" si="79"/>
        <v>1.4140917904230486</v>
      </c>
      <c r="BC357" s="9">
        <f t="shared" si="87"/>
        <v>0</v>
      </c>
      <c r="BE357" s="9">
        <f t="shared" si="88"/>
        <v>64.64419613362507</v>
      </c>
    </row>
    <row r="358" spans="1:57" ht="18" customHeight="1">
      <c r="A358" s="141"/>
      <c r="B358" s="50"/>
      <c r="C358" s="33"/>
      <c r="D358" s="50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9">
        <f t="shared" si="80"/>
        <v>1.3786866646522984</v>
      </c>
      <c r="AC358" s="9">
        <f t="shared" si="60"/>
        <v>68.5</v>
      </c>
      <c r="AD358" s="9">
        <f t="shared" si="81"/>
        <v>35.341111355220406</v>
      </c>
      <c r="AE358" s="9">
        <f t="shared" si="82"/>
        <v>0</v>
      </c>
      <c r="AF358" s="9">
        <f t="shared" si="61"/>
        <v>68.5</v>
      </c>
      <c r="AG358" s="9">
        <f t="shared" si="51"/>
        <v>1.1955505376161157</v>
      </c>
      <c r="AH358" s="9">
        <f t="shared" si="68"/>
        <v>63.02567609839079</v>
      </c>
      <c r="AI358" s="9">
        <f t="shared" si="83"/>
        <v>1.3786866646522984</v>
      </c>
      <c r="AJ358" s="9">
        <f t="shared" si="52"/>
        <v>-3.0213133353477017</v>
      </c>
      <c r="AK358" s="9">
        <f t="shared" si="41"/>
        <v>3</v>
      </c>
      <c r="AL358" s="9">
        <f t="shared" si="76"/>
        <v>3.15</v>
      </c>
      <c r="AM358" s="9">
        <f t="shared" si="62"/>
        <v>-1.8334923841178168</v>
      </c>
      <c r="AN358" s="153">
        <f t="shared" si="89"/>
        <v>0</v>
      </c>
      <c r="AO358" s="9">
        <f t="shared" si="77"/>
        <v>8.179336995359849</v>
      </c>
      <c r="AP358" s="9">
        <f t="shared" si="63"/>
        <v>1.5756419024597696</v>
      </c>
      <c r="AQ358" s="9">
        <f t="shared" si="75"/>
        <v>0</v>
      </c>
      <c r="AR358" s="9">
        <f t="shared" si="64"/>
        <v>-1.6576347065009647</v>
      </c>
      <c r="AS358" s="9">
        <f t="shared" si="84"/>
        <v>20.764456651199495</v>
      </c>
      <c r="AT358" s="130">
        <f t="shared" si="58"/>
        <v>-16.764456651199495</v>
      </c>
      <c r="AU358" s="9">
        <f t="shared" si="65"/>
        <v>0</v>
      </c>
      <c r="AV358" s="9">
        <f t="shared" si="85"/>
        <v>63.02567609839079</v>
      </c>
      <c r="AW358" s="9">
        <f t="shared" si="66"/>
        <v>0</v>
      </c>
      <c r="AX358" s="9">
        <f>IF(AG358&gt;=ω1,0,IF(AR358&lt;Ho,0.5*AM358*AR358*γs,0.5*(AM358+AN358)*Ho*γs+AN358*$AE$288))</f>
        <v>0</v>
      </c>
      <c r="AY358" s="9">
        <f t="shared" si="86"/>
        <v>0</v>
      </c>
      <c r="AZ358" s="9">
        <f t="shared" si="78"/>
        <v>0</v>
      </c>
      <c r="BA358" s="9">
        <f t="shared" si="67"/>
        <v>0</v>
      </c>
      <c r="BB358" s="9">
        <f t="shared" si="79"/>
        <v>1.3786866646522984</v>
      </c>
      <c r="BC358" s="9">
        <f t="shared" si="87"/>
        <v>0</v>
      </c>
      <c r="BE358" s="9">
        <f t="shared" si="88"/>
        <v>63.02567609839079</v>
      </c>
    </row>
    <row r="359" spans="1:57" ht="18" customHeight="1">
      <c r="A359" s="141"/>
      <c r="B359" s="50"/>
      <c r="C359" s="33"/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9">
        <f t="shared" si="80"/>
        <v>1.3435241226239558</v>
      </c>
      <c r="AC359" s="9">
        <f t="shared" si="60"/>
        <v>69</v>
      </c>
      <c r="AD359" s="9">
        <f t="shared" si="81"/>
        <v>34.94853517265374</v>
      </c>
      <c r="AE359" s="9">
        <f t="shared" si="82"/>
        <v>0</v>
      </c>
      <c r="AF359" s="9">
        <f t="shared" si="61"/>
        <v>69</v>
      </c>
      <c r="AG359" s="9">
        <f t="shared" si="51"/>
        <v>1.2042771838760873</v>
      </c>
      <c r="AH359" s="9">
        <f t="shared" si="68"/>
        <v>61.41824560566655</v>
      </c>
      <c r="AI359" s="9">
        <f t="shared" si="83"/>
        <v>1.3435241226239558</v>
      </c>
      <c r="AJ359" s="9">
        <f t="shared" si="52"/>
        <v>-3.056475877376044</v>
      </c>
      <c r="AK359" s="9">
        <f t="shared" si="41"/>
        <v>3</v>
      </c>
      <c r="AL359" s="9">
        <f t="shared" si="76"/>
        <v>3.15</v>
      </c>
      <c r="AM359" s="9">
        <f t="shared" si="62"/>
        <v>-1.8887478073052122</v>
      </c>
      <c r="AN359" s="153">
        <f t="shared" si="89"/>
        <v>0</v>
      </c>
      <c r="AO359" s="9">
        <f t="shared" si="77"/>
        <v>8.925576595532915</v>
      </c>
      <c r="AP359" s="9">
        <f t="shared" si="63"/>
        <v>1.5354561401416638</v>
      </c>
      <c r="AQ359" s="9">
        <f t="shared" si="75"/>
        <v>0</v>
      </c>
      <c r="AR359" s="9">
        <f t="shared" si="64"/>
        <v>-1.6922201833762638</v>
      </c>
      <c r="AS359" s="9">
        <f t="shared" si="84"/>
        <v>23.251921985109718</v>
      </c>
      <c r="AT359" s="130">
        <f t="shared" si="58"/>
        <v>-19.251921985109718</v>
      </c>
      <c r="AU359" s="9">
        <f t="shared" si="65"/>
        <v>0</v>
      </c>
      <c r="AV359" s="9">
        <f t="shared" si="85"/>
        <v>61.41824560566655</v>
      </c>
      <c r="AW359" s="9">
        <f t="shared" si="66"/>
        <v>0</v>
      </c>
      <c r="AX359" s="9">
        <f>IF(AG359&gt;=ω1,0,IF(AR359&lt;Ho,0.5*AM359*AR359*γs,0.5*(AM359+AN359)*Ho*γs+AN359*$AE$288))</f>
        <v>0</v>
      </c>
      <c r="AY359" s="9">
        <f t="shared" si="86"/>
        <v>0</v>
      </c>
      <c r="AZ359" s="9">
        <f t="shared" si="78"/>
        <v>0</v>
      </c>
      <c r="BA359" s="9">
        <f t="shared" si="67"/>
        <v>0</v>
      </c>
      <c r="BB359" s="9">
        <f t="shared" si="79"/>
        <v>1.3435241226239558</v>
      </c>
      <c r="BC359" s="9">
        <f t="shared" si="87"/>
        <v>0</v>
      </c>
      <c r="BE359" s="9">
        <f t="shared" si="88"/>
        <v>61.41824560566655</v>
      </c>
    </row>
    <row r="360" spans="1:57" ht="18" customHeight="1">
      <c r="A360" s="141"/>
      <c r="B360" s="50"/>
      <c r="C360" s="33"/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9">
        <f t="shared" si="80"/>
        <v>1.3085963781968164</v>
      </c>
      <c r="AC360" s="9">
        <f t="shared" si="60"/>
        <v>69.5</v>
      </c>
      <c r="AD360" s="9">
        <f t="shared" si="81"/>
        <v>34.537156069897634</v>
      </c>
      <c r="AE360" s="9">
        <f t="shared" si="82"/>
        <v>0</v>
      </c>
      <c r="AF360" s="9">
        <f t="shared" si="61"/>
        <v>69.5</v>
      </c>
      <c r="AG360" s="9">
        <f t="shared" si="51"/>
        <v>1.213003830136059</v>
      </c>
      <c r="AH360" s="9">
        <f t="shared" si="68"/>
        <v>59.821548717568746</v>
      </c>
      <c r="AI360" s="9">
        <f t="shared" si="83"/>
        <v>1.3085963781968164</v>
      </c>
      <c r="AJ360" s="9">
        <f t="shared" si="52"/>
        <v>-3.0914036218031837</v>
      </c>
      <c r="AK360" s="9">
        <f t="shared" si="41"/>
        <v>3</v>
      </c>
      <c r="AL360" s="9">
        <f t="shared" si="76"/>
        <v>3.15</v>
      </c>
      <c r="AM360" s="9">
        <f t="shared" si="62"/>
        <v>-1.9436342628335743</v>
      </c>
      <c r="AN360" s="153">
        <f t="shared" si="89"/>
        <v>0</v>
      </c>
      <c r="AO360" s="9">
        <f t="shared" si="77"/>
        <v>9.86774430205537</v>
      </c>
      <c r="AP360" s="9">
        <f t="shared" si="63"/>
        <v>1.4955387179392186</v>
      </c>
      <c r="AQ360" s="9">
        <f t="shared" si="75"/>
        <v>0</v>
      </c>
      <c r="AR360" s="9">
        <f t="shared" si="64"/>
        <v>-1.725963786678939</v>
      </c>
      <c r="AS360" s="9">
        <f t="shared" si="84"/>
        <v>26.392481006851234</v>
      </c>
      <c r="AT360" s="130">
        <f t="shared" si="58"/>
        <v>-22.392481006851234</v>
      </c>
      <c r="AU360" s="9">
        <f t="shared" si="65"/>
        <v>0</v>
      </c>
      <c r="AV360" s="9">
        <f t="shared" si="85"/>
        <v>59.821548717568746</v>
      </c>
      <c r="AW360" s="9">
        <f t="shared" si="66"/>
        <v>0</v>
      </c>
      <c r="AX360" s="9">
        <f aca="true" t="shared" si="90" ref="AX360:AX373">IF(AG360&gt;=ω1,0,IF(AR360&lt;Ho,0.5*AM360*AR360*γs,0.5*(AM360+AN360)*Ho*γs+AN360*$AE$288))</f>
        <v>0</v>
      </c>
      <c r="AY360" s="9">
        <f t="shared" si="86"/>
        <v>0</v>
      </c>
      <c r="AZ360" s="9">
        <f t="shared" si="78"/>
        <v>0</v>
      </c>
      <c r="BA360" s="9">
        <f t="shared" si="67"/>
        <v>0</v>
      </c>
      <c r="BB360" s="9">
        <f t="shared" si="79"/>
        <v>1.3085963781968164</v>
      </c>
      <c r="BC360" s="9">
        <f t="shared" si="87"/>
        <v>0</v>
      </c>
      <c r="BE360" s="9">
        <f t="shared" si="88"/>
        <v>59.821548717568746</v>
      </c>
    </row>
    <row r="361" spans="1:57" ht="18" customHeight="1">
      <c r="A361" s="141"/>
      <c r="B361" s="50"/>
      <c r="C361" s="33"/>
      <c r="D361" s="5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9">
        <f t="shared" si="80"/>
        <v>1.2738958199317085</v>
      </c>
      <c r="AC361" s="9">
        <f t="shared" si="60"/>
        <v>70</v>
      </c>
      <c r="AD361" s="9">
        <f t="shared" si="81"/>
        <v>34.10698917512945</v>
      </c>
      <c r="AE361" s="9">
        <f t="shared" si="82"/>
        <v>0</v>
      </c>
      <c r="AF361" s="9">
        <f t="shared" si="61"/>
        <v>70</v>
      </c>
      <c r="AG361" s="9">
        <f t="shared" si="51"/>
        <v>1.2217304763960306</v>
      </c>
      <c r="AH361" s="9">
        <f t="shared" si="68"/>
        <v>58.235237482592396</v>
      </c>
      <c r="AI361" s="9">
        <f t="shared" si="83"/>
        <v>1.2738958199317085</v>
      </c>
      <c r="AJ361" s="9">
        <f t="shared" si="52"/>
        <v>-3.1261041800682916</v>
      </c>
      <c r="AK361" s="9">
        <f t="shared" si="41"/>
        <v>3</v>
      </c>
      <c r="AL361" s="9">
        <f t="shared" si="76"/>
        <v>3.15</v>
      </c>
      <c r="AM361" s="9">
        <f t="shared" si="62"/>
        <v>-1.9981637115358866</v>
      </c>
      <c r="AN361" s="153">
        <f t="shared" si="89"/>
        <v>0</v>
      </c>
      <c r="AO361" s="9">
        <f t="shared" si="77"/>
        <v>11.09487818765225</v>
      </c>
      <c r="AP361" s="9">
        <f t="shared" si="63"/>
        <v>1.4558809370648098</v>
      </c>
      <c r="AQ361" s="9">
        <f t="shared" si="75"/>
        <v>0</v>
      </c>
      <c r="AR361" s="9">
        <f t="shared" si="64"/>
        <v>-1.7589008420437022</v>
      </c>
      <c r="AS361" s="9">
        <f t="shared" si="84"/>
        <v>30.482927292174168</v>
      </c>
      <c r="AT361" s="130">
        <f t="shared" si="58"/>
        <v>-26.482927292174168</v>
      </c>
      <c r="AU361" s="9">
        <f t="shared" si="65"/>
        <v>0</v>
      </c>
      <c r="AV361" s="9">
        <f t="shared" si="85"/>
        <v>58.235237482592396</v>
      </c>
      <c r="AW361" s="9">
        <f t="shared" si="66"/>
        <v>0</v>
      </c>
      <c r="AX361" s="9">
        <f t="shared" si="90"/>
        <v>0</v>
      </c>
      <c r="AY361" s="9">
        <f t="shared" si="86"/>
        <v>0</v>
      </c>
      <c r="AZ361" s="9">
        <f t="shared" si="78"/>
        <v>0</v>
      </c>
      <c r="BA361" s="9">
        <f t="shared" si="67"/>
        <v>0</v>
      </c>
      <c r="BB361" s="9">
        <f t="shared" si="79"/>
        <v>1.2738958199317085</v>
      </c>
      <c r="BC361" s="9">
        <f t="shared" si="87"/>
        <v>0</v>
      </c>
      <c r="BE361" s="9">
        <f t="shared" si="88"/>
        <v>58.235237482592396</v>
      </c>
    </row>
    <row r="362" spans="1:57" ht="18" customHeight="1">
      <c r="A362" s="141"/>
      <c r="B362" s="50"/>
      <c r="C362" s="33"/>
      <c r="D362" s="5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9">
        <f t="shared" si="80"/>
        <v>1.239415003857444</v>
      </c>
      <c r="AC362" s="9">
        <f t="shared" si="60"/>
        <v>70.5</v>
      </c>
      <c r="AD362" s="9">
        <f t="shared" si="81"/>
        <v>33.658036453173644</v>
      </c>
      <c r="AE362" s="9">
        <f t="shared" si="82"/>
        <v>0</v>
      </c>
      <c r="AF362" s="9">
        <f t="shared" si="61"/>
        <v>70.5</v>
      </c>
      <c r="AG362" s="9">
        <f t="shared" si="51"/>
        <v>1.2304571226560022</v>
      </c>
      <c r="AH362" s="9">
        <f t="shared" si="68"/>
        <v>56.65897160491173</v>
      </c>
      <c r="AI362" s="9">
        <f t="shared" si="83"/>
        <v>1.239415003857444</v>
      </c>
      <c r="AJ362" s="9">
        <f t="shared" si="52"/>
        <v>-3.160584996142556</v>
      </c>
      <c r="AK362" s="9">
        <f t="shared" si="41"/>
        <v>3</v>
      </c>
      <c r="AL362" s="9">
        <f t="shared" si="76"/>
        <v>3.15</v>
      </c>
      <c r="AM362" s="9">
        <f t="shared" si="62"/>
        <v>-2.0523478510811595</v>
      </c>
      <c r="AN362" s="153">
        <f t="shared" si="89"/>
        <v>0</v>
      </c>
      <c r="AO362" s="9">
        <f t="shared" si="77"/>
        <v>12.759597752567542</v>
      </c>
      <c r="AP362" s="9">
        <f t="shared" si="63"/>
        <v>1.4164742901227931</v>
      </c>
      <c r="AQ362" s="9">
        <f t="shared" si="75"/>
        <v>0</v>
      </c>
      <c r="AR362" s="9">
        <f t="shared" si="64"/>
        <v>-1.791064766285464</v>
      </c>
      <c r="AS362" s="9">
        <f t="shared" si="84"/>
        <v>36.031992508558474</v>
      </c>
      <c r="AT362" s="130">
        <f t="shared" si="58"/>
        <v>-32.031992508558474</v>
      </c>
      <c r="AU362" s="9">
        <f t="shared" si="65"/>
        <v>0</v>
      </c>
      <c r="AV362" s="9">
        <f t="shared" si="85"/>
        <v>56.65897160491173</v>
      </c>
      <c r="AW362" s="9">
        <f t="shared" si="66"/>
        <v>0</v>
      </c>
      <c r="AX362" s="9">
        <f t="shared" si="90"/>
        <v>0</v>
      </c>
      <c r="AY362" s="9">
        <f t="shared" si="86"/>
        <v>0</v>
      </c>
      <c r="AZ362" s="9">
        <f t="shared" si="78"/>
        <v>0</v>
      </c>
      <c r="BA362" s="9">
        <f t="shared" si="67"/>
        <v>0</v>
      </c>
      <c r="BB362" s="9">
        <f t="shared" si="79"/>
        <v>1.239415003857444</v>
      </c>
      <c r="BC362" s="9">
        <f t="shared" si="87"/>
        <v>0</v>
      </c>
      <c r="BE362" s="9">
        <f t="shared" si="88"/>
        <v>56.65897160491173</v>
      </c>
    </row>
    <row r="363" spans="1:57" ht="18" customHeight="1">
      <c r="A363" s="141"/>
      <c r="B363" s="50"/>
      <c r="C363" s="33"/>
      <c r="D363" s="5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9">
        <f t="shared" si="80"/>
        <v>1.2051466465138285</v>
      </c>
      <c r="AC363" s="9">
        <f t="shared" si="60"/>
        <v>71</v>
      </c>
      <c r="AD363" s="9">
        <f t="shared" si="81"/>
        <v>33.1902867882551</v>
      </c>
      <c r="AE363" s="9">
        <f t="shared" si="82"/>
        <v>0</v>
      </c>
      <c r="AF363" s="9">
        <f t="shared" si="61"/>
        <v>71</v>
      </c>
      <c r="AG363" s="9">
        <f t="shared" si="51"/>
        <v>1.239183768915974</v>
      </c>
      <c r="AH363" s="9">
        <f t="shared" si="68"/>
        <v>55.09241812634645</v>
      </c>
      <c r="AI363" s="9">
        <f>($AE$280-$AE$282)/TAN(AG363)</f>
        <v>1.2051466465138285</v>
      </c>
      <c r="AJ363" s="9">
        <f t="shared" si="52"/>
        <v>-3.194853353486171</v>
      </c>
      <c r="AK363" s="9">
        <f t="shared" si="41"/>
        <v>3</v>
      </c>
      <c r="AL363" s="9">
        <f t="shared" si="76"/>
        <v>3.15</v>
      </c>
      <c r="AM363" s="9">
        <f t="shared" si="62"/>
        <v>-2.1061981269068406</v>
      </c>
      <c r="AN363" s="153">
        <f t="shared" si="89"/>
        <v>0</v>
      </c>
      <c r="AO363" s="9">
        <f t="shared" si="77"/>
        <v>15.147191470184296</v>
      </c>
      <c r="AP363" s="9">
        <f t="shared" si="63"/>
        <v>1.3773104531586613</v>
      </c>
      <c r="AQ363" s="9">
        <f t="shared" si="75"/>
        <v>0</v>
      </c>
      <c r="AR363" s="9">
        <f t="shared" si="64"/>
        <v>-1.8224871954431765</v>
      </c>
      <c r="AS363" s="9">
        <f t="shared" si="84"/>
        <v>43.99063823394766</v>
      </c>
      <c r="AT363" s="130">
        <f t="shared" si="58"/>
        <v>-39.99063823394766</v>
      </c>
      <c r="AU363" s="9">
        <f t="shared" si="65"/>
        <v>0</v>
      </c>
      <c r="AV363" s="9">
        <f t="shared" si="85"/>
        <v>55.09241812634645</v>
      </c>
      <c r="AW363" s="9">
        <f t="shared" si="66"/>
        <v>0</v>
      </c>
      <c r="AX363" s="9">
        <f t="shared" si="90"/>
        <v>0</v>
      </c>
      <c r="AY363" s="9">
        <f t="shared" si="86"/>
        <v>0</v>
      </c>
      <c r="AZ363" s="9">
        <f t="shared" si="78"/>
        <v>0</v>
      </c>
      <c r="BA363" s="9">
        <f t="shared" si="67"/>
        <v>0</v>
      </c>
      <c r="BB363" s="9">
        <f t="shared" si="79"/>
        <v>1.2051466465138285</v>
      </c>
      <c r="BC363" s="9">
        <f t="shared" si="87"/>
        <v>0</v>
      </c>
      <c r="BE363" s="9">
        <f t="shared" si="88"/>
        <v>55.09241812634645</v>
      </c>
    </row>
    <row r="364" spans="1:57" ht="18" customHeight="1">
      <c r="A364" s="141"/>
      <c r="B364" s="50"/>
      <c r="C364" s="33"/>
      <c r="D364" s="5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9">
        <f t="shared" si="80"/>
        <v>1.171083618257256</v>
      </c>
      <c r="AC364" s="9">
        <f t="shared" si="60"/>
        <v>71.5</v>
      </c>
      <c r="AD364" s="9">
        <f t="shared" si="81"/>
        <v>32.703716046516384</v>
      </c>
      <c r="AE364" s="9">
        <f t="shared" si="82"/>
        <v>0</v>
      </c>
      <c r="AF364" s="9">
        <f t="shared" si="61"/>
        <v>71.5</v>
      </c>
      <c r="AG364" s="9">
        <f t="shared" si="51"/>
        <v>1.2479104151759457</v>
      </c>
      <c r="AH364" s="9">
        <f t="shared" si="68"/>
        <v>53.535251120331694</v>
      </c>
      <c r="AI364" s="9">
        <f aca="true" t="shared" si="91" ref="AI364:AI384">($AE$280-$AE$282)/TAN(AG364)</f>
        <v>1.171083618257256</v>
      </c>
      <c r="AJ364" s="9">
        <f t="shared" si="52"/>
        <v>-3.228916381742744</v>
      </c>
      <c r="AK364" s="9">
        <f t="shared" si="41"/>
        <v>3</v>
      </c>
      <c r="AL364" s="9">
        <f t="shared" si="76"/>
        <v>3.15</v>
      </c>
      <c r="AM364" s="9">
        <f t="shared" si="62"/>
        <v>-2.1597257427385976</v>
      </c>
      <c r="AN364" s="153">
        <f t="shared" si="89"/>
        <v>0</v>
      </c>
      <c r="AO364" s="9">
        <f t="shared" si="77"/>
        <v>18.859801915977194</v>
      </c>
      <c r="AP364" s="9">
        <f t="shared" si="63"/>
        <v>1.3383812780082924</v>
      </c>
      <c r="AQ364" s="9">
        <f>MAX(0,(Hl-Df)/TAN(AG364)-λ)</f>
        <v>0</v>
      </c>
      <c r="AR364" s="9">
        <f t="shared" si="64"/>
        <v>-1.853198102667513</v>
      </c>
      <c r="AS364" s="9">
        <f t="shared" si="84"/>
        <v>56.366006386590655</v>
      </c>
      <c r="AT364" s="130">
        <f t="shared" si="58"/>
        <v>-52.366006386590655</v>
      </c>
      <c r="AU364" s="9">
        <f t="shared" si="65"/>
        <v>0</v>
      </c>
      <c r="AV364" s="9">
        <f t="shared" si="85"/>
        <v>53.535251120331694</v>
      </c>
      <c r="AW364" s="9">
        <f t="shared" si="66"/>
        <v>0</v>
      </c>
      <c r="AX364" s="9">
        <f t="shared" si="90"/>
        <v>0</v>
      </c>
      <c r="AY364" s="9">
        <f t="shared" si="86"/>
        <v>0</v>
      </c>
      <c r="AZ364" s="9">
        <f t="shared" si="78"/>
        <v>0</v>
      </c>
      <c r="BA364" s="9">
        <f t="shared" si="67"/>
        <v>0</v>
      </c>
      <c r="BB364" s="9">
        <f t="shared" si="79"/>
        <v>1.171083618257256</v>
      </c>
      <c r="BC364" s="9">
        <f t="shared" si="87"/>
        <v>0</v>
      </c>
      <c r="BE364" s="9">
        <f t="shared" si="88"/>
        <v>53.535251120331694</v>
      </c>
    </row>
    <row r="365" spans="1:57" ht="18" customHeight="1">
      <c r="A365" s="141"/>
      <c r="B365" s="50"/>
      <c r="C365" s="33"/>
      <c r="D365" s="5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9">
        <f t="shared" si="80"/>
        <v>1.1372189368151724</v>
      </c>
      <c r="AC365" s="9">
        <f aca="true" t="shared" si="92" ref="AC365:AC400">AF365</f>
        <v>72</v>
      </c>
      <c r="AD365" s="9">
        <f t="shared" si="81"/>
        <v>32.198287118547995</v>
      </c>
      <c r="AE365" s="9">
        <f t="shared" si="82"/>
        <v>0</v>
      </c>
      <c r="AF365" s="9">
        <f aca="true" t="shared" si="93" ref="AF365:AF400">AF364+0.5</f>
        <v>72</v>
      </c>
      <c r="AG365" s="9">
        <f t="shared" si="51"/>
        <v>1.2566370614359172</v>
      </c>
      <c r="AH365" s="9">
        <f t="shared" si="68"/>
        <v>51.98715139726502</v>
      </c>
      <c r="AI365" s="9">
        <f t="shared" si="91"/>
        <v>1.1372189368151724</v>
      </c>
      <c r="AJ365" s="9">
        <f t="shared" si="52"/>
        <v>-3.2627810631848275</v>
      </c>
      <c r="AK365" s="9">
        <f t="shared" si="41"/>
        <v>3</v>
      </c>
      <c r="AL365" s="9">
        <f t="shared" si="76"/>
        <v>3.15</v>
      </c>
      <c r="AM365" s="9">
        <f aca="true" t="shared" si="94" ref="AM365:AM400">AJ365+($AH$279+1/TAN(AG365))*$AE$279</f>
        <v>-2.212941670719015</v>
      </c>
      <c r="AN365" s="153">
        <f t="shared" si="89"/>
        <v>0</v>
      </c>
      <c r="AO365" s="9">
        <f t="shared" si="77"/>
        <v>25.425406543178813</v>
      </c>
      <c r="AP365" s="9">
        <f aca="true" t="shared" si="95" ref="AP365:AP400">(1/TAN(AG365)+$AH$281)*$AE$280</f>
        <v>1.2996787849316256</v>
      </c>
      <c r="AQ365" s="9">
        <f>MAX(0,(Hl-Df)/TAN(AG365)-λ)</f>
        <v>0</v>
      </c>
      <c r="AR365" s="9">
        <f aca="true" t="shared" si="96" ref="AR365:AR400">SIN(β)*SIN(AG365)/SIN(AG365-β)*AM365</f>
        <v>-1.8832259068803434</v>
      </c>
      <c r="AS365" s="9">
        <f t="shared" si="84"/>
        <v>78.25135514392939</v>
      </c>
      <c r="AT365" s="130">
        <f t="shared" si="58"/>
        <v>-74.25135514392939</v>
      </c>
      <c r="AU365" s="9">
        <f aca="true" t="shared" si="97" ref="AU365:AU400">IF(AG365&gt;=ω3,0,IF(AG365&gt;ω2,0.5*(AL365+AO365)*AT365*γs+AL365*$AE$289,0.5*(AK365+AL365)*$AE$282*γs+AL365*$AE$289))</f>
        <v>0</v>
      </c>
      <c r="AV365" s="9">
        <f t="shared" si="85"/>
        <v>51.98715139726502</v>
      </c>
      <c r="AW365" s="9">
        <f aca="true" t="shared" si="98" ref="AW365:AW400">IF(AG365&gt;=ω1,0,0.5*(AJ365+AM365)*Ha*γs)</f>
        <v>0</v>
      </c>
      <c r="AX365" s="9">
        <f t="shared" si="90"/>
        <v>0</v>
      </c>
      <c r="AY365" s="9">
        <f t="shared" si="86"/>
        <v>0</v>
      </c>
      <c r="AZ365" s="9">
        <f t="shared" si="78"/>
        <v>0</v>
      </c>
      <c r="BA365" s="9">
        <f aca="true" t="shared" si="99" ref="BA365:BA400">IF(AG365&lt;=ω1,0,IF(AG365&gt;=ω2,0,IF(3*d&lt;=AQ365,$AL$285,$AL$285/$AE$281*AQ365)))</f>
        <v>0</v>
      </c>
      <c r="BB365" s="9">
        <f t="shared" si="79"/>
        <v>1.1372189368151724</v>
      </c>
      <c r="BC365" s="9">
        <f t="shared" si="87"/>
        <v>0</v>
      </c>
      <c r="BE365" s="9">
        <f t="shared" si="88"/>
        <v>51.98715139726502</v>
      </c>
    </row>
    <row r="366" spans="1:57" ht="18" customHeight="1">
      <c r="A366" s="141"/>
      <c r="B366" s="144" t="s">
        <v>142</v>
      </c>
      <c r="C366" s="33"/>
      <c r="D366" s="5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9">
        <f t="shared" si="80"/>
        <v>1.103545761076443</v>
      </c>
      <c r="AC366" s="9">
        <f t="shared" si="92"/>
        <v>72.5</v>
      </c>
      <c r="AD366" s="9">
        <f t="shared" si="81"/>
        <v>31.673949942125713</v>
      </c>
      <c r="AE366" s="9">
        <f t="shared" si="82"/>
        <v>0</v>
      </c>
      <c r="AF366" s="9">
        <f t="shared" si="93"/>
        <v>72.5</v>
      </c>
      <c r="AG366" s="9">
        <f t="shared" si="51"/>
        <v>1.2653637076958888</v>
      </c>
      <c r="AH366" s="9">
        <f t="shared" si="68"/>
        <v>50.447806220637396</v>
      </c>
      <c r="AI366" s="9">
        <f t="shared" si="91"/>
        <v>1.103545761076443</v>
      </c>
      <c r="AJ366" s="9">
        <f t="shared" si="52"/>
        <v>-3.296454238923557</v>
      </c>
      <c r="AK366" s="9">
        <f t="shared" si="41"/>
        <v>3</v>
      </c>
      <c r="AL366" s="9">
        <f t="shared" si="76"/>
        <v>3.15</v>
      </c>
      <c r="AM366" s="9">
        <f t="shared" si="94"/>
        <v>-2.2658566611655897</v>
      </c>
      <c r="AN366" s="153">
        <f t="shared" si="89"/>
        <v>0</v>
      </c>
      <c r="AO366" s="9">
        <f t="shared" si="77"/>
        <v>40.18832099569835</v>
      </c>
      <c r="AP366" s="9">
        <f t="shared" si="95"/>
        <v>1.2611951555159349</v>
      </c>
      <c r="AQ366" s="9">
        <f aca="true" t="shared" si="100" ref="AQ366:AQ387">MAX(0,(Hl-Df)/TAN(AG366)-λ)</f>
        <v>0</v>
      </c>
      <c r="AR366" s="9">
        <f t="shared" si="96"/>
        <v>-1.912597573038299</v>
      </c>
      <c r="AS366" s="9">
        <f t="shared" si="84"/>
        <v>127.46106998566117</v>
      </c>
      <c r="AT366" s="130">
        <f t="shared" si="58"/>
        <v>-123.46106998566117</v>
      </c>
      <c r="AU366" s="9">
        <f t="shared" si="97"/>
        <v>0</v>
      </c>
      <c r="AV366" s="9">
        <f>IF(AG366&gt;=ω3,0.5*$AE$280*AP366*γs+AP366*$AE$289,IF(AG366&gt;ω2,0.5*AO366*AS366*γs,0.5*(Hl-Df)^2*(TAN(αl)+1/TAN(AG366))*γs))</f>
        <v>50.447806220637396</v>
      </c>
      <c r="AW366" s="9">
        <f t="shared" si="98"/>
        <v>0</v>
      </c>
      <c r="AX366" s="9">
        <f t="shared" si="90"/>
        <v>0</v>
      </c>
      <c r="AY366" s="9">
        <f t="shared" si="86"/>
        <v>0</v>
      </c>
      <c r="AZ366" s="9">
        <f t="shared" si="78"/>
        <v>0</v>
      </c>
      <c r="BA366" s="9">
        <f t="shared" si="99"/>
        <v>0</v>
      </c>
      <c r="BB366" s="9">
        <f t="shared" si="79"/>
        <v>1.103545761076443</v>
      </c>
      <c r="BC366" s="9">
        <f t="shared" si="87"/>
        <v>0</v>
      </c>
      <c r="BE366" s="9">
        <f t="shared" si="88"/>
        <v>50.447806220637396</v>
      </c>
    </row>
    <row r="367" spans="1:57" ht="18" customHeight="1">
      <c r="A367" s="141"/>
      <c r="B367" s="50"/>
      <c r="C367" s="33"/>
      <c r="D367" s="5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9">
        <f t="shared" si="80"/>
        <v>1.0700573851053115</v>
      </c>
      <c r="AC367" s="9">
        <f t="shared" si="92"/>
        <v>73</v>
      </c>
      <c r="AD367" s="9">
        <f t="shared" si="81"/>
        <v>31.130641505295554</v>
      </c>
      <c r="AE367" s="9">
        <f t="shared" si="82"/>
        <v>0</v>
      </c>
      <c r="AF367" s="9">
        <f t="shared" si="93"/>
        <v>73</v>
      </c>
      <c r="AG367" s="9">
        <f t="shared" si="51"/>
        <v>1.2740903539558606</v>
      </c>
      <c r="AH367" s="9">
        <f t="shared" si="68"/>
        <v>48.916909033385664</v>
      </c>
      <c r="AI367" s="9">
        <f t="shared" si="91"/>
        <v>1.0700573851053115</v>
      </c>
      <c r="AJ367" s="9">
        <f t="shared" si="52"/>
        <v>-3.3299426148946885</v>
      </c>
      <c r="AK367" s="9">
        <f t="shared" si="41"/>
        <v>3</v>
      </c>
      <c r="AL367" s="9">
        <f t="shared" si="76"/>
        <v>3.15</v>
      </c>
      <c r="AM367" s="9">
        <f t="shared" si="94"/>
        <v>-2.3184812519773677</v>
      </c>
      <c r="AN367" s="153">
        <f t="shared" si="89"/>
        <v>0</v>
      </c>
      <c r="AO367" s="9">
        <f t="shared" si="77"/>
        <v>104.03210039591804</v>
      </c>
      <c r="AP367" s="9">
        <f t="shared" si="95"/>
        <v>1.2229227258346416</v>
      </c>
      <c r="AQ367" s="9">
        <f t="shared" si="100"/>
        <v>0</v>
      </c>
      <c r="AR367" s="9">
        <f t="shared" si="96"/>
        <v>-1.9413387047480388</v>
      </c>
      <c r="AS367" s="9">
        <f>SIN(θu-ω2)*SIN(AG367)/COS(ω2)/SIN(θu-AG367)*λ</f>
        <v>340.27366798639343</v>
      </c>
      <c r="AT367" s="130">
        <f t="shared" si="58"/>
        <v>-336.27366798639343</v>
      </c>
      <c r="AU367" s="9">
        <f t="shared" si="97"/>
        <v>0</v>
      </c>
      <c r="AV367" s="9">
        <f t="shared" si="85"/>
        <v>48.916909033385664</v>
      </c>
      <c r="AW367" s="9">
        <f t="shared" si="98"/>
        <v>0</v>
      </c>
      <c r="AX367" s="9">
        <f t="shared" si="90"/>
        <v>0</v>
      </c>
      <c r="AY367" s="9">
        <f t="shared" si="86"/>
        <v>0</v>
      </c>
      <c r="AZ367" s="9">
        <f t="shared" si="78"/>
        <v>0</v>
      </c>
      <c r="BA367" s="9">
        <f t="shared" si="99"/>
        <v>0</v>
      </c>
      <c r="BB367" s="9">
        <f t="shared" si="79"/>
        <v>1.0700573851053115</v>
      </c>
      <c r="BC367" s="9">
        <f t="shared" si="87"/>
        <v>0</v>
      </c>
      <c r="BE367" s="9">
        <f t="shared" si="88"/>
        <v>48.916909033385664</v>
      </c>
    </row>
    <row r="368" spans="1:57" ht="18" customHeight="1">
      <c r="A368" s="141"/>
      <c r="B368" s="50"/>
      <c r="C368" s="33"/>
      <c r="D368" s="5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9">
        <f t="shared" si="80"/>
        <v>1.0367472323672804</v>
      </c>
      <c r="AC368" s="9">
        <f t="shared" si="92"/>
        <v>73.5</v>
      </c>
      <c r="AD368" s="9">
        <f t="shared" si="81"/>
        <v>30.568285829893625</v>
      </c>
      <c r="AE368" s="9">
        <f t="shared" si="82"/>
        <v>0</v>
      </c>
      <c r="AF368" s="9">
        <f t="shared" si="93"/>
        <v>73.5</v>
      </c>
      <c r="AG368" s="9">
        <f t="shared" si="51"/>
        <v>1.2828170002158323</v>
      </c>
      <c r="AH368" s="9">
        <f t="shared" si="68"/>
        <v>47.39415919393282</v>
      </c>
      <c r="AI368" s="9">
        <f t="shared" si="91"/>
        <v>1.0367472323672804</v>
      </c>
      <c r="AJ368" s="9">
        <f t="shared" si="52"/>
        <v>-3.3632527676327193</v>
      </c>
      <c r="AK368" s="9">
        <f t="shared" si="41"/>
        <v>3</v>
      </c>
      <c r="AL368" s="9">
        <f t="shared" si="76"/>
        <v>3.15</v>
      </c>
      <c r="AM368" s="9">
        <f t="shared" si="94"/>
        <v>-2.370825777708559</v>
      </c>
      <c r="AN368" s="153">
        <f t="shared" si="89"/>
        <v>0</v>
      </c>
      <c r="AO368" s="9">
        <f t="shared" si="77"/>
        <v>-152.5460310739162</v>
      </c>
      <c r="AP368" s="9">
        <f t="shared" si="95"/>
        <v>1.1848539798483206</v>
      </c>
      <c r="AQ368" s="9">
        <f t="shared" si="100"/>
        <v>0</v>
      </c>
      <c r="AR368" s="9">
        <f t="shared" si="96"/>
        <v>-1.969473629905725</v>
      </c>
      <c r="AS368" s="9">
        <f aca="true" t="shared" si="101" ref="AS368:AS382">SIN(θu-ω2)*SIN(AG368)/COS(ω2)/SIN(θu-AG368)*λ</f>
        <v>-514.9867702463873</v>
      </c>
      <c r="AT368" s="130">
        <f t="shared" si="58"/>
        <v>518.9867702463873</v>
      </c>
      <c r="AU368" s="9">
        <f t="shared" si="97"/>
        <v>0</v>
      </c>
      <c r="AV368" s="9">
        <f t="shared" si="85"/>
        <v>47.39415919393282</v>
      </c>
      <c r="AW368" s="9">
        <f t="shared" si="98"/>
        <v>0</v>
      </c>
      <c r="AX368" s="9">
        <f t="shared" si="90"/>
        <v>0</v>
      </c>
      <c r="AY368" s="9">
        <f t="shared" si="86"/>
        <v>0</v>
      </c>
      <c r="AZ368" s="9">
        <f t="shared" si="78"/>
        <v>0</v>
      </c>
      <c r="BA368" s="9">
        <f t="shared" si="99"/>
        <v>0</v>
      </c>
      <c r="BB368" s="9">
        <f t="shared" si="79"/>
        <v>1.0367472323672804</v>
      </c>
      <c r="BC368" s="9">
        <f t="shared" si="87"/>
        <v>0</v>
      </c>
      <c r="BE368" s="9">
        <f t="shared" si="88"/>
        <v>47.39415919393282</v>
      </c>
    </row>
    <row r="369" spans="1:57" ht="18" customHeight="1">
      <c r="A369" s="141"/>
      <c r="B369" s="50"/>
      <c r="C369" s="33"/>
      <c r="D369" s="5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9">
        <f t="shared" si="80"/>
        <v>1.0036088501558278</v>
      </c>
      <c r="AC369" s="9">
        <f t="shared" si="92"/>
        <v>74</v>
      </c>
      <c r="AD369" s="9">
        <f>MAX(0,SIN(AG369-φ+AE369)/COS(AG369-φ-δu-αl)/COS(AE369)*(AH369))</f>
        <v>29.986793935535587</v>
      </c>
      <c r="AE369" s="9">
        <f t="shared" si="82"/>
        <v>0</v>
      </c>
      <c r="AF369" s="9">
        <f t="shared" si="93"/>
        <v>74</v>
      </c>
      <c r="AG369" s="9">
        <f t="shared" si="51"/>
        <v>1.2915436464758039</v>
      </c>
      <c r="AH369" s="9">
        <f aca="true" t="shared" si="102" ref="AH369:AH400">SUM(AU369:AX369)+BC369+AZ369</f>
        <v>45.879261721409264</v>
      </c>
      <c r="AI369" s="9">
        <f t="shared" si="91"/>
        <v>1.0036088501558278</v>
      </c>
      <c r="AJ369" s="9">
        <f t="shared" si="52"/>
        <v>-3.396391149844172</v>
      </c>
      <c r="AK369" s="9">
        <f t="shared" si="41"/>
        <v>3</v>
      </c>
      <c r="AL369" s="9">
        <f t="shared" si="76"/>
        <v>3.15</v>
      </c>
      <c r="AM369" s="9">
        <f t="shared" si="94"/>
        <v>-2.422900378326556</v>
      </c>
      <c r="AN369" s="153">
        <f>IF(AR369&lt;Ho,0,AM369+(1/TAN(AG369)-1/TAN(β))*Ho)</f>
        <v>0</v>
      </c>
      <c r="AO369" s="9">
        <f t="shared" si="77"/>
        <v>-42.18557342030875</v>
      </c>
      <c r="AP369" s="9">
        <f t="shared" si="95"/>
        <v>1.1469815430352317</v>
      </c>
      <c r="AQ369" s="9">
        <f t="shared" si="100"/>
        <v>0</v>
      </c>
      <c r="AR369" s="9">
        <f t="shared" si="96"/>
        <v>-1.9970254799664742</v>
      </c>
      <c r="AS369" s="9">
        <f t="shared" si="101"/>
        <v>-147.11857806769584</v>
      </c>
      <c r="AT369" s="130">
        <f t="shared" si="58"/>
        <v>151.11857806769584</v>
      </c>
      <c r="AU369" s="9">
        <f t="shared" si="97"/>
        <v>0</v>
      </c>
      <c r="AV369" s="9">
        <f t="shared" si="85"/>
        <v>45.879261721409264</v>
      </c>
      <c r="AW369" s="9">
        <f t="shared" si="98"/>
        <v>0</v>
      </c>
      <c r="AX369" s="9">
        <f t="shared" si="90"/>
        <v>0</v>
      </c>
      <c r="AY369" s="9">
        <f t="shared" si="86"/>
        <v>0</v>
      </c>
      <c r="AZ369" s="9">
        <f t="shared" si="78"/>
        <v>0</v>
      </c>
      <c r="BA369" s="9">
        <f t="shared" si="99"/>
        <v>0</v>
      </c>
      <c r="BB369" s="9">
        <f t="shared" si="79"/>
        <v>1.0036088501558278</v>
      </c>
      <c r="BC369" s="9">
        <f t="shared" si="87"/>
        <v>0</v>
      </c>
      <c r="BE369" s="9">
        <f t="shared" si="88"/>
        <v>45.879261721409264</v>
      </c>
    </row>
    <row r="370" spans="1:57" ht="18" customHeight="1">
      <c r="A370" s="141"/>
      <c r="B370" s="50"/>
      <c r="C370" s="33"/>
      <c r="D370" s="5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9">
        <f t="shared" si="80"/>
        <v>0.970635904209435</v>
      </c>
      <c r="AC370" s="9">
        <f t="shared" si="92"/>
        <v>74.5</v>
      </c>
      <c r="AD370" s="9">
        <f aca="true" t="shared" si="103" ref="AD370:AD387">MAX(0,SIN(AG370-φ+AE370)/COS(AG370-φ-δu-αl)/COS(AE370)*(AH370))</f>
        <v>29.38606378405856</v>
      </c>
      <c r="AE370" s="9">
        <f t="shared" si="82"/>
        <v>0</v>
      </c>
      <c r="AF370" s="9">
        <f t="shared" si="93"/>
        <v>74.5</v>
      </c>
      <c r="AG370" s="9">
        <f t="shared" si="51"/>
        <v>1.3002702927357754</v>
      </c>
      <c r="AH370" s="9">
        <f t="shared" si="102"/>
        <v>44.371927049574175</v>
      </c>
      <c r="AI370" s="9">
        <f t="shared" si="91"/>
        <v>0.970635904209435</v>
      </c>
      <c r="AJ370" s="9">
        <f t="shared" si="52"/>
        <v>-3.429364095790565</v>
      </c>
      <c r="AK370" s="9">
        <f t="shared" si="41"/>
        <v>3</v>
      </c>
      <c r="AL370" s="9">
        <f t="shared" si="76"/>
        <v>3.15</v>
      </c>
      <c r="AM370" s="9">
        <f t="shared" si="94"/>
        <v>-2.4747150076708877</v>
      </c>
      <c r="AN370" s="153">
        <f aca="true" t="shared" si="104" ref="AN370:AN382">IF(AR370&lt;Ho,0,AM370+(1/TAN(AG370)-1/TAN(β))*Ho)</f>
        <v>0</v>
      </c>
      <c r="AO370" s="9">
        <f t="shared" si="77"/>
        <v>-23.848819725776004</v>
      </c>
      <c r="AP370" s="9">
        <f t="shared" si="95"/>
        <v>1.1092981762393543</v>
      </c>
      <c r="AQ370" s="9">
        <f t="shared" si="100"/>
        <v>0</v>
      </c>
      <c r="AR370" s="9">
        <f t="shared" si="96"/>
        <v>-2.0240162633901777</v>
      </c>
      <c r="AS370" s="9">
        <f t="shared" si="101"/>
        <v>-85.99606575258667</v>
      </c>
      <c r="AT370" s="130">
        <f t="shared" si="58"/>
        <v>89.99606575258667</v>
      </c>
      <c r="AU370" s="9">
        <f t="shared" si="97"/>
        <v>0</v>
      </c>
      <c r="AV370" s="9">
        <f t="shared" si="85"/>
        <v>44.371927049574175</v>
      </c>
      <c r="AW370" s="9">
        <f t="shared" si="98"/>
        <v>0</v>
      </c>
      <c r="AX370" s="9">
        <f t="shared" si="90"/>
        <v>0</v>
      </c>
      <c r="AY370" s="9">
        <f t="shared" si="86"/>
        <v>0</v>
      </c>
      <c r="AZ370" s="9">
        <f t="shared" si="78"/>
        <v>0</v>
      </c>
      <c r="BA370" s="9">
        <f t="shared" si="99"/>
        <v>0</v>
      </c>
      <c r="BB370" s="9">
        <f t="shared" si="79"/>
        <v>0.970635904209435</v>
      </c>
      <c r="BC370" s="9">
        <f t="shared" si="87"/>
        <v>0</v>
      </c>
      <c r="BE370" s="9">
        <f t="shared" si="88"/>
        <v>44.371927049574175</v>
      </c>
    </row>
    <row r="371" spans="1:57" ht="18" customHeight="1">
      <c r="A371" s="141"/>
      <c r="B371" s="50"/>
      <c r="C371" s="33"/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9">
        <f t="shared" si="80"/>
        <v>0.9378221735089294</v>
      </c>
      <c r="AC371" s="9">
        <f t="shared" si="92"/>
        <v>75</v>
      </c>
      <c r="AD371" s="9">
        <f t="shared" si="103"/>
        <v>28.76598020434596</v>
      </c>
      <c r="AE371" s="9">
        <f t="shared" si="82"/>
        <v>0</v>
      </c>
      <c r="AF371" s="9">
        <f t="shared" si="93"/>
        <v>75</v>
      </c>
      <c r="AG371" s="9">
        <f t="shared" si="51"/>
        <v>1.3089969389957472</v>
      </c>
      <c r="AH371" s="9">
        <f t="shared" si="102"/>
        <v>42.871870788979635</v>
      </c>
      <c r="AI371" s="9">
        <f t="shared" si="91"/>
        <v>0.9378221735089294</v>
      </c>
      <c r="AJ371" s="9">
        <f t="shared" si="52"/>
        <v>-3.4621778264910703</v>
      </c>
      <c r="AK371" s="9">
        <f t="shared" si="41"/>
        <v>3</v>
      </c>
      <c r="AL371" s="9">
        <f t="shared" si="76"/>
        <v>3.15</v>
      </c>
      <c r="AM371" s="9">
        <f t="shared" si="94"/>
        <v>-2.526279441628825</v>
      </c>
      <c r="AN371" s="153">
        <f t="shared" si="104"/>
        <v>0</v>
      </c>
      <c r="AO371" s="9">
        <f t="shared" si="77"/>
        <v>-16.30227020388904</v>
      </c>
      <c r="AP371" s="9">
        <f t="shared" si="95"/>
        <v>1.0717967697244908</v>
      </c>
      <c r="AQ371" s="9">
        <f t="shared" si="100"/>
        <v>0</v>
      </c>
      <c r="AR371" s="9">
        <f t="shared" si="96"/>
        <v>-2.0504669337571886</v>
      </c>
      <c r="AS371" s="9">
        <f t="shared" si="101"/>
        <v>-60.84090067963014</v>
      </c>
      <c r="AT371" s="130">
        <f t="shared" si="58"/>
        <v>64.84090067963014</v>
      </c>
      <c r="AU371" s="9">
        <f t="shared" si="97"/>
        <v>0</v>
      </c>
      <c r="AV371" s="9">
        <f>IF(AG371&gt;=ω3,0.5*$AE$280*AP371*γs+AP371*$AE$289,IF(AG371&gt;ω2,0.5*AO371*AS371*γs,0.5*(Hl-Df)^2*(TAN(αl)+1/TAN(AG371))*γs))</f>
        <v>42.871870788979635</v>
      </c>
      <c r="AW371" s="9">
        <f t="shared" si="98"/>
        <v>0</v>
      </c>
      <c r="AX371" s="9">
        <f t="shared" si="90"/>
        <v>0</v>
      </c>
      <c r="AY371" s="9">
        <f t="shared" si="86"/>
        <v>0</v>
      </c>
      <c r="AZ371" s="9">
        <f t="shared" si="78"/>
        <v>0</v>
      </c>
      <c r="BA371" s="9">
        <f t="shared" si="99"/>
        <v>0</v>
      </c>
      <c r="BB371" s="9">
        <f t="shared" si="79"/>
        <v>0.9378221735089294</v>
      </c>
      <c r="BC371" s="9">
        <f t="shared" si="87"/>
        <v>0</v>
      </c>
      <c r="BE371" s="9">
        <f t="shared" si="88"/>
        <v>42.871870788979635</v>
      </c>
    </row>
    <row r="372" spans="1:57" ht="18" customHeight="1">
      <c r="A372" s="141"/>
      <c r="B372" s="50"/>
      <c r="C372" s="33"/>
      <c r="D372" s="5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9">
        <f t="shared" si="80"/>
        <v>0.9051615452456162</v>
      </c>
      <c r="AC372" s="9">
        <f t="shared" si="92"/>
        <v>75.5</v>
      </c>
      <c r="AD372" s="9">
        <f t="shared" si="103"/>
        <v>28.126414797413805</v>
      </c>
      <c r="AE372" s="9">
        <f t="shared" si="82"/>
        <v>0</v>
      </c>
      <c r="AF372" s="9">
        <f t="shared" si="93"/>
        <v>75.5</v>
      </c>
      <c r="AG372" s="9">
        <f t="shared" si="51"/>
        <v>1.3177235852557188</v>
      </c>
      <c r="AH372" s="9">
        <f t="shared" si="102"/>
        <v>41.378813496942456</v>
      </c>
      <c r="AI372" s="9">
        <f t="shared" si="91"/>
        <v>0.9051615452456162</v>
      </c>
      <c r="AJ372" s="9">
        <f t="shared" si="52"/>
        <v>-3.4948384547543836</v>
      </c>
      <c r="AK372" s="9">
        <f t="shared" si="41"/>
        <v>3</v>
      </c>
      <c r="AL372" s="9">
        <f t="shared" si="76"/>
        <v>3.15</v>
      </c>
      <c r="AM372" s="9">
        <f t="shared" si="94"/>
        <v>-2.577603286042603</v>
      </c>
      <c r="AN372" s="153">
        <f t="shared" si="104"/>
        <v>0</v>
      </c>
      <c r="AO372" s="9">
        <f t="shared" si="77"/>
        <v>-12.186439134704534</v>
      </c>
      <c r="AP372" s="9">
        <f t="shared" si="95"/>
        <v>1.0344703374235613</v>
      </c>
      <c r="AQ372" s="9">
        <f t="shared" si="100"/>
        <v>0</v>
      </c>
      <c r="AR372" s="9">
        <f t="shared" si="96"/>
        <v>-2.07639745300015</v>
      </c>
      <c r="AS372" s="9">
        <f t="shared" si="101"/>
        <v>-47.12146378234845</v>
      </c>
      <c r="AT372" s="130">
        <f t="shared" si="58"/>
        <v>51.12146378234845</v>
      </c>
      <c r="AU372" s="9">
        <f t="shared" si="97"/>
        <v>0</v>
      </c>
      <c r="AV372" s="9">
        <f aca="true" t="shared" si="105" ref="AV372:AV394">IF(AG372&gt;=ω3,0.5*$AE$280*AP372*γs+AP372*$AE$289,IF(AG372&gt;ω2,0.5*AO372*AS372*γs,0.5*(Hl-Df)^2*(TAN(αl)+1/TAN(AG372))*γs))</f>
        <v>41.378813496942456</v>
      </c>
      <c r="AW372" s="9">
        <f t="shared" si="98"/>
        <v>0</v>
      </c>
      <c r="AX372" s="9">
        <f t="shared" si="90"/>
        <v>0</v>
      </c>
      <c r="AY372" s="9">
        <f t="shared" si="86"/>
        <v>0</v>
      </c>
      <c r="AZ372" s="9">
        <f t="shared" si="78"/>
        <v>0</v>
      </c>
      <c r="BA372" s="9">
        <f t="shared" si="99"/>
        <v>0</v>
      </c>
      <c r="BB372" s="9">
        <f t="shared" si="79"/>
        <v>0.9051615452456162</v>
      </c>
      <c r="BC372" s="9">
        <f t="shared" si="87"/>
        <v>0</v>
      </c>
      <c r="BE372" s="9">
        <f t="shared" si="88"/>
        <v>41.378813496942456</v>
      </c>
    </row>
    <row r="373" spans="1:57" s="31" customFormat="1" ht="18" customHeight="1">
      <c r="A373" s="141"/>
      <c r="B373" s="144" t="s">
        <v>250</v>
      </c>
      <c r="C373" s="33"/>
      <c r="D373" s="5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66"/>
      <c r="Z373" s="66"/>
      <c r="AA373" s="66"/>
      <c r="AB373" s="31">
        <f t="shared" si="80"/>
        <v>0.872648009951133</v>
      </c>
      <c r="AC373" s="31">
        <f t="shared" si="92"/>
        <v>76</v>
      </c>
      <c r="AD373" s="9">
        <f t="shared" si="103"/>
        <v>27.46722582158388</v>
      </c>
      <c r="AE373" s="9">
        <f t="shared" si="82"/>
        <v>0</v>
      </c>
      <c r="AF373" s="31">
        <f t="shared" si="93"/>
        <v>76</v>
      </c>
      <c r="AG373" s="31">
        <f t="shared" si="51"/>
        <v>1.3264502315156903</v>
      </c>
      <c r="AH373" s="9">
        <f t="shared" si="102"/>
        <v>39.892480454908934</v>
      </c>
      <c r="AI373" s="9">
        <f t="shared" si="91"/>
        <v>0.872648009951133</v>
      </c>
      <c r="AJ373" s="31">
        <f t="shared" si="52"/>
        <v>-3.527351990048867</v>
      </c>
      <c r="AK373" s="31">
        <f t="shared" si="41"/>
        <v>3</v>
      </c>
      <c r="AL373" s="31">
        <f t="shared" si="76"/>
        <v>3.15</v>
      </c>
      <c r="AM373" s="31">
        <f t="shared" si="94"/>
        <v>-2.628695984362505</v>
      </c>
      <c r="AN373" s="131">
        <f t="shared" si="104"/>
        <v>0</v>
      </c>
      <c r="AO373" s="31">
        <f t="shared" si="77"/>
        <v>-9.594838033313533</v>
      </c>
      <c r="AP373" s="31">
        <f t="shared" si="95"/>
        <v>0.9973120113727234</v>
      </c>
      <c r="AQ373" s="9">
        <f t="shared" si="100"/>
        <v>0</v>
      </c>
      <c r="AR373" s="31">
        <f t="shared" si="96"/>
        <v>-2.101826850156059</v>
      </c>
      <c r="AS373" s="31">
        <f t="shared" si="101"/>
        <v>-38.482793444378444</v>
      </c>
      <c r="AT373" s="154">
        <f t="shared" si="58"/>
        <v>42.482793444378444</v>
      </c>
      <c r="AU373" s="31">
        <f t="shared" si="97"/>
        <v>0</v>
      </c>
      <c r="AV373" s="31">
        <f t="shared" si="105"/>
        <v>39.892480454908934</v>
      </c>
      <c r="AW373" s="31">
        <f t="shared" si="98"/>
        <v>0</v>
      </c>
      <c r="AX373" s="9">
        <f t="shared" si="90"/>
        <v>0</v>
      </c>
      <c r="AY373" s="31">
        <f t="shared" si="86"/>
        <v>0</v>
      </c>
      <c r="AZ373" s="31">
        <f t="shared" si="78"/>
        <v>0</v>
      </c>
      <c r="BA373" s="31">
        <f t="shared" si="99"/>
        <v>0</v>
      </c>
      <c r="BB373" s="31">
        <f t="shared" si="79"/>
        <v>0.872648009951133</v>
      </c>
      <c r="BC373" s="31">
        <f t="shared" si="87"/>
        <v>0</v>
      </c>
      <c r="BE373" s="31">
        <f t="shared" si="88"/>
        <v>39.892480454908934</v>
      </c>
    </row>
    <row r="374" spans="1:57" s="31" customFormat="1" ht="18" customHeight="1">
      <c r="A374" s="141"/>
      <c r="B374" s="50"/>
      <c r="C374" s="137" t="s">
        <v>311</v>
      </c>
      <c r="D374" s="148">
        <f>Ha</f>
        <v>2</v>
      </c>
      <c r="E374" s="39" t="s">
        <v>251</v>
      </c>
      <c r="F374" s="156" t="s">
        <v>312</v>
      </c>
      <c r="G374" s="138">
        <f>Hl</f>
        <v>4</v>
      </c>
      <c r="H374" s="32" t="s">
        <v>251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132"/>
      <c r="Z374" s="132"/>
      <c r="AA374" s="132"/>
      <c r="AB374" s="31">
        <f t="shared" si="80"/>
        <v>0.8402756567804063</v>
      </c>
      <c r="AC374" s="31">
        <f t="shared" si="92"/>
        <v>76.5</v>
      </c>
      <c r="AD374" s="9">
        <f t="shared" si="103"/>
        <v>26.78825805751687</v>
      </c>
      <c r="AE374" s="9">
        <f t="shared" si="82"/>
        <v>0</v>
      </c>
      <c r="AF374" s="31">
        <f t="shared" si="93"/>
        <v>76.5</v>
      </c>
      <c r="AG374" s="31">
        <f t="shared" si="51"/>
        <v>1.335176877775662</v>
      </c>
      <c r="AH374" s="9">
        <f t="shared" si="102"/>
        <v>38.41260145281857</v>
      </c>
      <c r="AI374" s="9">
        <f t="shared" si="91"/>
        <v>0.8402756567804063</v>
      </c>
      <c r="AJ374" s="31">
        <f t="shared" si="52"/>
        <v>-3.5597243432195937</v>
      </c>
      <c r="AK374" s="31">
        <f t="shared" si="41"/>
        <v>3</v>
      </c>
      <c r="AL374" s="31">
        <f t="shared" si="76"/>
        <v>3.15</v>
      </c>
      <c r="AM374" s="31">
        <f t="shared" si="94"/>
        <v>-2.6795668250593616</v>
      </c>
      <c r="AN374" s="131">
        <f t="shared" si="104"/>
        <v>0</v>
      </c>
      <c r="AO374" s="31">
        <f t="shared" si="77"/>
        <v>-7.812815172371998</v>
      </c>
      <c r="AP374" s="31">
        <f t="shared" si="95"/>
        <v>0.9603150363204643</v>
      </c>
      <c r="AQ374" s="9">
        <f t="shared" si="100"/>
        <v>0</v>
      </c>
      <c r="AR374" s="31">
        <f t="shared" si="96"/>
        <v>-2.1267732760049163</v>
      </c>
      <c r="AS374" s="31">
        <f t="shared" si="101"/>
        <v>-32.54271724124</v>
      </c>
      <c r="AT374" s="154">
        <f t="shared" si="58"/>
        <v>36.54271724124</v>
      </c>
      <c r="AU374" s="31">
        <f t="shared" si="97"/>
        <v>0</v>
      </c>
      <c r="AV374" s="31">
        <f t="shared" si="105"/>
        <v>38.41260145281857</v>
      </c>
      <c r="AW374" s="31">
        <f t="shared" si="98"/>
        <v>0</v>
      </c>
      <c r="AX374" s="9">
        <f>IF(AG374&gt;=ω1,0,IF(AR374&lt;Ho,0.5*AM374*AR374*γs,0.5*(AM374+AN374)*Ho*γs+AN374*$AE$288))</f>
        <v>0</v>
      </c>
      <c r="AY374" s="31">
        <f t="shared" si="86"/>
        <v>0</v>
      </c>
      <c r="AZ374" s="31">
        <f t="shared" si="78"/>
        <v>0</v>
      </c>
      <c r="BA374" s="31">
        <f t="shared" si="99"/>
        <v>0</v>
      </c>
      <c r="BB374" s="31">
        <f t="shared" si="79"/>
        <v>0.8402756567804063</v>
      </c>
      <c r="BC374" s="31">
        <f t="shared" si="87"/>
        <v>0</v>
      </c>
      <c r="BE374" s="31">
        <f t="shared" si="88"/>
        <v>38.41260145281857</v>
      </c>
    </row>
    <row r="375" spans="1:57" s="31" customFormat="1" ht="18" customHeight="1">
      <c r="A375" s="141"/>
      <c r="B375" s="50"/>
      <c r="C375" s="137" t="s">
        <v>313</v>
      </c>
      <c r="D375" s="148">
        <f>B</f>
        <v>1.4</v>
      </c>
      <c r="E375" s="39" t="s">
        <v>251</v>
      </c>
      <c r="F375" s="156" t="s">
        <v>314</v>
      </c>
      <c r="G375" s="138">
        <f>Bl</f>
        <v>2.4</v>
      </c>
      <c r="H375" s="32" t="s">
        <v>251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132"/>
      <c r="Z375" s="132"/>
      <c r="AA375" s="132"/>
      <c r="AB375" s="31">
        <f t="shared" si="80"/>
        <v>0.8080386689394705</v>
      </c>
      <c r="AC375" s="31">
        <f t="shared" si="92"/>
        <v>77</v>
      </c>
      <c r="AD375" s="9">
        <f t="shared" si="103"/>
        <v>26.08934265282399</v>
      </c>
      <c r="AE375" s="9">
        <f t="shared" si="82"/>
        <v>0</v>
      </c>
      <c r="AF375" s="31">
        <f t="shared" si="93"/>
        <v>77</v>
      </c>
      <c r="AG375" s="31">
        <f t="shared" si="51"/>
        <v>1.3439035240356338</v>
      </c>
      <c r="AH375" s="9">
        <f t="shared" si="102"/>
        <v>36.93891058009009</v>
      </c>
      <c r="AI375" s="9">
        <f t="shared" si="91"/>
        <v>0.8080386689394705</v>
      </c>
      <c r="AJ375" s="31">
        <f t="shared" si="52"/>
        <v>-3.591961331060529</v>
      </c>
      <c r="AK375" s="31">
        <f t="shared" si="41"/>
        <v>3</v>
      </c>
      <c r="AL375" s="31">
        <f t="shared" si="76"/>
        <v>3.15</v>
      </c>
      <c r="AM375" s="31">
        <f t="shared" si="94"/>
        <v>-2.7302249488094033</v>
      </c>
      <c r="AN375" s="131">
        <f t="shared" si="104"/>
        <v>0</v>
      </c>
      <c r="AO375" s="31">
        <f t="shared" si="77"/>
        <v>-6.5120959515543255</v>
      </c>
      <c r="AP375" s="31">
        <f t="shared" si="95"/>
        <v>0.9234727645022521</v>
      </c>
      <c r="AQ375" s="9">
        <f t="shared" si="100"/>
        <v>0</v>
      </c>
      <c r="AR375" s="31">
        <f t="shared" si="96"/>
        <v>-2.151254053927444</v>
      </c>
      <c r="AS375" s="31">
        <f t="shared" si="101"/>
        <v>-28.206986505181085</v>
      </c>
      <c r="AT375" s="154">
        <f t="shared" si="58"/>
        <v>32.206986505181085</v>
      </c>
      <c r="AU375" s="31">
        <f t="shared" si="97"/>
        <v>0</v>
      </c>
      <c r="AV375" s="31">
        <f t="shared" si="105"/>
        <v>36.93891058009009</v>
      </c>
      <c r="AW375" s="31">
        <f t="shared" si="98"/>
        <v>0</v>
      </c>
      <c r="AX375" s="9">
        <f aca="true" t="shared" si="106" ref="AX375:AX392">IF(AG375&gt;=ω1,0,IF(AR375&lt;Ho,0.5*AM375*AR375*γs,0.5*(AM375+AN375)*Ho*γs+AN375*$AE$288))</f>
        <v>0</v>
      </c>
      <c r="AY375" s="31">
        <f t="shared" si="86"/>
        <v>0</v>
      </c>
      <c r="AZ375" s="31">
        <f t="shared" si="78"/>
        <v>0</v>
      </c>
      <c r="BA375" s="31">
        <f t="shared" si="99"/>
        <v>0</v>
      </c>
      <c r="BB375" s="31">
        <f t="shared" si="79"/>
        <v>0.8080386689394705</v>
      </c>
      <c r="BC375" s="31">
        <f t="shared" si="87"/>
        <v>0</v>
      </c>
      <c r="BE375" s="31">
        <f t="shared" si="88"/>
        <v>36.93891058009009</v>
      </c>
    </row>
    <row r="376" spans="1:57" s="31" customFormat="1" ht="18" customHeight="1">
      <c r="A376" s="141"/>
      <c r="B376" s="50"/>
      <c r="C376" s="137" t="s">
        <v>315</v>
      </c>
      <c r="D376" s="148">
        <f>'入力'!D5</f>
        <v>0.3</v>
      </c>
      <c r="E376" s="39"/>
      <c r="F376" s="156" t="s">
        <v>316</v>
      </c>
      <c r="G376" s="138">
        <f>'入力'!E5</f>
        <v>0.5</v>
      </c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9"/>
      <c r="S376" s="39"/>
      <c r="T376" s="32"/>
      <c r="U376" s="32"/>
      <c r="V376" s="32"/>
      <c r="W376" s="32"/>
      <c r="X376" s="32"/>
      <c r="Y376" s="132"/>
      <c r="Z376" s="132"/>
      <c r="AA376" s="132"/>
      <c r="AB376" s="31">
        <f t="shared" si="80"/>
        <v>0.7759313192502898</v>
      </c>
      <c r="AC376" s="31">
        <f t="shared" si="92"/>
        <v>77.5</v>
      </c>
      <c r="AD376" s="9">
        <f t="shared" si="103"/>
        <v>25.370296945920977</v>
      </c>
      <c r="AE376" s="9">
        <f t="shared" si="82"/>
        <v>0</v>
      </c>
      <c r="AF376" s="31">
        <f t="shared" si="93"/>
        <v>77.5</v>
      </c>
      <c r="AG376" s="31">
        <f t="shared" si="51"/>
        <v>1.3526301702956054</v>
      </c>
      <c r="AH376" s="9">
        <f t="shared" si="102"/>
        <v>35.47114602287039</v>
      </c>
      <c r="AI376" s="9">
        <f t="shared" si="91"/>
        <v>0.7759313192502898</v>
      </c>
      <c r="AJ376" s="31">
        <f t="shared" si="52"/>
        <v>-3.6240686807497102</v>
      </c>
      <c r="AK376" s="31">
        <f t="shared" si="41"/>
        <v>3</v>
      </c>
      <c r="AL376" s="31">
        <f t="shared" si="76"/>
        <v>3.15</v>
      </c>
      <c r="AM376" s="31">
        <f t="shared" si="94"/>
        <v>-2.78067935546383</v>
      </c>
      <c r="AN376" s="131">
        <f t="shared" si="104"/>
        <v>0</v>
      </c>
      <c r="AO376" s="31">
        <f t="shared" si="77"/>
        <v>-5.520755120209648</v>
      </c>
      <c r="AP376" s="31">
        <f t="shared" si="95"/>
        <v>0.8867786505717598</v>
      </c>
      <c r="AQ376" s="9">
        <f t="shared" si="100"/>
        <v>0</v>
      </c>
      <c r="AR376" s="31">
        <f t="shared" si="96"/>
        <v>-2.175285727284045</v>
      </c>
      <c r="AS376" s="31">
        <f t="shared" si="101"/>
        <v>-24.902517067365494</v>
      </c>
      <c r="AT376" s="154">
        <f t="shared" si="58"/>
        <v>28.902517067365494</v>
      </c>
      <c r="AU376" s="31">
        <f t="shared" si="97"/>
        <v>0</v>
      </c>
      <c r="AV376" s="31">
        <f t="shared" si="105"/>
        <v>35.47114602287039</v>
      </c>
      <c r="AW376" s="31">
        <f t="shared" si="98"/>
        <v>0</v>
      </c>
      <c r="AX376" s="9">
        <f t="shared" si="106"/>
        <v>0</v>
      </c>
      <c r="AY376" s="31">
        <f t="shared" si="86"/>
        <v>0</v>
      </c>
      <c r="AZ376" s="31">
        <f t="shared" si="78"/>
        <v>0</v>
      </c>
      <c r="BA376" s="31">
        <f t="shared" si="99"/>
        <v>0</v>
      </c>
      <c r="BB376" s="31">
        <f t="shared" si="79"/>
        <v>0.7759313192502898</v>
      </c>
      <c r="BC376" s="31">
        <f t="shared" si="87"/>
        <v>0</v>
      </c>
      <c r="BE376" s="31">
        <f t="shared" si="88"/>
        <v>35.47114602287039</v>
      </c>
    </row>
    <row r="377" spans="1:57" s="31" customFormat="1" ht="18" customHeight="1">
      <c r="A377" s="141"/>
      <c r="B377" s="50"/>
      <c r="C377" s="137" t="s">
        <v>317</v>
      </c>
      <c r="D377" s="148">
        <f>'入力'!D6</f>
        <v>0.2</v>
      </c>
      <c r="E377" s="39"/>
      <c r="F377" s="156" t="s">
        <v>318</v>
      </c>
      <c r="G377" s="138">
        <f>'入力'!E6</f>
        <v>0</v>
      </c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AB377" s="31">
        <f t="shared" si="80"/>
        <v>0.7439479658450779</v>
      </c>
      <c r="AC377" s="31">
        <f t="shared" si="92"/>
        <v>78</v>
      </c>
      <c r="AD377" s="9">
        <f t="shared" si="103"/>
        <v>24.63092426873216</v>
      </c>
      <c r="AE377" s="9">
        <f t="shared" si="82"/>
        <v>0</v>
      </c>
      <c r="AF377" s="31">
        <f t="shared" si="93"/>
        <v>78</v>
      </c>
      <c r="AG377" s="31">
        <f t="shared" si="51"/>
        <v>1.361356816555577</v>
      </c>
      <c r="AH377" s="9">
        <f t="shared" si="102"/>
        <v>34.009049867203565</v>
      </c>
      <c r="AI377" s="9">
        <f t="shared" si="91"/>
        <v>0.7439479658450779</v>
      </c>
      <c r="AJ377" s="31">
        <f t="shared" si="52"/>
        <v>-3.656052034154922</v>
      </c>
      <c r="AK377" s="31">
        <f t="shared" si="41"/>
        <v>3</v>
      </c>
      <c r="AL377" s="31">
        <f t="shared" si="76"/>
        <v>3.15</v>
      </c>
      <c r="AM377" s="31">
        <f t="shared" si="94"/>
        <v>-2.8309389108148775</v>
      </c>
      <c r="AN377" s="131">
        <f t="shared" si="104"/>
        <v>0</v>
      </c>
      <c r="AO377" s="31">
        <f t="shared" si="77"/>
        <v>-4.740038854515719</v>
      </c>
      <c r="AP377" s="31">
        <f t="shared" si="95"/>
        <v>0.8502262466800891</v>
      </c>
      <c r="AQ377" s="9">
        <f t="shared" si="100"/>
        <v>0</v>
      </c>
      <c r="AR377" s="31">
        <f t="shared" si="96"/>
        <v>-2.1988841035898727</v>
      </c>
      <c r="AS377" s="31">
        <f t="shared" si="101"/>
        <v>-22.300129515052397</v>
      </c>
      <c r="AT377" s="154">
        <f t="shared" si="58"/>
        <v>26.300129515052397</v>
      </c>
      <c r="AU377" s="31">
        <f t="shared" si="97"/>
        <v>0</v>
      </c>
      <c r="AV377" s="31">
        <f t="shared" si="105"/>
        <v>34.009049867203565</v>
      </c>
      <c r="AW377" s="31">
        <f t="shared" si="98"/>
        <v>0</v>
      </c>
      <c r="AX377" s="9">
        <f t="shared" si="106"/>
        <v>0</v>
      </c>
      <c r="AY377" s="31">
        <f t="shared" si="86"/>
        <v>0</v>
      </c>
      <c r="AZ377" s="31">
        <f t="shared" si="78"/>
        <v>0</v>
      </c>
      <c r="BA377" s="31">
        <f t="shared" si="99"/>
        <v>0</v>
      </c>
      <c r="BB377" s="31">
        <f t="shared" si="79"/>
        <v>0.7439479658450779</v>
      </c>
      <c r="BC377" s="31">
        <f t="shared" si="87"/>
        <v>0</v>
      </c>
      <c r="BE377" s="31">
        <f t="shared" si="88"/>
        <v>34.009049867203565</v>
      </c>
    </row>
    <row r="378" spans="1:57" s="31" customFormat="1" ht="18" customHeight="1">
      <c r="A378" s="141"/>
      <c r="B378" s="50"/>
      <c r="C378" s="137" t="s">
        <v>319</v>
      </c>
      <c r="D378" s="148">
        <f>Ho</f>
        <v>0</v>
      </c>
      <c r="E378" s="39" t="s">
        <v>251</v>
      </c>
      <c r="F378" s="156" t="s">
        <v>320</v>
      </c>
      <c r="G378" s="50">
        <f>'入力'!E8</f>
        <v>0</v>
      </c>
      <c r="H378" s="32" t="s">
        <v>321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9"/>
      <c r="S378" s="9"/>
      <c r="T378" s="39"/>
      <c r="U378" s="39"/>
      <c r="V378" s="39"/>
      <c r="W378" s="39"/>
      <c r="X378" s="39"/>
      <c r="AB378" s="31">
        <f t="shared" si="80"/>
        <v>0.7120830479829485</v>
      </c>
      <c r="AC378" s="31">
        <f t="shared" si="92"/>
        <v>78.5</v>
      </c>
      <c r="AD378" s="9">
        <f t="shared" si="103"/>
        <v>23.871013727794594</v>
      </c>
      <c r="AE378" s="9">
        <f t="shared" si="82"/>
        <v>0</v>
      </c>
      <c r="AF378" s="31">
        <f t="shared" si="93"/>
        <v>78.5</v>
      </c>
      <c r="AG378" s="31">
        <f t="shared" si="51"/>
        <v>1.3700834628155485</v>
      </c>
      <c r="AH378" s="9">
        <f t="shared" si="102"/>
        <v>32.55236790779193</v>
      </c>
      <c r="AI378" s="9">
        <f t="shared" si="91"/>
        <v>0.7120830479829485</v>
      </c>
      <c r="AJ378" s="31">
        <f t="shared" si="52"/>
        <v>-3.6879169520170514</v>
      </c>
      <c r="AK378" s="31">
        <f t="shared" si="41"/>
        <v>3</v>
      </c>
      <c r="AL378" s="31">
        <f t="shared" si="76"/>
        <v>3.15</v>
      </c>
      <c r="AM378" s="31">
        <f t="shared" si="94"/>
        <v>-2.8810123531696523</v>
      </c>
      <c r="AN378" s="131">
        <f t="shared" si="104"/>
        <v>0</v>
      </c>
      <c r="AO378" s="31">
        <f t="shared" si="77"/>
        <v>-4.10918107327354</v>
      </c>
      <c r="AP378" s="31">
        <f t="shared" si="95"/>
        <v>0.8138091976947983</v>
      </c>
      <c r="AQ378" s="9">
        <f t="shared" si="100"/>
        <v>0</v>
      </c>
      <c r="AR378" s="31">
        <f t="shared" si="96"/>
        <v>-2.222064295736343</v>
      </c>
      <c r="AS378" s="31">
        <f t="shared" si="101"/>
        <v>-20.197270244245136</v>
      </c>
      <c r="AT378" s="154">
        <f t="shared" si="58"/>
        <v>24.197270244245136</v>
      </c>
      <c r="AU378" s="31">
        <f t="shared" si="97"/>
        <v>0</v>
      </c>
      <c r="AV378" s="31">
        <f t="shared" si="105"/>
        <v>32.55236790779193</v>
      </c>
      <c r="AW378" s="31">
        <f t="shared" si="98"/>
        <v>0</v>
      </c>
      <c r="AX378" s="9">
        <f t="shared" si="106"/>
        <v>0</v>
      </c>
      <c r="AY378" s="31">
        <f t="shared" si="86"/>
        <v>0</v>
      </c>
      <c r="AZ378" s="31">
        <f t="shared" si="78"/>
        <v>0</v>
      </c>
      <c r="BA378" s="31">
        <f t="shared" si="99"/>
        <v>0</v>
      </c>
      <c r="BB378" s="31">
        <f t="shared" si="79"/>
        <v>0.7120830479829485</v>
      </c>
      <c r="BC378" s="31">
        <f t="shared" si="87"/>
        <v>0</v>
      </c>
      <c r="BE378" s="31">
        <f t="shared" si="88"/>
        <v>32.55236790779193</v>
      </c>
    </row>
    <row r="379" spans="1:57" s="31" customFormat="1" ht="18" customHeight="1">
      <c r="A379" s="141"/>
      <c r="B379" s="50"/>
      <c r="C379" s="137" t="s">
        <v>252</v>
      </c>
      <c r="D379" s="148">
        <f>m</f>
        <v>1.5</v>
      </c>
      <c r="E379" s="39"/>
      <c r="F379" s="145" t="s">
        <v>322</v>
      </c>
      <c r="G379" s="138">
        <f>λ</f>
        <v>3</v>
      </c>
      <c r="H379" s="32" t="s">
        <v>251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AB379" s="31">
        <f t="shared" si="80"/>
        <v>0.6803310819820151</v>
      </c>
      <c r="AC379" s="31">
        <f t="shared" si="92"/>
        <v>79</v>
      </c>
      <c r="AD379" s="9">
        <f t="shared" si="103"/>
        <v>23.090339963252937</v>
      </c>
      <c r="AE379" s="9">
        <f t="shared" si="82"/>
        <v>0</v>
      </c>
      <c r="AF379" s="31">
        <f t="shared" si="93"/>
        <v>79</v>
      </c>
      <c r="AG379" s="31">
        <f t="shared" si="51"/>
        <v>1.3788101090755203</v>
      </c>
      <c r="AH379" s="9">
        <f t="shared" si="102"/>
        <v>31.100849462034972</v>
      </c>
      <c r="AI379" s="9">
        <f t="shared" si="91"/>
        <v>0.6803310819820151</v>
      </c>
      <c r="AJ379" s="31">
        <f t="shared" si="52"/>
        <v>-3.7196689180179847</v>
      </c>
      <c r="AK379" s="31">
        <f t="shared" si="41"/>
        <v>3</v>
      </c>
      <c r="AL379" s="31">
        <f t="shared" si="76"/>
        <v>3.15</v>
      </c>
      <c r="AM379" s="31">
        <f t="shared" si="94"/>
        <v>-2.9309082997425477</v>
      </c>
      <c r="AN379" s="131">
        <f t="shared" si="104"/>
        <v>0</v>
      </c>
      <c r="AO379" s="31">
        <f t="shared" si="77"/>
        <v>-3.588739937828333</v>
      </c>
      <c r="AP379" s="31">
        <f t="shared" si="95"/>
        <v>0.7775212365508744</v>
      </c>
      <c r="AQ379" s="9">
        <f t="shared" si="100"/>
        <v>0</v>
      </c>
      <c r="AR379" s="31">
        <f t="shared" si="96"/>
        <v>-2.2448407604873535</v>
      </c>
      <c r="AS379" s="31">
        <f t="shared" si="101"/>
        <v>-18.462466459427777</v>
      </c>
      <c r="AT379" s="154">
        <f t="shared" si="58"/>
        <v>22.462466459427777</v>
      </c>
      <c r="AU379" s="31">
        <f t="shared" si="97"/>
        <v>0</v>
      </c>
      <c r="AV379" s="31">
        <f t="shared" si="105"/>
        <v>31.100849462034972</v>
      </c>
      <c r="AW379" s="31">
        <f t="shared" si="98"/>
        <v>0</v>
      </c>
      <c r="AX379" s="9">
        <f t="shared" si="106"/>
        <v>0</v>
      </c>
      <c r="AY379" s="31">
        <f t="shared" si="86"/>
        <v>0</v>
      </c>
      <c r="AZ379" s="31">
        <f t="shared" si="78"/>
        <v>0</v>
      </c>
      <c r="BA379" s="31">
        <f t="shared" si="99"/>
        <v>0</v>
      </c>
      <c r="BB379" s="31">
        <f t="shared" si="79"/>
        <v>0.6803310819820151</v>
      </c>
      <c r="BC379" s="31">
        <f t="shared" si="87"/>
        <v>0</v>
      </c>
      <c r="BE379" s="31">
        <f t="shared" si="88"/>
        <v>31.100849462034972</v>
      </c>
    </row>
    <row r="380" spans="1:57" s="31" customFormat="1" ht="18" customHeight="1">
      <c r="A380" s="141"/>
      <c r="B380" s="50"/>
      <c r="C380" s="137" t="s">
        <v>323</v>
      </c>
      <c r="D380" s="148">
        <f>Df</f>
        <v>0.5</v>
      </c>
      <c r="E380" s="39" t="s">
        <v>251</v>
      </c>
      <c r="F380" s="145" t="s">
        <v>324</v>
      </c>
      <c r="G380" s="96">
        <f>γs</f>
        <v>20</v>
      </c>
      <c r="H380" s="32" t="s">
        <v>325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9"/>
      <c r="S380" s="39"/>
      <c r="T380" s="9"/>
      <c r="U380" s="9"/>
      <c r="V380" s="9"/>
      <c r="W380" s="9"/>
      <c r="X380" s="9"/>
      <c r="AB380" s="31">
        <f t="shared" si="80"/>
        <v>0.6486866572603703</v>
      </c>
      <c r="AC380" s="31">
        <f t="shared" si="92"/>
        <v>79.5</v>
      </c>
      <c r="AD380" s="9">
        <f t="shared" si="103"/>
        <v>22.288662885174283</v>
      </c>
      <c r="AE380" s="9">
        <f t="shared" si="82"/>
        <v>0</v>
      </c>
      <c r="AF380" s="31">
        <f t="shared" si="93"/>
        <v>79.5</v>
      </c>
      <c r="AG380" s="31">
        <f t="shared" si="51"/>
        <v>1.387536755335492</v>
      </c>
      <c r="AH380" s="9">
        <f t="shared" si="102"/>
        <v>29.6542471890455</v>
      </c>
      <c r="AI380" s="9">
        <f t="shared" si="91"/>
        <v>0.6486866572603703</v>
      </c>
      <c r="AJ380" s="31">
        <f t="shared" si="52"/>
        <v>-3.7513133427396297</v>
      </c>
      <c r="AK380" s="31">
        <f t="shared" si="41"/>
        <v>3</v>
      </c>
      <c r="AL380" s="31">
        <f t="shared" si="76"/>
        <v>3.15</v>
      </c>
      <c r="AM380" s="31">
        <f t="shared" si="94"/>
        <v>-2.980635252876561</v>
      </c>
      <c r="AN380" s="131">
        <f t="shared" si="104"/>
        <v>0</v>
      </c>
      <c r="AO380" s="31">
        <f t="shared" si="77"/>
        <v>-3.1519983188757554</v>
      </c>
      <c r="AP380" s="31">
        <f t="shared" si="95"/>
        <v>0.7413561797261374</v>
      </c>
      <c r="AQ380" s="9">
        <f t="shared" si="100"/>
        <v>0</v>
      </c>
      <c r="AR380" s="31">
        <f t="shared" si="96"/>
        <v>-2.267227334458513</v>
      </c>
      <c r="AS380" s="31">
        <f t="shared" si="101"/>
        <v>-17.006661062919186</v>
      </c>
      <c r="AT380" s="154">
        <f t="shared" si="58"/>
        <v>21.006661062919186</v>
      </c>
      <c r="AU380" s="31">
        <f t="shared" si="97"/>
        <v>0</v>
      </c>
      <c r="AV380" s="31">
        <f t="shared" si="105"/>
        <v>29.6542471890455</v>
      </c>
      <c r="AW380" s="31">
        <f t="shared" si="98"/>
        <v>0</v>
      </c>
      <c r="AX380" s="9">
        <f t="shared" si="106"/>
        <v>0</v>
      </c>
      <c r="AY380" s="31">
        <f t="shared" si="86"/>
        <v>0</v>
      </c>
      <c r="AZ380" s="31">
        <f t="shared" si="78"/>
        <v>0</v>
      </c>
      <c r="BA380" s="31">
        <f t="shared" si="99"/>
        <v>0</v>
      </c>
      <c r="BB380" s="31">
        <f t="shared" si="79"/>
        <v>0.6486866572603703</v>
      </c>
      <c r="BC380" s="31">
        <f t="shared" si="87"/>
        <v>0</v>
      </c>
      <c r="BE380" s="31">
        <f t="shared" si="88"/>
        <v>29.6542471890455</v>
      </c>
    </row>
    <row r="381" spans="1:57" s="31" customFormat="1" ht="18" customHeight="1">
      <c r="A381" s="141"/>
      <c r="B381" s="50"/>
      <c r="C381" s="137" t="s">
        <v>326</v>
      </c>
      <c r="D381" s="148">
        <f>'入力'!D8</f>
        <v>10</v>
      </c>
      <c r="E381" s="39" t="s">
        <v>321</v>
      </c>
      <c r="F381" s="146" t="s">
        <v>327</v>
      </c>
      <c r="G381" s="157">
        <f>φ*180/PI()</f>
        <v>35</v>
      </c>
      <c r="H381" s="143" t="s">
        <v>270</v>
      </c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2"/>
      <c r="U381" s="32"/>
      <c r="V381" s="32"/>
      <c r="W381" s="32"/>
      <c r="X381" s="32"/>
      <c r="AB381" s="31">
        <f t="shared" si="80"/>
        <v>0.6171444324796277</v>
      </c>
      <c r="AC381" s="31">
        <f t="shared" si="92"/>
        <v>80</v>
      </c>
      <c r="AD381" s="9">
        <f t="shared" si="103"/>
        <v>21.465727386548586</v>
      </c>
      <c r="AE381" s="9">
        <f t="shared" si="82"/>
        <v>0</v>
      </c>
      <c r="AF381" s="31">
        <f t="shared" si="93"/>
        <v>80</v>
      </c>
      <c r="AG381" s="31">
        <f t="shared" si="51"/>
        <v>1.3962634015954636</v>
      </c>
      <c r="AH381" s="9">
        <f t="shared" si="102"/>
        <v>28.21231691335441</v>
      </c>
      <c r="AI381" s="9">
        <f t="shared" si="91"/>
        <v>0.6171444324796277</v>
      </c>
      <c r="AJ381" s="31">
        <f t="shared" si="52"/>
        <v>-3.782855567520372</v>
      </c>
      <c r="AK381" s="31">
        <f t="shared" si="41"/>
        <v>3</v>
      </c>
      <c r="AL381" s="31">
        <f t="shared" si="76"/>
        <v>3.15</v>
      </c>
      <c r="AM381" s="31">
        <f t="shared" si="94"/>
        <v>-3.030201606103442</v>
      </c>
      <c r="AN381" s="131">
        <f t="shared" si="104"/>
        <v>0</v>
      </c>
      <c r="AO381" s="31">
        <f t="shared" si="77"/>
        <v>-2.7802152349088938</v>
      </c>
      <c r="AP381" s="31">
        <f t="shared" si="95"/>
        <v>0.7053079228338602</v>
      </c>
      <c r="AQ381" s="9">
        <f t="shared" si="100"/>
        <v>0</v>
      </c>
      <c r="AR381" s="31">
        <f t="shared" si="96"/>
        <v>-2.289237267769714</v>
      </c>
      <c r="AS381" s="31">
        <f t="shared" si="101"/>
        <v>-15.76738411636298</v>
      </c>
      <c r="AT381" s="154">
        <f t="shared" si="58"/>
        <v>19.76738411636298</v>
      </c>
      <c r="AU381" s="31">
        <f t="shared" si="97"/>
        <v>0</v>
      </c>
      <c r="AV381" s="31">
        <f t="shared" si="105"/>
        <v>28.21231691335441</v>
      </c>
      <c r="AW381" s="31">
        <f t="shared" si="98"/>
        <v>0</v>
      </c>
      <c r="AX381" s="9">
        <f t="shared" si="106"/>
        <v>0</v>
      </c>
      <c r="AY381" s="31">
        <f t="shared" si="86"/>
        <v>0</v>
      </c>
      <c r="AZ381" s="31">
        <f t="shared" si="78"/>
        <v>0</v>
      </c>
      <c r="BA381" s="31">
        <f t="shared" si="99"/>
        <v>0</v>
      </c>
      <c r="BB381" s="31">
        <f t="shared" si="79"/>
        <v>0.6171444324796277</v>
      </c>
      <c r="BC381" s="31">
        <f t="shared" si="87"/>
        <v>0</v>
      </c>
      <c r="BE381" s="31">
        <f t="shared" si="88"/>
        <v>28.21231691335441</v>
      </c>
    </row>
    <row r="382" spans="1:57" s="31" customFormat="1" ht="18" customHeight="1">
      <c r="A382" s="141"/>
      <c r="B382" s="148"/>
      <c r="C382" s="156" t="s">
        <v>328</v>
      </c>
      <c r="D382" s="50">
        <f>C159</f>
        <v>41.4</v>
      </c>
      <c r="E382" s="32" t="s">
        <v>98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9"/>
      <c r="S382" s="39"/>
      <c r="T382" s="39"/>
      <c r="U382" s="39"/>
      <c r="V382" s="39"/>
      <c r="W382" s="39"/>
      <c r="X382" s="39"/>
      <c r="AB382" s="31">
        <f t="shared" si="80"/>
        <v>0.585699131784969</v>
      </c>
      <c r="AC382" s="31">
        <f t="shared" si="92"/>
        <v>80.5</v>
      </c>
      <c r="AD382" s="9">
        <f t="shared" si="103"/>
        <v>20.6212630322741</v>
      </c>
      <c r="AE382" s="9">
        <f t="shared" si="82"/>
        <v>0</v>
      </c>
      <c r="AF382" s="31">
        <f t="shared" si="93"/>
        <v>80.5</v>
      </c>
      <c r="AG382" s="31">
        <f t="shared" si="51"/>
        <v>1.4049900478554351</v>
      </c>
      <c r="AH382" s="9">
        <f t="shared" si="102"/>
        <v>26.774817453027158</v>
      </c>
      <c r="AI382" s="9">
        <f t="shared" si="91"/>
        <v>0.585699131784969</v>
      </c>
      <c r="AJ382" s="31">
        <f t="shared" si="52"/>
        <v>-3.814300868215031</v>
      </c>
      <c r="AK382" s="31">
        <f t="shared" si="41"/>
        <v>3</v>
      </c>
      <c r="AL382" s="31">
        <f t="shared" si="76"/>
        <v>3.15</v>
      </c>
      <c r="AM382" s="31">
        <f t="shared" si="94"/>
        <v>-3.079615650052191</v>
      </c>
      <c r="AN382" s="131">
        <f t="shared" si="104"/>
        <v>0</v>
      </c>
      <c r="AO382" s="31">
        <f t="shared" si="77"/>
        <v>-2.459856065683135</v>
      </c>
      <c r="AP382" s="31">
        <f t="shared" si="95"/>
        <v>0.6693704363256789</v>
      </c>
      <c r="AQ382" s="9">
        <f t="shared" si="100"/>
        <v>0</v>
      </c>
      <c r="AR382" s="31">
        <f t="shared" si="96"/>
        <v>-2.310883255545117</v>
      </c>
      <c r="AS382" s="31">
        <f t="shared" si="101"/>
        <v>-14.699520218943785</v>
      </c>
      <c r="AT382" s="154">
        <f t="shared" si="58"/>
        <v>18.699520218943785</v>
      </c>
      <c r="AU382" s="31">
        <f t="shared" si="97"/>
        <v>0</v>
      </c>
      <c r="AV382" s="31">
        <f t="shared" si="105"/>
        <v>26.774817453027158</v>
      </c>
      <c r="AW382" s="31">
        <f t="shared" si="98"/>
        <v>0</v>
      </c>
      <c r="AX382" s="9">
        <f t="shared" si="106"/>
        <v>0</v>
      </c>
      <c r="AY382" s="31">
        <f t="shared" si="86"/>
        <v>0</v>
      </c>
      <c r="AZ382" s="31">
        <f t="shared" si="78"/>
        <v>0</v>
      </c>
      <c r="BA382" s="31">
        <f t="shared" si="99"/>
        <v>0</v>
      </c>
      <c r="BB382" s="31">
        <f t="shared" si="79"/>
        <v>0.585699131784969</v>
      </c>
      <c r="BC382" s="31">
        <f t="shared" si="87"/>
        <v>0</v>
      </c>
      <c r="BE382" s="31">
        <f t="shared" si="88"/>
        <v>26.774817453027158</v>
      </c>
    </row>
    <row r="383" spans="1:57" s="31" customFormat="1" ht="18" customHeight="1">
      <c r="A383" s="141"/>
      <c r="B383" s="144" t="s">
        <v>253</v>
      </c>
      <c r="C383" s="33"/>
      <c r="D383" s="5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9"/>
      <c r="S383" s="39"/>
      <c r="T383" s="39"/>
      <c r="U383" s="39"/>
      <c r="V383" s="39"/>
      <c r="W383" s="39"/>
      <c r="X383" s="39"/>
      <c r="AB383" s="31">
        <f t="shared" si="80"/>
        <v>0.5543455411358772</v>
      </c>
      <c r="AC383" s="31">
        <f t="shared" si="92"/>
        <v>81</v>
      </c>
      <c r="AD383" s="9">
        <f t="shared" si="103"/>
        <v>19.75498372335838</v>
      </c>
      <c r="AE383" s="9">
        <f t="shared" si="82"/>
        <v>0</v>
      </c>
      <c r="AF383" s="31">
        <f t="shared" si="93"/>
        <v>81</v>
      </c>
      <c r="AG383" s="31">
        <f t="shared" si="51"/>
        <v>1.413716694115407</v>
      </c>
      <c r="AH383" s="9">
        <f t="shared" si="102"/>
        <v>25.341510451925814</v>
      </c>
      <c r="AI383" s="9">
        <f t="shared" si="91"/>
        <v>0.5543455411358772</v>
      </c>
      <c r="AJ383" s="31">
        <f t="shared" si="52"/>
        <v>-3.845654458864123</v>
      </c>
      <c r="AK383" s="31">
        <f t="shared" si="41"/>
        <v>3</v>
      </c>
      <c r="AL383" s="31">
        <f t="shared" si="76"/>
        <v>3.15</v>
      </c>
      <c r="AM383" s="31">
        <f t="shared" si="94"/>
        <v>-3.1288855782150504</v>
      </c>
      <c r="AN383" s="131">
        <f>IF(AR383&lt;Ho,0,AM383+(1/TAN(AG383)-1/TAN(β))*Ho)</f>
        <v>0</v>
      </c>
      <c r="AO383" s="31">
        <f t="shared" si="77"/>
        <v>-2.1809020092186757</v>
      </c>
      <c r="AP383" s="31">
        <f t="shared" si="95"/>
        <v>0.6335377612981453</v>
      </c>
      <c r="AQ383" s="9">
        <f t="shared" si="100"/>
        <v>0</v>
      </c>
      <c r="AR383" s="31">
        <f t="shared" si="96"/>
        <v>-2.3321774674198967</v>
      </c>
      <c r="AS383" s="31">
        <f>SIN(θu-ω2)*SIN(AG383)/COS(ω2)/SIN(θu-AG383)*λ</f>
        <v>-13.769673364062253</v>
      </c>
      <c r="AT383" s="154">
        <f t="shared" si="58"/>
        <v>17.769673364062253</v>
      </c>
      <c r="AU383" s="31">
        <f t="shared" si="97"/>
        <v>0</v>
      </c>
      <c r="AV383" s="31">
        <f t="shared" si="105"/>
        <v>25.341510451925814</v>
      </c>
      <c r="AW383" s="31">
        <f t="shared" si="98"/>
        <v>0</v>
      </c>
      <c r="AX383" s="9">
        <f t="shared" si="106"/>
        <v>0</v>
      </c>
      <c r="AY383" s="31">
        <f t="shared" si="86"/>
        <v>0</v>
      </c>
      <c r="AZ383" s="31">
        <f t="shared" si="78"/>
        <v>0</v>
      </c>
      <c r="BA383" s="31">
        <f t="shared" si="99"/>
        <v>0</v>
      </c>
      <c r="BB383" s="31">
        <f t="shared" si="79"/>
        <v>0.5543455411358772</v>
      </c>
      <c r="BC383" s="31">
        <f t="shared" si="87"/>
        <v>0</v>
      </c>
      <c r="BE383" s="31">
        <f t="shared" si="88"/>
        <v>25.341510451925814</v>
      </c>
    </row>
    <row r="384" spans="1:57" s="31" customFormat="1" ht="18" customHeight="1">
      <c r="A384" s="123"/>
      <c r="B384" s="9"/>
      <c r="C384" s="62" t="s">
        <v>329</v>
      </c>
      <c r="D384" s="63" t="s">
        <v>24</v>
      </c>
      <c r="E384" s="63" t="s">
        <v>330</v>
      </c>
      <c r="F384" s="63" t="s">
        <v>331</v>
      </c>
      <c r="G384" s="8" t="s">
        <v>332</v>
      </c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AB384" s="31">
        <f t="shared" si="80"/>
        <v>0.5230785047219478</v>
      </c>
      <c r="AC384" s="31">
        <f t="shared" si="92"/>
        <v>81.5</v>
      </c>
      <c r="AD384" s="9">
        <f t="shared" si="103"/>
        <v>18.86658733549304</v>
      </c>
      <c r="AE384" s="9">
        <f t="shared" si="82"/>
        <v>0</v>
      </c>
      <c r="AF384" s="31">
        <f t="shared" si="93"/>
        <v>81.5</v>
      </c>
      <c r="AG384" s="31">
        <f t="shared" si="51"/>
        <v>1.4224433403753785</v>
      </c>
      <c r="AH384" s="9">
        <f t="shared" si="102"/>
        <v>23.91216021586047</v>
      </c>
      <c r="AI384" s="9">
        <f t="shared" si="91"/>
        <v>0.5230785047219478</v>
      </c>
      <c r="AJ384" s="31">
        <f t="shared" si="52"/>
        <v>-3.876921495278052</v>
      </c>
      <c r="AK384" s="31">
        <f t="shared" si="41"/>
        <v>3</v>
      </c>
      <c r="AL384" s="31">
        <f t="shared" si="76"/>
        <v>3.15</v>
      </c>
      <c r="AM384" s="31">
        <f t="shared" si="94"/>
        <v>-3.1780194925797964</v>
      </c>
      <c r="AN384" s="131">
        <f aca="true" t="shared" si="107" ref="AN384:AN394">IF(AR384&lt;Ho,0,AM384+(1/TAN(AG384)-1/TAN(β))*Ho)</f>
        <v>0</v>
      </c>
      <c r="AO384" s="31">
        <f t="shared" si="77"/>
        <v>-1.935778087150442</v>
      </c>
      <c r="AP384" s="31">
        <f t="shared" si="95"/>
        <v>0.5978040053965118</v>
      </c>
      <c r="AQ384" s="9">
        <f t="shared" si="100"/>
        <v>0</v>
      </c>
      <c r="AR384" s="31">
        <f t="shared" si="96"/>
        <v>-2.353131575199768</v>
      </c>
      <c r="AS384" s="31">
        <f aca="true" t="shared" si="108" ref="AS384:AS400">SIN(θu-ω2)*SIN(AG384)/COS(ω2)/SIN(θu-AG384)*λ</f>
        <v>-12.95259362383481</v>
      </c>
      <c r="AT384" s="154">
        <f t="shared" si="58"/>
        <v>16.952593623834808</v>
      </c>
      <c r="AU384" s="31">
        <f t="shared" si="97"/>
        <v>0</v>
      </c>
      <c r="AV384" s="31">
        <f t="shared" si="105"/>
        <v>23.91216021586047</v>
      </c>
      <c r="AW384" s="31">
        <f t="shared" si="98"/>
        <v>0</v>
      </c>
      <c r="AX384" s="9">
        <f t="shared" si="106"/>
        <v>0</v>
      </c>
      <c r="AY384" s="31">
        <f t="shared" si="86"/>
        <v>0</v>
      </c>
      <c r="AZ384" s="31">
        <f t="shared" si="78"/>
        <v>0</v>
      </c>
      <c r="BA384" s="31">
        <f t="shared" si="99"/>
        <v>0</v>
      </c>
      <c r="BB384" s="31">
        <f t="shared" si="79"/>
        <v>0.5230785047219478</v>
      </c>
      <c r="BC384" s="31">
        <f t="shared" si="87"/>
        <v>0</v>
      </c>
      <c r="BE384" s="31">
        <f t="shared" si="88"/>
        <v>23.91216021586047</v>
      </c>
    </row>
    <row r="385" spans="1:57" s="31" customFormat="1" ht="18" customHeight="1">
      <c r="A385" s="123"/>
      <c r="C385" s="159">
        <f>$AF$402-4</f>
        <v>55</v>
      </c>
      <c r="D385" s="160">
        <f aca="true" t="shared" si="109" ref="D385:D401">VLOOKUP($C385,$AC$291:$BA$400,6,FALSE)</f>
        <v>112.03320611355358</v>
      </c>
      <c r="E385" s="160">
        <f aca="true" t="shared" si="110" ref="E385:E401">VLOOKUP($C385,$AC$291:$BA$400,24,FALSE)</f>
        <v>0</v>
      </c>
      <c r="F385" s="160">
        <f aca="true" t="shared" si="111" ref="F385:F401">VLOOKUP($C385,$AC$291:$BA$400,25,FALSE)</f>
        <v>0</v>
      </c>
      <c r="G385" s="161">
        <f aca="true" t="shared" si="112" ref="G385:G401">VLOOKUP($C385,$AC$291:$BA$400,2,FALSE)</f>
        <v>38.382550412635034</v>
      </c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AB385" s="31">
        <f t="shared" si="80"/>
        <v>0.491892921458371</v>
      </c>
      <c r="AC385" s="31">
        <f t="shared" si="92"/>
        <v>82</v>
      </c>
      <c r="AD385" s="9">
        <f t="shared" si="103"/>
        <v>17.95575533108471</v>
      </c>
      <c r="AE385" s="9">
        <f t="shared" si="82"/>
        <v>0</v>
      </c>
      <c r="AF385" s="31">
        <f t="shared" si="93"/>
        <v>82</v>
      </c>
      <c r="AG385" s="31">
        <f t="shared" si="51"/>
        <v>1.43116998663535</v>
      </c>
      <c r="AH385" s="9">
        <f t="shared" si="102"/>
        <v>22.486533552382674</v>
      </c>
      <c r="AI385" s="9">
        <f>($AE$280-$AE$282)/TAN(AG385)</f>
        <v>0.491892921458371</v>
      </c>
      <c r="AJ385" s="31">
        <f t="shared" si="52"/>
        <v>-3.908107078541629</v>
      </c>
      <c r="AK385" s="31">
        <f t="shared" si="41"/>
        <v>3</v>
      </c>
      <c r="AL385" s="31">
        <f t="shared" si="76"/>
        <v>3.15</v>
      </c>
      <c r="AM385" s="31">
        <f t="shared" si="94"/>
        <v>-3.2270254091368455</v>
      </c>
      <c r="AN385" s="131">
        <f t="shared" si="107"/>
        <v>0</v>
      </c>
      <c r="AO385" s="31">
        <f t="shared" si="77"/>
        <v>-1.7186508355175394</v>
      </c>
      <c r="AP385" s="31">
        <f t="shared" si="95"/>
        <v>0.5621633388095668</v>
      </c>
      <c r="AQ385" s="9">
        <f t="shared" si="100"/>
        <v>0</v>
      </c>
      <c r="AR385" s="31">
        <f t="shared" si="96"/>
        <v>-2.373756778807251</v>
      </c>
      <c r="AS385" s="31">
        <f t="shared" si="108"/>
        <v>-12.228836118391799</v>
      </c>
      <c r="AT385" s="154">
        <f t="shared" si="58"/>
        <v>16.228836118391797</v>
      </c>
      <c r="AU385" s="31">
        <f t="shared" si="97"/>
        <v>0</v>
      </c>
      <c r="AV385" s="31">
        <f>IF(AG385&gt;=ω3,0.5*$AE$280*AP385*γs+AP385*$AE$289,IF(AG385&gt;ω2,0.5*AO385*AS385*γs,0.5*(Hl-Df)^2*(TAN(αl)+1/TAN(AG385))*γs))</f>
        <v>22.486533552382674</v>
      </c>
      <c r="AW385" s="31">
        <f t="shared" si="98"/>
        <v>0</v>
      </c>
      <c r="AX385" s="9">
        <f t="shared" si="106"/>
        <v>0</v>
      </c>
      <c r="AY385" s="31">
        <f t="shared" si="86"/>
        <v>0</v>
      </c>
      <c r="AZ385" s="31">
        <f t="shared" si="78"/>
        <v>0</v>
      </c>
      <c r="BA385" s="31">
        <f t="shared" si="99"/>
        <v>0</v>
      </c>
      <c r="BB385" s="31">
        <f t="shared" si="79"/>
        <v>0.491892921458371</v>
      </c>
      <c r="BC385" s="31">
        <f t="shared" si="87"/>
        <v>0</v>
      </c>
      <c r="BE385" s="31">
        <f t="shared" si="88"/>
        <v>22.486533552382674</v>
      </c>
    </row>
    <row r="386" spans="1:57" s="31" customFormat="1" ht="18" customHeight="1">
      <c r="A386" s="123"/>
      <c r="C386" s="159">
        <f>C385+0.5</f>
        <v>55.5</v>
      </c>
      <c r="D386" s="160">
        <f t="shared" si="109"/>
        <v>109.96495337625811</v>
      </c>
      <c r="E386" s="160">
        <f t="shared" si="110"/>
        <v>0</v>
      </c>
      <c r="F386" s="160">
        <f t="shared" si="111"/>
        <v>0</v>
      </c>
      <c r="G386" s="161">
        <f t="shared" si="112"/>
        <v>38.55767323117578</v>
      </c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AB386" s="31">
        <f t="shared" si="80"/>
        <v>0.460783741555886</v>
      </c>
      <c r="AC386" s="31">
        <f t="shared" si="92"/>
        <v>82.5</v>
      </c>
      <c r="AD386" s="9">
        <f t="shared" si="103"/>
        <v>17.02215234374555</v>
      </c>
      <c r="AE386" s="9">
        <f t="shared" si="82"/>
        <v>0</v>
      </c>
      <c r="AF386" s="31">
        <f t="shared" si="93"/>
        <v>82.5</v>
      </c>
      <c r="AG386" s="31">
        <f t="shared" si="51"/>
        <v>1.4398966328953218</v>
      </c>
      <c r="AH386" s="9">
        <f t="shared" si="102"/>
        <v>21.064399613983362</v>
      </c>
      <c r="AI386" s="9">
        <f aca="true" t="shared" si="113" ref="AI386:AI400">($AE$280-$AE$282)/TAN(AG386)</f>
        <v>0.460783741555886</v>
      </c>
      <c r="AJ386" s="31">
        <f t="shared" si="52"/>
        <v>-3.9392162584441137</v>
      </c>
      <c r="AK386" s="31">
        <f t="shared" si="41"/>
        <v>3</v>
      </c>
      <c r="AL386" s="31">
        <f t="shared" si="76"/>
        <v>3.15</v>
      </c>
      <c r="AM386" s="31">
        <f t="shared" si="94"/>
        <v>-3.2759112632693217</v>
      </c>
      <c r="AN386" s="131">
        <f t="shared" si="107"/>
        <v>0</v>
      </c>
      <c r="AO386" s="31">
        <f t="shared" si="77"/>
        <v>-1.5249550282380775</v>
      </c>
      <c r="AP386" s="31">
        <f t="shared" si="95"/>
        <v>0.526609990349584</v>
      </c>
      <c r="AQ386" s="9">
        <f t="shared" si="100"/>
        <v>0</v>
      </c>
      <c r="AR386" s="31">
        <f t="shared" si="96"/>
        <v>-2.394063830637607</v>
      </c>
      <c r="AS386" s="31">
        <f t="shared" si="108"/>
        <v>-11.583183427460257</v>
      </c>
      <c r="AT386" s="154">
        <f t="shared" si="58"/>
        <v>15.583183427460257</v>
      </c>
      <c r="AU386" s="31">
        <f t="shared" si="97"/>
        <v>0</v>
      </c>
      <c r="AV386" s="31">
        <f t="shared" si="105"/>
        <v>21.064399613983362</v>
      </c>
      <c r="AW386" s="31">
        <f t="shared" si="98"/>
        <v>0</v>
      </c>
      <c r="AX386" s="9">
        <f t="shared" si="106"/>
        <v>0</v>
      </c>
      <c r="AY386" s="31">
        <f t="shared" si="86"/>
        <v>0</v>
      </c>
      <c r="AZ386" s="31">
        <f t="shared" si="78"/>
        <v>0</v>
      </c>
      <c r="BA386" s="31">
        <f t="shared" si="99"/>
        <v>0</v>
      </c>
      <c r="BB386" s="31">
        <f t="shared" si="79"/>
        <v>0.460783741555886</v>
      </c>
      <c r="BC386" s="31">
        <f t="shared" si="87"/>
        <v>0</v>
      </c>
      <c r="BE386" s="31">
        <f t="shared" si="88"/>
        <v>21.064399613983362</v>
      </c>
    </row>
    <row r="387" spans="1:57" s="31" customFormat="1" ht="18" customHeight="1">
      <c r="A387" s="123"/>
      <c r="C387" s="159">
        <f aca="true" t="shared" si="114" ref="C387:C401">C386+0.5</f>
        <v>56</v>
      </c>
      <c r="D387" s="160">
        <f t="shared" si="109"/>
        <v>107.92136269478826</v>
      </c>
      <c r="E387" s="160">
        <f t="shared" si="110"/>
        <v>0</v>
      </c>
      <c r="F387" s="160">
        <f t="shared" si="111"/>
        <v>0</v>
      </c>
      <c r="G387" s="161">
        <f t="shared" si="112"/>
        <v>38.7076508147103</v>
      </c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AB387" s="31">
        <f t="shared" si="80"/>
        <v>0.4297459631601661</v>
      </c>
      <c r="AC387" s="31">
        <f t="shared" si="92"/>
        <v>83</v>
      </c>
      <c r="AD387" s="9">
        <f t="shared" si="103"/>
        <v>16.065425734162584</v>
      </c>
      <c r="AE387" s="9">
        <f t="shared" si="82"/>
        <v>0</v>
      </c>
      <c r="AF387" s="31">
        <f t="shared" si="93"/>
        <v>83</v>
      </c>
      <c r="AG387" s="31">
        <f t="shared" si="51"/>
        <v>1.4486232791552935</v>
      </c>
      <c r="AH387" s="9">
        <f t="shared" si="102"/>
        <v>19.645529744464735</v>
      </c>
      <c r="AI387" s="9">
        <f t="shared" si="113"/>
        <v>0.4297459631601661</v>
      </c>
      <c r="AJ387" s="31">
        <f t="shared" si="52"/>
        <v>-3.9702540368398336</v>
      </c>
      <c r="AK387" s="31">
        <f t="shared" si="41"/>
        <v>3</v>
      </c>
      <c r="AL387" s="31">
        <f aca="true" t="shared" si="115" ref="AL387:AL400">AK387+($AH$281+$AH$278)*$AE$282</f>
        <v>3.15</v>
      </c>
      <c r="AM387" s="31">
        <f t="shared" si="94"/>
        <v>-3.324684915034024</v>
      </c>
      <c r="AN387" s="131">
        <f t="shared" si="107"/>
        <v>0</v>
      </c>
      <c r="AO387" s="31">
        <f aca="true" t="shared" si="116" ref="AO387:AO400">AL387-($AH$278+$AH$281)*AT387</f>
        <v>-1.3510667861702594</v>
      </c>
      <c r="AP387" s="31">
        <f t="shared" si="95"/>
        <v>0.4911382436116184</v>
      </c>
      <c r="AQ387" s="9">
        <f t="shared" si="100"/>
        <v>0</v>
      </c>
      <c r="AR387" s="31">
        <f t="shared" si="96"/>
        <v>-2.41406305843746</v>
      </c>
      <c r="AS387" s="31">
        <f t="shared" si="108"/>
        <v>-11.003555953900866</v>
      </c>
      <c r="AT387" s="154">
        <f t="shared" si="58"/>
        <v>15.003555953900866</v>
      </c>
      <c r="AU387" s="31">
        <f t="shared" si="97"/>
        <v>0</v>
      </c>
      <c r="AV387" s="31">
        <f t="shared" si="105"/>
        <v>19.645529744464735</v>
      </c>
      <c r="AW387" s="31">
        <f t="shared" si="98"/>
        <v>0</v>
      </c>
      <c r="AX387" s="9">
        <f t="shared" si="106"/>
        <v>0</v>
      </c>
      <c r="AY387" s="31">
        <f t="shared" si="86"/>
        <v>0</v>
      </c>
      <c r="AZ387" s="31">
        <f aca="true" t="shared" si="117" ref="AZ387:AZ400">IF(AG387&lt;=ω1,0,IF(AG387&gt;=ω2,0,IF(3*d&lt;=AQ387,$AL$284,0.5*($AL$279+AY387)*AQ387)))</f>
        <v>0</v>
      </c>
      <c r="BA387" s="31">
        <f t="shared" si="99"/>
        <v>0</v>
      </c>
      <c r="BB387" s="31">
        <f aca="true" t="shared" si="118" ref="BB387:BB400">AB387</f>
        <v>0.4297459631601661</v>
      </c>
      <c r="BC387" s="31">
        <f t="shared" si="87"/>
        <v>0</v>
      </c>
      <c r="BE387" s="31">
        <f t="shared" si="88"/>
        <v>19.645529744464735</v>
      </c>
    </row>
    <row r="388" spans="1:57" s="31" customFormat="1" ht="18" customHeight="1">
      <c r="A388" s="123"/>
      <c r="C388" s="159">
        <f t="shared" si="114"/>
        <v>56.5</v>
      </c>
      <c r="D388" s="160">
        <f t="shared" si="109"/>
        <v>105.90168979131066</v>
      </c>
      <c r="E388" s="160">
        <f t="shared" si="110"/>
        <v>0</v>
      </c>
      <c r="F388" s="160">
        <f t="shared" si="111"/>
        <v>0</v>
      </c>
      <c r="G388" s="161">
        <f t="shared" si="112"/>
        <v>38.83297715456599</v>
      </c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AB388" s="31">
        <f t="shared" si="80"/>
        <v>0.39877462905575883</v>
      </c>
      <c r="AC388" s="31">
        <f t="shared" si="92"/>
        <v>83.5</v>
      </c>
      <c r="AD388" s="9">
        <f>MAX(0,SIN(AG388-φ+AE388)/COS(AG388-φ-δu-αl)/COS(AE388)*(AH388))</f>
        <v>15.085205116176686</v>
      </c>
      <c r="AE388" s="9">
        <f t="shared" si="82"/>
        <v>0</v>
      </c>
      <c r="AF388" s="31">
        <f t="shared" si="93"/>
        <v>83.5</v>
      </c>
      <c r="AG388" s="31">
        <f t="shared" si="51"/>
        <v>1.4573499254152653</v>
      </c>
      <c r="AH388" s="9">
        <f t="shared" si="102"/>
        <v>18.22969732826326</v>
      </c>
      <c r="AI388" s="9">
        <f t="shared" si="113"/>
        <v>0.39877462905575883</v>
      </c>
      <c r="AJ388" s="31">
        <f t="shared" si="52"/>
        <v>-4.0012253709442405</v>
      </c>
      <c r="AK388" s="31">
        <f t="shared" si="41"/>
        <v>3</v>
      </c>
      <c r="AL388" s="31">
        <f t="shared" si="115"/>
        <v>3.15</v>
      </c>
      <c r="AM388" s="31">
        <f t="shared" si="94"/>
        <v>-3.3733541543409498</v>
      </c>
      <c r="AN388" s="131">
        <f t="shared" si="107"/>
        <v>0</v>
      </c>
      <c r="AO388" s="31">
        <f t="shared" si="116"/>
        <v>-1.1940728376894119</v>
      </c>
      <c r="AP388" s="31">
        <f t="shared" si="95"/>
        <v>0.45574243320658153</v>
      </c>
      <c r="AQ388" s="9">
        <f>MAX(0,(Hl-Df)/TAN(AG388)-λ)</f>
        <v>0</v>
      </c>
      <c r="AR388" s="31">
        <f t="shared" si="96"/>
        <v>-2.4337643868100196</v>
      </c>
      <c r="AS388" s="31">
        <f t="shared" si="108"/>
        <v>-10.480242792298041</v>
      </c>
      <c r="AT388" s="154">
        <f t="shared" si="58"/>
        <v>14.480242792298041</v>
      </c>
      <c r="AU388" s="31">
        <f t="shared" si="97"/>
        <v>0</v>
      </c>
      <c r="AV388" s="31">
        <f t="shared" si="105"/>
        <v>18.22969732826326</v>
      </c>
      <c r="AW388" s="31">
        <f t="shared" si="98"/>
        <v>0</v>
      </c>
      <c r="AX388" s="9">
        <f t="shared" si="106"/>
        <v>0</v>
      </c>
      <c r="AY388" s="31">
        <f t="shared" si="86"/>
        <v>0</v>
      </c>
      <c r="AZ388" s="31">
        <f t="shared" si="117"/>
        <v>0</v>
      </c>
      <c r="BA388" s="31">
        <f t="shared" si="99"/>
        <v>0</v>
      </c>
      <c r="BB388" s="31">
        <f t="shared" si="118"/>
        <v>0.39877462905575883</v>
      </c>
      <c r="BC388" s="31">
        <f t="shared" si="87"/>
        <v>0</v>
      </c>
      <c r="BE388" s="31">
        <f t="shared" si="88"/>
        <v>18.22969732826326</v>
      </c>
    </row>
    <row r="389" spans="1:57" s="31" customFormat="1" ht="18" customHeight="1">
      <c r="A389" s="123"/>
      <c r="C389" s="159">
        <f t="shared" si="114"/>
        <v>57</v>
      </c>
      <c r="D389" s="160">
        <f t="shared" si="109"/>
        <v>103.9052149116017</v>
      </c>
      <c r="E389" s="160">
        <f t="shared" si="110"/>
        <v>0</v>
      </c>
      <c r="F389" s="160">
        <f t="shared" si="111"/>
        <v>0</v>
      </c>
      <c r="G389" s="161">
        <f t="shared" si="112"/>
        <v>38.93412035268873</v>
      </c>
      <c r="I389" s="39"/>
      <c r="J389" s="39"/>
      <c r="K389" s="39"/>
      <c r="L389" s="39"/>
      <c r="M389" s="39"/>
      <c r="N389" s="39"/>
      <c r="O389" s="39"/>
      <c r="P389" s="39"/>
      <c r="Q389" s="39"/>
      <c r="R389" s="32"/>
      <c r="S389" s="32"/>
      <c r="T389" s="39"/>
      <c r="U389" s="39"/>
      <c r="V389" s="39"/>
      <c r="W389" s="39"/>
      <c r="X389" s="39"/>
      <c r="AB389" s="31">
        <f t="shared" si="80"/>
        <v>0.36786482342986754</v>
      </c>
      <c r="AC389" s="31">
        <f t="shared" si="92"/>
        <v>84</v>
      </c>
      <c r="AD389" s="9">
        <f aca="true" t="shared" si="119" ref="AD389:AD400">MAX(0,SIN(AG389-φ+AE389)/COS(AG389-φ-δu-αl)/COS(AE389)*(AH389))</f>
        <v>14.081101851808905</v>
      </c>
      <c r="AE389" s="9">
        <f t="shared" si="82"/>
        <v>0</v>
      </c>
      <c r="AF389" s="31">
        <f t="shared" si="93"/>
        <v>84</v>
      </c>
      <c r="AG389" s="31">
        <f t="shared" si="51"/>
        <v>1.4660765716752369</v>
      </c>
      <c r="AH389" s="9">
        <f t="shared" si="102"/>
        <v>16.816677642508232</v>
      </c>
      <c r="AI389" s="9">
        <f t="shared" si="113"/>
        <v>0.36786482342986754</v>
      </c>
      <c r="AJ389" s="31">
        <f t="shared" si="52"/>
        <v>-4.032135176570133</v>
      </c>
      <c r="AK389" s="31">
        <f t="shared" si="41"/>
        <v>3</v>
      </c>
      <c r="AL389" s="31">
        <f t="shared" si="115"/>
        <v>3.15</v>
      </c>
      <c r="AM389" s="31">
        <f t="shared" si="94"/>
        <v>-3.4219267060387804</v>
      </c>
      <c r="AN389" s="131">
        <f t="shared" si="107"/>
        <v>0</v>
      </c>
      <c r="AO389" s="31">
        <f t="shared" si="116"/>
        <v>-1.0516044771288677</v>
      </c>
      <c r="AP389" s="31">
        <f t="shared" si="95"/>
        <v>0.4204169410627058</v>
      </c>
      <c r="AQ389" s="9">
        <f>MAX(0,(Hl-Df)/TAN(AG389)-λ)</f>
        <v>0</v>
      </c>
      <c r="AR389" s="31">
        <f t="shared" si="96"/>
        <v>-2.4531773574425695</v>
      </c>
      <c r="AS389" s="31">
        <f t="shared" si="108"/>
        <v>-10.005348257096227</v>
      </c>
      <c r="AT389" s="154">
        <f t="shared" si="58"/>
        <v>14.005348257096227</v>
      </c>
      <c r="AU389" s="31">
        <f t="shared" si="97"/>
        <v>0</v>
      </c>
      <c r="AV389" s="31">
        <f t="shared" si="105"/>
        <v>16.816677642508232</v>
      </c>
      <c r="AW389" s="31">
        <f t="shared" si="98"/>
        <v>0</v>
      </c>
      <c r="AX389" s="9">
        <f t="shared" si="106"/>
        <v>0</v>
      </c>
      <c r="AY389" s="31">
        <f t="shared" si="86"/>
        <v>0</v>
      </c>
      <c r="AZ389" s="31">
        <f t="shared" si="117"/>
        <v>0</v>
      </c>
      <c r="BA389" s="31">
        <f t="shared" si="99"/>
        <v>0</v>
      </c>
      <c r="BB389" s="31">
        <f t="shared" si="118"/>
        <v>0.36786482342986754</v>
      </c>
      <c r="BC389" s="31">
        <f t="shared" si="87"/>
        <v>0</v>
      </c>
      <c r="BE389" s="31">
        <f t="shared" si="88"/>
        <v>16.816677642508232</v>
      </c>
    </row>
    <row r="390" spans="1:57" s="31" customFormat="1" ht="18" customHeight="1">
      <c r="A390" s="123"/>
      <c r="C390" s="159">
        <f t="shared" si="114"/>
        <v>57.5</v>
      </c>
      <c r="D390" s="160">
        <f t="shared" si="109"/>
        <v>101.93124172919892</v>
      </c>
      <c r="E390" s="160">
        <f t="shared" si="110"/>
        <v>0</v>
      </c>
      <c r="F390" s="160">
        <f t="shared" si="111"/>
        <v>0</v>
      </c>
      <c r="G390" s="161">
        <f t="shared" si="112"/>
        <v>39.01152362383981</v>
      </c>
      <c r="I390" s="39"/>
      <c r="J390" s="39"/>
      <c r="K390" s="39"/>
      <c r="L390" s="39"/>
      <c r="M390" s="39"/>
      <c r="N390" s="39"/>
      <c r="O390" s="39"/>
      <c r="P390" s="39"/>
      <c r="Q390" s="39"/>
      <c r="R390" s="32"/>
      <c r="S390" s="32"/>
      <c r="T390" s="39"/>
      <c r="U390" s="39"/>
      <c r="V390" s="39"/>
      <c r="W390" s="39"/>
      <c r="X390" s="39"/>
      <c r="AB390" s="31">
        <f t="shared" si="80"/>
        <v>0.33701166869138544</v>
      </c>
      <c r="AC390" s="31">
        <f t="shared" si="92"/>
        <v>84.5</v>
      </c>
      <c r="AD390" s="9">
        <f t="shared" si="119"/>
        <v>13.052708513872632</v>
      </c>
      <c r="AE390" s="9">
        <f t="shared" si="82"/>
        <v>0</v>
      </c>
      <c r="AF390" s="31">
        <f t="shared" si="93"/>
        <v>84.5</v>
      </c>
      <c r="AG390" s="31">
        <f t="shared" si="51"/>
        <v>1.4748032179352084</v>
      </c>
      <c r="AH390" s="9">
        <f t="shared" si="102"/>
        <v>15.406247711606191</v>
      </c>
      <c r="AI390" s="9">
        <f t="shared" si="113"/>
        <v>0.33701166869138544</v>
      </c>
      <c r="AJ390" s="31">
        <f t="shared" si="52"/>
        <v>-4.062988331308615</v>
      </c>
      <c r="AK390" s="31">
        <f t="shared" si="41"/>
        <v>3</v>
      </c>
      <c r="AL390" s="31">
        <f t="shared" si="115"/>
        <v>3.15</v>
      </c>
      <c r="AM390" s="31">
        <f t="shared" si="94"/>
        <v>-3.4704102349135377</v>
      </c>
      <c r="AN390" s="131">
        <f t="shared" si="107"/>
        <v>0</v>
      </c>
      <c r="AO390" s="31">
        <f t="shared" si="116"/>
        <v>-0.9217160016378254</v>
      </c>
      <c r="AP390" s="31">
        <f t="shared" si="95"/>
        <v>0.3851561927901548</v>
      </c>
      <c r="AQ390" s="9">
        <f aca="true" t="shared" si="120" ref="AQ390:AQ400">MAX(0,(Hl-Df)/TAN(AG390)-λ)</f>
        <v>0</v>
      </c>
      <c r="AR390" s="31">
        <f t="shared" si="96"/>
        <v>-2.472311148144347</v>
      </c>
      <c r="AS390" s="31">
        <f t="shared" si="108"/>
        <v>-9.572386672126086</v>
      </c>
      <c r="AT390" s="154">
        <f t="shared" si="58"/>
        <v>13.572386672126086</v>
      </c>
      <c r="AU390" s="31">
        <f t="shared" si="97"/>
        <v>0</v>
      </c>
      <c r="AV390" s="31">
        <f t="shared" si="105"/>
        <v>15.406247711606191</v>
      </c>
      <c r="AW390" s="31">
        <f t="shared" si="98"/>
        <v>0</v>
      </c>
      <c r="AX390" s="9">
        <f t="shared" si="106"/>
        <v>0</v>
      </c>
      <c r="AY390" s="31">
        <f t="shared" si="86"/>
        <v>0</v>
      </c>
      <c r="AZ390" s="31">
        <f t="shared" si="117"/>
        <v>0</v>
      </c>
      <c r="BA390" s="31">
        <f t="shared" si="99"/>
        <v>0</v>
      </c>
      <c r="BB390" s="31">
        <f t="shared" si="118"/>
        <v>0.33701166869138544</v>
      </c>
      <c r="BC390" s="31">
        <f t="shared" si="87"/>
        <v>0</v>
      </c>
      <c r="BE390" s="31">
        <f t="shared" si="88"/>
        <v>15.406247711606191</v>
      </c>
    </row>
    <row r="391" spans="1:57" s="31" customFormat="1" ht="18" customHeight="1">
      <c r="A391" s="123"/>
      <c r="C391" s="159">
        <f t="shared" si="114"/>
        <v>58</v>
      </c>
      <c r="D391" s="160">
        <f t="shared" si="109"/>
        <v>99.97909630549238</v>
      </c>
      <c r="E391" s="160">
        <f t="shared" si="110"/>
        <v>0</v>
      </c>
      <c r="F391" s="160">
        <f t="shared" si="111"/>
        <v>0</v>
      </c>
      <c r="G391" s="161">
        <f t="shared" si="112"/>
        <v>39.065606237594494</v>
      </c>
      <c r="I391" s="39"/>
      <c r="J391" s="39"/>
      <c r="K391" s="39"/>
      <c r="L391" s="39"/>
      <c r="M391" s="39"/>
      <c r="N391" s="39"/>
      <c r="O391" s="39"/>
      <c r="P391" s="39"/>
      <c r="Q391" s="39"/>
      <c r="R391" s="32"/>
      <c r="S391" s="32"/>
      <c r="T391" s="32"/>
      <c r="U391" s="32"/>
      <c r="V391" s="32"/>
      <c r="W391" s="32"/>
      <c r="X391" s="32"/>
      <c r="AB391" s="31">
        <f t="shared" si="80"/>
        <v>0.30621032234073386</v>
      </c>
      <c r="AC391" s="31">
        <f t="shared" si="92"/>
        <v>85</v>
      </c>
      <c r="AD391" s="9">
        <f t="shared" si="119"/>
        <v>11.999598314705242</v>
      </c>
      <c r="AE391" s="9">
        <f t="shared" si="82"/>
        <v>0</v>
      </c>
      <c r="AF391" s="31">
        <f t="shared" si="93"/>
        <v>85</v>
      </c>
      <c r="AG391" s="31">
        <f t="shared" si="51"/>
        <v>1.4835298641951802</v>
      </c>
      <c r="AH391" s="9">
        <f t="shared" si="102"/>
        <v>13.998186164147835</v>
      </c>
      <c r="AI391" s="9">
        <f t="shared" si="113"/>
        <v>0.30621032234073386</v>
      </c>
      <c r="AJ391" s="31">
        <f t="shared" si="52"/>
        <v>-4.093789677659267</v>
      </c>
      <c r="AK391" s="31">
        <f t="shared" si="41"/>
        <v>3</v>
      </c>
      <c r="AL391" s="31">
        <f t="shared" si="115"/>
        <v>3.15</v>
      </c>
      <c r="AM391" s="31">
        <f t="shared" si="94"/>
        <v>-3.5188123506074187</v>
      </c>
      <c r="AN391" s="131">
        <f t="shared" si="107"/>
        <v>0</v>
      </c>
      <c r="AO391" s="31">
        <f t="shared" si="116"/>
        <v>-0.8027943200873122</v>
      </c>
      <c r="AP391" s="31">
        <f t="shared" si="95"/>
        <v>0.34995465410369586</v>
      </c>
      <c r="AQ391" s="9">
        <f t="shared" si="120"/>
        <v>0</v>
      </c>
      <c r="AR391" s="31">
        <f t="shared" si="96"/>
        <v>-2.491174590776107</v>
      </c>
      <c r="AS391" s="31">
        <f t="shared" si="108"/>
        <v>-9.175981066957707</v>
      </c>
      <c r="AT391" s="154">
        <f t="shared" si="58"/>
        <v>13.175981066957707</v>
      </c>
      <c r="AU391" s="31">
        <f t="shared" si="97"/>
        <v>0</v>
      </c>
      <c r="AV391" s="31">
        <f t="shared" si="105"/>
        <v>13.998186164147835</v>
      </c>
      <c r="AW391" s="31">
        <f t="shared" si="98"/>
        <v>0</v>
      </c>
      <c r="AX391" s="9">
        <f t="shared" si="106"/>
        <v>0</v>
      </c>
      <c r="AY391" s="31">
        <f t="shared" si="86"/>
        <v>0</v>
      </c>
      <c r="AZ391" s="31">
        <f t="shared" si="117"/>
        <v>0</v>
      </c>
      <c r="BA391" s="31">
        <f t="shared" si="99"/>
        <v>0</v>
      </c>
      <c r="BB391" s="31">
        <f t="shared" si="118"/>
        <v>0.30621032234073386</v>
      </c>
      <c r="BC391" s="31">
        <f t="shared" si="87"/>
        <v>0</v>
      </c>
      <c r="BE391" s="31">
        <f t="shared" si="88"/>
        <v>13.998186164147835</v>
      </c>
    </row>
    <row r="392" spans="1:57" s="31" customFormat="1" ht="18" customHeight="1">
      <c r="A392" s="123"/>
      <c r="C392" s="159">
        <f t="shared" si="114"/>
        <v>58.5</v>
      </c>
      <c r="D392" s="160">
        <f t="shared" si="109"/>
        <v>98.04812610238913</v>
      </c>
      <c r="E392" s="160">
        <f t="shared" si="110"/>
        <v>0</v>
      </c>
      <c r="F392" s="160">
        <f t="shared" si="111"/>
        <v>0</v>
      </c>
      <c r="G392" s="161">
        <f t="shared" si="112"/>
        <v>39.09676440356914</v>
      </c>
      <c r="I392" s="39"/>
      <c r="J392" s="39"/>
      <c r="K392" s="39"/>
      <c r="L392" s="39"/>
      <c r="M392" s="39"/>
      <c r="N392" s="39"/>
      <c r="O392" s="39"/>
      <c r="P392" s="39"/>
      <c r="Q392" s="39"/>
      <c r="R392" s="32"/>
      <c r="S392" s="32"/>
      <c r="T392" s="32"/>
      <c r="U392" s="32"/>
      <c r="V392" s="32"/>
      <c r="W392" s="32"/>
      <c r="X392" s="32"/>
      <c r="AB392" s="31">
        <f t="shared" si="80"/>
        <v>0.2754559738861648</v>
      </c>
      <c r="AC392" s="31">
        <f t="shared" si="92"/>
        <v>85.5</v>
      </c>
      <c r="AD392" s="9">
        <f t="shared" si="119"/>
        <v>10.921324499441083</v>
      </c>
      <c r="AE392" s="9">
        <f t="shared" si="82"/>
        <v>0</v>
      </c>
      <c r="AF392" s="31">
        <f t="shared" si="93"/>
        <v>85.5</v>
      </c>
      <c r="AG392" s="31">
        <f t="shared" si="51"/>
        <v>1.4922565104551517</v>
      </c>
      <c r="AH392" s="9">
        <f t="shared" si="102"/>
        <v>12.592273091938962</v>
      </c>
      <c r="AI392" s="9">
        <f t="shared" si="113"/>
        <v>0.2754559738861648</v>
      </c>
      <c r="AJ392" s="31">
        <f t="shared" si="52"/>
        <v>-4.124544026113835</v>
      </c>
      <c r="AK392" s="31">
        <f t="shared" si="41"/>
        <v>3</v>
      </c>
      <c r="AL392" s="31">
        <f t="shared" si="115"/>
        <v>3.15</v>
      </c>
      <c r="AM392" s="31">
        <f t="shared" si="94"/>
        <v>-3.567140612464598</v>
      </c>
      <c r="AN392" s="131">
        <f t="shared" si="107"/>
        <v>0</v>
      </c>
      <c r="AO392" s="31">
        <f t="shared" si="116"/>
        <v>-0.6934907906694998</v>
      </c>
      <c r="AP392" s="31">
        <f t="shared" si="95"/>
        <v>0.31480682729847403</v>
      </c>
      <c r="AQ392" s="9">
        <f t="shared" si="120"/>
        <v>0</v>
      </c>
      <c r="AR392" s="31">
        <f t="shared" si="96"/>
        <v>-2.5097761881463327</v>
      </c>
      <c r="AS392" s="31">
        <f t="shared" si="108"/>
        <v>-8.811635968898333</v>
      </c>
      <c r="AT392" s="154">
        <f t="shared" si="58"/>
        <v>12.811635968898333</v>
      </c>
      <c r="AU392" s="31">
        <f t="shared" si="97"/>
        <v>0</v>
      </c>
      <c r="AV392" s="31">
        <f t="shared" si="105"/>
        <v>12.592273091938962</v>
      </c>
      <c r="AW392" s="31">
        <f t="shared" si="98"/>
        <v>0</v>
      </c>
      <c r="AX392" s="9">
        <f t="shared" si="106"/>
        <v>0</v>
      </c>
      <c r="AY392" s="31">
        <f t="shared" si="86"/>
        <v>0</v>
      </c>
      <c r="AZ392" s="31">
        <f t="shared" si="117"/>
        <v>0</v>
      </c>
      <c r="BA392" s="31">
        <f t="shared" si="99"/>
        <v>0</v>
      </c>
      <c r="BB392" s="31">
        <f t="shared" si="118"/>
        <v>0.2754559738861648</v>
      </c>
      <c r="BC392" s="31">
        <f t="shared" si="87"/>
        <v>0</v>
      </c>
      <c r="BE392" s="31">
        <f t="shared" si="88"/>
        <v>12.592273091938962</v>
      </c>
    </row>
    <row r="393" spans="1:57" s="31" customFormat="1" ht="18" customHeight="1">
      <c r="A393" s="123"/>
      <c r="B393" s="9"/>
      <c r="C393" s="215">
        <f t="shared" si="114"/>
        <v>59</v>
      </c>
      <c r="D393" s="212">
        <f t="shared" si="109"/>
        <v>96.1376990444097</v>
      </c>
      <c r="E393" s="212">
        <f t="shared" si="110"/>
        <v>0</v>
      </c>
      <c r="F393" s="212">
        <f t="shared" si="111"/>
        <v>0</v>
      </c>
      <c r="G393" s="213">
        <f t="shared" si="112"/>
        <v>39.10537210305604</v>
      </c>
      <c r="H393" s="9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AB393" s="31">
        <f t="shared" si="80"/>
        <v>0.244743841802287</v>
      </c>
      <c r="AC393" s="31">
        <f t="shared" si="92"/>
        <v>86</v>
      </c>
      <c r="AD393" s="9">
        <f t="shared" si="119"/>
        <v>9.81741970212867</v>
      </c>
      <c r="AE393" s="9">
        <f t="shared" si="82"/>
        <v>0</v>
      </c>
      <c r="AF393" s="31">
        <f t="shared" si="93"/>
        <v>86</v>
      </c>
      <c r="AG393" s="31">
        <f t="shared" si="51"/>
        <v>1.5009831567151233</v>
      </c>
      <c r="AH393" s="9">
        <f t="shared" si="102"/>
        <v>11.188289910961691</v>
      </c>
      <c r="AI393" s="9">
        <f t="shared" si="113"/>
        <v>0.244743841802287</v>
      </c>
      <c r="AJ393" s="31">
        <f t="shared" si="52"/>
        <v>-4.155256158197712</v>
      </c>
      <c r="AK393" s="31">
        <f t="shared" si="41"/>
        <v>3</v>
      </c>
      <c r="AL393" s="31">
        <f t="shared" si="115"/>
        <v>3.15</v>
      </c>
      <c r="AM393" s="31">
        <f t="shared" si="94"/>
        <v>-3.6154025343106913</v>
      </c>
      <c r="AN393" s="131">
        <f t="shared" si="107"/>
        <v>0</v>
      </c>
      <c r="AO393" s="31">
        <f t="shared" si="116"/>
        <v>-0.5926691608079349</v>
      </c>
      <c r="AP393" s="31">
        <f t="shared" si="95"/>
        <v>0.27970724777404227</v>
      </c>
      <c r="AQ393" s="9">
        <f t="shared" si="120"/>
        <v>0</v>
      </c>
      <c r="AR393" s="31">
        <f t="shared" si="96"/>
        <v>-2.5281241299433956</v>
      </c>
      <c r="AS393" s="31">
        <f t="shared" si="108"/>
        <v>-8.475563869359783</v>
      </c>
      <c r="AT393" s="154">
        <f t="shared" si="58"/>
        <v>12.475563869359783</v>
      </c>
      <c r="AU393" s="31">
        <f t="shared" si="97"/>
        <v>0</v>
      </c>
      <c r="AV393" s="31">
        <f t="shared" si="105"/>
        <v>11.188289910961691</v>
      </c>
      <c r="AW393" s="31">
        <f t="shared" si="98"/>
        <v>0</v>
      </c>
      <c r="AX393" s="9">
        <f>IF(AG393&gt;=ω1,0,IF(AR393&lt;Ho,0.5*AM393*AR393*γs,0.5*(AM393+AN393)*Ho*γs+AN393*$AE$288))</f>
        <v>0</v>
      </c>
      <c r="AY393" s="31">
        <f t="shared" si="86"/>
        <v>0</v>
      </c>
      <c r="AZ393" s="31">
        <f t="shared" si="117"/>
        <v>0</v>
      </c>
      <c r="BA393" s="31">
        <f t="shared" si="99"/>
        <v>0</v>
      </c>
      <c r="BB393" s="31">
        <f t="shared" si="118"/>
        <v>0.244743841802287</v>
      </c>
      <c r="BC393" s="31">
        <f t="shared" si="87"/>
        <v>0</v>
      </c>
      <c r="BE393" s="31">
        <f t="shared" si="88"/>
        <v>11.188289910961691</v>
      </c>
    </row>
    <row r="394" spans="1:57" s="31" customFormat="1" ht="18" customHeight="1">
      <c r="A394" s="123"/>
      <c r="B394" s="9"/>
      <c r="C394" s="64">
        <f t="shared" si="114"/>
        <v>59.5</v>
      </c>
      <c r="D394" s="116">
        <f t="shared" si="109"/>
        <v>94.24720262728817</v>
      </c>
      <c r="E394" s="116">
        <f t="shared" si="110"/>
        <v>0</v>
      </c>
      <c r="F394" s="116">
        <f t="shared" si="111"/>
        <v>0</v>
      </c>
      <c r="G394" s="117">
        <f t="shared" si="112"/>
        <v>39.09178187001698</v>
      </c>
      <c r="H394" s="9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AB394" s="31">
        <f t="shared" si="80"/>
        <v>0.2140691705266952</v>
      </c>
      <c r="AC394" s="31">
        <f t="shared" si="92"/>
        <v>86.5</v>
      </c>
      <c r="AD394" s="9">
        <f t="shared" si="119"/>
        <v>8.687395262869074</v>
      </c>
      <c r="AE394" s="9">
        <f t="shared" si="82"/>
        <v>0</v>
      </c>
      <c r="AF394" s="31">
        <f t="shared" si="93"/>
        <v>86.5</v>
      </c>
      <c r="AG394" s="31">
        <f t="shared" si="51"/>
        <v>1.509709802975095</v>
      </c>
      <c r="AH394" s="9">
        <f t="shared" si="102"/>
        <v>9.786019224077494</v>
      </c>
      <c r="AI394" s="9">
        <f t="shared" si="113"/>
        <v>0.2140691705266952</v>
      </c>
      <c r="AJ394" s="31">
        <f t="shared" si="52"/>
        <v>-4.185930829473305</v>
      </c>
      <c r="AK394" s="31">
        <f t="shared" si="41"/>
        <v>3</v>
      </c>
      <c r="AL394" s="31">
        <f t="shared" si="115"/>
        <v>3.15</v>
      </c>
      <c r="AM394" s="31">
        <f t="shared" si="94"/>
        <v>-3.6636055891723363</v>
      </c>
      <c r="AN394" s="131">
        <f t="shared" si="107"/>
        <v>0</v>
      </c>
      <c r="AO394" s="31">
        <f t="shared" si="116"/>
        <v>-0.49936533958206697</v>
      </c>
      <c r="AP394" s="31">
        <f t="shared" si="95"/>
        <v>0.24465048060193736</v>
      </c>
      <c r="AQ394" s="9">
        <f t="shared" si="120"/>
        <v>0</v>
      </c>
      <c r="AR394" s="31">
        <f t="shared" si="96"/>
        <v>-2.546226307767666</v>
      </c>
      <c r="AS394" s="31">
        <f t="shared" si="108"/>
        <v>-8.164551131940224</v>
      </c>
      <c r="AT394" s="154">
        <f t="shared" si="58"/>
        <v>12.164551131940224</v>
      </c>
      <c r="AU394" s="31">
        <f t="shared" si="97"/>
        <v>0</v>
      </c>
      <c r="AV394" s="31">
        <f t="shared" si="105"/>
        <v>9.786019224077494</v>
      </c>
      <c r="AW394" s="31">
        <f t="shared" si="98"/>
        <v>0</v>
      </c>
      <c r="AX394" s="9">
        <f aca="true" t="shared" si="121" ref="AX394:AX400">IF(AG394&gt;=ω1,0,IF(AR394&lt;Ho,0.5*AM394*AR394*γs,0.5*(AM394+AN394)*Ho*γs+AN394*$AE$288))</f>
        <v>0</v>
      </c>
      <c r="AY394" s="31">
        <f t="shared" si="86"/>
        <v>0</v>
      </c>
      <c r="AZ394" s="31">
        <f t="shared" si="117"/>
        <v>0</v>
      </c>
      <c r="BA394" s="31">
        <f t="shared" si="99"/>
        <v>0</v>
      </c>
      <c r="BB394" s="31">
        <f t="shared" si="118"/>
        <v>0.2140691705266952</v>
      </c>
      <c r="BC394" s="31">
        <f t="shared" si="87"/>
        <v>0</v>
      </c>
      <c r="BE394" s="31">
        <f t="shared" si="88"/>
        <v>9.786019224077494</v>
      </c>
    </row>
    <row r="395" spans="1:57" s="31" customFormat="1" ht="18" customHeight="1">
      <c r="A395" s="123"/>
      <c r="B395" s="9"/>
      <c r="C395" s="64">
        <f t="shared" si="114"/>
        <v>60</v>
      </c>
      <c r="D395" s="116">
        <f t="shared" si="109"/>
        <v>92.37604307034016</v>
      </c>
      <c r="E395" s="116">
        <f t="shared" si="110"/>
        <v>0</v>
      </c>
      <c r="F395" s="116">
        <f t="shared" si="111"/>
        <v>0</v>
      </c>
      <c r="G395" s="117">
        <f t="shared" si="112"/>
        <v>39.05632552417369</v>
      </c>
      <c r="H395" s="9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AB395" s="31">
        <f t="shared" si="80"/>
        <v>0.1834272274906447</v>
      </c>
      <c r="AC395" s="31">
        <f t="shared" si="92"/>
        <v>87</v>
      </c>
      <c r="AD395" s="9">
        <f t="shared" si="119"/>
        <v>7.530740504016612</v>
      </c>
      <c r="AE395" s="9">
        <f t="shared" si="82"/>
        <v>0</v>
      </c>
      <c r="AF395" s="31">
        <f t="shared" si="93"/>
        <v>87</v>
      </c>
      <c r="AG395" s="31">
        <f t="shared" si="51"/>
        <v>1.5184364492350666</v>
      </c>
      <c r="AH395" s="9">
        <f t="shared" si="102"/>
        <v>8.385244685286615</v>
      </c>
      <c r="AI395" s="9">
        <f t="shared" si="113"/>
        <v>0.1834272274906447</v>
      </c>
      <c r="AJ395" s="31">
        <f t="shared" si="52"/>
        <v>-4.216572772509355</v>
      </c>
      <c r="AK395" s="31">
        <f t="shared" si="41"/>
        <v>3</v>
      </c>
      <c r="AL395" s="31">
        <f t="shared" si="115"/>
        <v>3.15</v>
      </c>
      <c r="AM395" s="31">
        <f t="shared" si="94"/>
        <v>-3.7117572139432724</v>
      </c>
      <c r="AN395" s="131">
        <f aca="true" t="shared" si="122" ref="AN395:AN400">IF(AR395&lt;Ho,0,AM395+(1/TAN(AG395)-1/TAN(β))*Ho)</f>
        <v>0</v>
      </c>
      <c r="AO395" s="31">
        <f t="shared" si="116"/>
        <v>-0.4127559795941962</v>
      </c>
      <c r="AP395" s="31">
        <f t="shared" si="95"/>
        <v>0.20963111713216537</v>
      </c>
      <c r="AQ395" s="9">
        <f t="shared" si="120"/>
        <v>0</v>
      </c>
      <c r="AR395" s="31">
        <f t="shared" si="96"/>
        <v>-2.564090329322801</v>
      </c>
      <c r="AS395" s="31">
        <f t="shared" si="108"/>
        <v>-7.875853265313987</v>
      </c>
      <c r="AT395" s="154">
        <f t="shared" si="58"/>
        <v>11.875853265313987</v>
      </c>
      <c r="AU395" s="31">
        <f t="shared" si="97"/>
        <v>0</v>
      </c>
      <c r="AV395" s="31">
        <f aca="true" t="shared" si="123" ref="AV395:AV400">IF(AG395&gt;=ω3,0.5*$AE$280*AP395*γs+AP395*$AE$289,IF(AG395&gt;ω2,0.5*AO395*AS395*γs,0.5*(Hl-Df)^2*(TAN(αl)+1/TAN(AG395))*γs))</f>
        <v>8.385244685286615</v>
      </c>
      <c r="AW395" s="31">
        <f t="shared" si="98"/>
        <v>0</v>
      </c>
      <c r="AX395" s="9">
        <f t="shared" si="121"/>
        <v>0</v>
      </c>
      <c r="AY395" s="31">
        <f t="shared" si="86"/>
        <v>0</v>
      </c>
      <c r="AZ395" s="31">
        <f t="shared" si="117"/>
        <v>0</v>
      </c>
      <c r="BA395" s="31">
        <f t="shared" si="99"/>
        <v>0</v>
      </c>
      <c r="BB395" s="31">
        <f t="shared" si="118"/>
        <v>0.1834272274906447</v>
      </c>
      <c r="BC395" s="31">
        <f t="shared" si="87"/>
        <v>0</v>
      </c>
      <c r="BE395" s="31">
        <f t="shared" si="88"/>
        <v>8.385244685286615</v>
      </c>
    </row>
    <row r="396" spans="1:57" s="31" customFormat="1" ht="18" customHeight="1">
      <c r="A396" s="123"/>
      <c r="B396" s="9"/>
      <c r="C396" s="64">
        <f t="shared" si="114"/>
        <v>60.5</v>
      </c>
      <c r="D396" s="116">
        <f t="shared" si="109"/>
        <v>90.52364451004321</v>
      </c>
      <c r="E396" s="116">
        <f t="shared" si="110"/>
        <v>0</v>
      </c>
      <c r="F396" s="116">
        <f t="shared" si="111"/>
        <v>0</v>
      </c>
      <c r="G396" s="117">
        <f t="shared" si="112"/>
        <v>38.999314858736476</v>
      </c>
      <c r="H396" s="9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AB396" s="31">
        <f t="shared" si="80"/>
        <v>0.15281330017979305</v>
      </c>
      <c r="AC396" s="31">
        <f t="shared" si="92"/>
        <v>87.5</v>
      </c>
      <c r="AD396" s="9">
        <f t="shared" si="119"/>
        <v>6.346921963338592</v>
      </c>
      <c r="AE396" s="9">
        <f t="shared" si="82"/>
        <v>0</v>
      </c>
      <c r="AF396" s="31">
        <f t="shared" si="93"/>
        <v>87.5</v>
      </c>
      <c r="AG396" s="31">
        <f t="shared" si="51"/>
        <v>1.5271630954950381</v>
      </c>
      <c r="AH396" s="9">
        <f t="shared" si="102"/>
        <v>6.985750865361967</v>
      </c>
      <c r="AI396" s="9">
        <f t="shared" si="113"/>
        <v>0.15281330017979305</v>
      </c>
      <c r="AJ396" s="31">
        <f t="shared" si="52"/>
        <v>-4.247186699820206</v>
      </c>
      <c r="AK396" s="31">
        <f t="shared" si="41"/>
        <v>3</v>
      </c>
      <c r="AL396" s="31">
        <f t="shared" si="115"/>
        <v>3.15</v>
      </c>
      <c r="AM396" s="31">
        <f t="shared" si="94"/>
        <v>-3.7598648140031816</v>
      </c>
      <c r="AN396" s="131">
        <f t="shared" si="122"/>
        <v>0</v>
      </c>
      <c r="AO396" s="31">
        <f t="shared" si="116"/>
        <v>-0.33213369682175653</v>
      </c>
      <c r="AP396" s="31">
        <f t="shared" si="95"/>
        <v>0.17464377163404918</v>
      </c>
      <c r="AQ396" s="9">
        <f t="shared" si="120"/>
        <v>0</v>
      </c>
      <c r="AR396" s="31">
        <f t="shared" si="96"/>
        <v>-2.5817235318210554</v>
      </c>
      <c r="AS396" s="31">
        <f t="shared" si="108"/>
        <v>-7.607112322739189</v>
      </c>
      <c r="AT396" s="154">
        <f t="shared" si="58"/>
        <v>11.607112322739189</v>
      </c>
      <c r="AU396" s="31">
        <f t="shared" si="97"/>
        <v>0</v>
      </c>
      <c r="AV396" s="31">
        <f t="shared" si="123"/>
        <v>6.985750865361967</v>
      </c>
      <c r="AW396" s="31">
        <f t="shared" si="98"/>
        <v>0</v>
      </c>
      <c r="AX396" s="9">
        <f t="shared" si="121"/>
        <v>0</v>
      </c>
      <c r="AY396" s="31">
        <f t="shared" si="86"/>
        <v>0</v>
      </c>
      <c r="AZ396" s="31">
        <f t="shared" si="117"/>
        <v>0</v>
      </c>
      <c r="BA396" s="31">
        <f t="shared" si="99"/>
        <v>0</v>
      </c>
      <c r="BB396" s="31">
        <f t="shared" si="118"/>
        <v>0.15281330017979305</v>
      </c>
      <c r="BC396" s="31">
        <f t="shared" si="87"/>
        <v>0</v>
      </c>
      <c r="BE396" s="31">
        <f t="shared" si="88"/>
        <v>6.985750865361967</v>
      </c>
    </row>
    <row r="397" spans="1:57" s="31" customFormat="1" ht="18" customHeight="1">
      <c r="A397" s="123"/>
      <c r="B397" s="9"/>
      <c r="C397" s="64">
        <f t="shared" si="114"/>
        <v>61</v>
      </c>
      <c r="D397" s="116">
        <f t="shared" si="109"/>
        <v>88.68944823244304</v>
      </c>
      <c r="E397" s="116">
        <f t="shared" si="110"/>
        <v>0</v>
      </c>
      <c r="F397" s="116">
        <f t="shared" si="111"/>
        <v>0</v>
      </c>
      <c r="G397" s="117">
        <f t="shared" si="112"/>
        <v>38.92104228512994</v>
      </c>
      <c r="H397" s="9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AB397" s="31">
        <f t="shared" si="80"/>
        <v>0.12222269322111744</v>
      </c>
      <c r="AC397" s="31">
        <f t="shared" si="92"/>
        <v>88</v>
      </c>
      <c r="AD397" s="9">
        <f t="shared" si="119"/>
        <v>5.135382581877131</v>
      </c>
      <c r="AE397" s="9">
        <f t="shared" si="82"/>
        <v>0</v>
      </c>
      <c r="AF397" s="31">
        <f t="shared" si="93"/>
        <v>88</v>
      </c>
      <c r="AG397" s="31">
        <f t="shared" si="51"/>
        <v>1.53588974175501</v>
      </c>
      <c r="AH397" s="9">
        <f t="shared" si="102"/>
        <v>5.587323118679654</v>
      </c>
      <c r="AI397" s="9">
        <f t="shared" si="113"/>
        <v>0.12222269322111744</v>
      </c>
      <c r="AJ397" s="31">
        <f t="shared" si="52"/>
        <v>-4.277777306778883</v>
      </c>
      <c r="AK397" s="31">
        <f t="shared" si="41"/>
        <v>3</v>
      </c>
      <c r="AL397" s="31">
        <f t="shared" si="115"/>
        <v>3.15</v>
      </c>
      <c r="AM397" s="31">
        <f t="shared" si="94"/>
        <v>-3.807935767795387</v>
      </c>
      <c r="AN397" s="131">
        <f t="shared" si="122"/>
        <v>0</v>
      </c>
      <c r="AO397" s="31">
        <f t="shared" si="116"/>
        <v>-0.25688734790102163</v>
      </c>
      <c r="AP397" s="31">
        <f t="shared" si="95"/>
        <v>0.13968307796699136</v>
      </c>
      <c r="AQ397" s="9">
        <f t="shared" si="120"/>
        <v>0</v>
      </c>
      <c r="AR397" s="31">
        <f t="shared" si="96"/>
        <v>-2.599132994653382</v>
      </c>
      <c r="AS397" s="31">
        <f t="shared" si="108"/>
        <v>-7.3562911596700715</v>
      </c>
      <c r="AT397" s="154">
        <f t="shared" si="58"/>
        <v>11.356291159670072</v>
      </c>
      <c r="AU397" s="31">
        <f t="shared" si="97"/>
        <v>0</v>
      </c>
      <c r="AV397" s="31">
        <f t="shared" si="123"/>
        <v>5.587323118679654</v>
      </c>
      <c r="AW397" s="31">
        <f t="shared" si="98"/>
        <v>0</v>
      </c>
      <c r="AX397" s="9">
        <f t="shared" si="121"/>
        <v>0</v>
      </c>
      <c r="AY397" s="31">
        <f t="shared" si="86"/>
        <v>0</v>
      </c>
      <c r="AZ397" s="31">
        <f t="shared" si="117"/>
        <v>0</v>
      </c>
      <c r="BA397" s="31">
        <f t="shared" si="99"/>
        <v>0</v>
      </c>
      <c r="BB397" s="31">
        <f t="shared" si="118"/>
        <v>0.12222269322111744</v>
      </c>
      <c r="BC397" s="31">
        <f t="shared" si="87"/>
        <v>0</v>
      </c>
      <c r="BE397" s="31">
        <f t="shared" si="88"/>
        <v>5.587323118679654</v>
      </c>
    </row>
    <row r="398" spans="1:57" s="31" customFormat="1" ht="18" customHeight="1">
      <c r="A398" s="123"/>
      <c r="B398" s="9"/>
      <c r="C398" s="64">
        <f t="shared" si="114"/>
        <v>61.5</v>
      </c>
      <c r="D398" s="116">
        <f t="shared" si="109"/>
        <v>86.8729119421499</v>
      </c>
      <c r="E398" s="116">
        <f t="shared" si="110"/>
        <v>0</v>
      </c>
      <c r="F398" s="116">
        <f t="shared" si="111"/>
        <v>0</v>
      </c>
      <c r="G398" s="117">
        <f t="shared" si="112"/>
        <v>38.821781436903606</v>
      </c>
      <c r="H398" s="9"/>
      <c r="I398" s="32"/>
      <c r="J398" s="32"/>
      <c r="K398" s="32"/>
      <c r="L398" s="32"/>
      <c r="M398" s="32"/>
      <c r="N398" s="32"/>
      <c r="O398" s="32"/>
      <c r="P398" s="32"/>
      <c r="Q398" s="32"/>
      <c r="R398" s="39"/>
      <c r="S398" s="39"/>
      <c r="T398" s="32"/>
      <c r="U398" s="32"/>
      <c r="V398" s="32"/>
      <c r="W398" s="32"/>
      <c r="X398" s="32"/>
      <c r="AB398" s="31">
        <f t="shared" si="80"/>
        <v>0.0916507254921542</v>
      </c>
      <c r="AC398" s="31">
        <f t="shared" si="92"/>
        <v>88.5</v>
      </c>
      <c r="AD398" s="9">
        <f t="shared" si="119"/>
        <v>3.8955408440897967</v>
      </c>
      <c r="AE398" s="9">
        <f t="shared" si="82"/>
        <v>0</v>
      </c>
      <c r="AF398" s="31">
        <f t="shared" si="93"/>
        <v>88.5</v>
      </c>
      <c r="AG398" s="31">
        <f t="shared" si="51"/>
        <v>1.5446163880149817</v>
      </c>
      <c r="AH398" s="9">
        <f t="shared" si="102"/>
        <v>4.189747451069906</v>
      </c>
      <c r="AI398" s="9">
        <f t="shared" si="113"/>
        <v>0.0916507254921542</v>
      </c>
      <c r="AJ398" s="31">
        <f t="shared" si="52"/>
        <v>-4.3083492745078455</v>
      </c>
      <c r="AK398" s="31">
        <f t="shared" si="41"/>
        <v>3</v>
      </c>
      <c r="AL398" s="31">
        <f t="shared" si="115"/>
        <v>3.15</v>
      </c>
      <c r="AM398" s="31">
        <f t="shared" si="94"/>
        <v>-3.855977431369472</v>
      </c>
      <c r="AN398" s="131">
        <f t="shared" si="122"/>
        <v>0</v>
      </c>
      <c r="AO398" s="31">
        <f t="shared" si="116"/>
        <v>-0.1864862002441452</v>
      </c>
      <c r="AP398" s="31">
        <f t="shared" si="95"/>
        <v>0.10474368627674766</v>
      </c>
      <c r="AQ398" s="9">
        <f t="shared" si="120"/>
        <v>0</v>
      </c>
      <c r="AR398" s="31">
        <f t="shared" si="96"/>
        <v>-2.6163255513714287</v>
      </c>
      <c r="AS398" s="31">
        <f t="shared" si="108"/>
        <v>-7.121620667480483</v>
      </c>
      <c r="AT398" s="154">
        <f t="shared" si="58"/>
        <v>11.121620667480483</v>
      </c>
      <c r="AU398" s="31">
        <f t="shared" si="97"/>
        <v>0</v>
      </c>
      <c r="AV398" s="31">
        <f t="shared" si="123"/>
        <v>4.189747451069906</v>
      </c>
      <c r="AW398" s="31">
        <f t="shared" si="98"/>
        <v>0</v>
      </c>
      <c r="AX398" s="9">
        <f t="shared" si="121"/>
        <v>0</v>
      </c>
      <c r="AY398" s="31">
        <f t="shared" si="86"/>
        <v>0</v>
      </c>
      <c r="AZ398" s="31">
        <f t="shared" si="117"/>
        <v>0</v>
      </c>
      <c r="BA398" s="31">
        <f t="shared" si="99"/>
        <v>0</v>
      </c>
      <c r="BB398" s="31">
        <f t="shared" si="118"/>
        <v>0.0916507254921542</v>
      </c>
      <c r="BC398" s="31">
        <f t="shared" si="87"/>
        <v>0</v>
      </c>
      <c r="BE398" s="31">
        <f t="shared" si="88"/>
        <v>4.189747451069906</v>
      </c>
    </row>
    <row r="399" spans="1:57" s="31" customFormat="1" ht="18" customHeight="1">
      <c r="A399" s="123"/>
      <c r="B399" s="9"/>
      <c r="C399" s="64">
        <f t="shared" si="114"/>
        <v>62</v>
      </c>
      <c r="D399" s="116">
        <f t="shared" si="109"/>
        <v>85.0735090658366</v>
      </c>
      <c r="E399" s="116">
        <f t="shared" si="110"/>
        <v>0</v>
      </c>
      <c r="F399" s="116">
        <f t="shared" si="111"/>
        <v>0</v>
      </c>
      <c r="G399" s="117">
        <f t="shared" si="112"/>
        <v>38.70178773485772</v>
      </c>
      <c r="H399" s="9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AB399" s="31">
        <f t="shared" si="80"/>
        <v>0.06109272724876107</v>
      </c>
      <c r="AC399" s="31">
        <f t="shared" si="92"/>
        <v>89</v>
      </c>
      <c r="AD399" s="9">
        <f t="shared" si="119"/>
        <v>2.626789867668647</v>
      </c>
      <c r="AE399" s="9">
        <f t="shared" si="82"/>
        <v>0</v>
      </c>
      <c r="AF399" s="31">
        <f t="shared" si="93"/>
        <v>89</v>
      </c>
      <c r="AG399" s="31">
        <f t="shared" si="51"/>
        <v>1.5533430342749535</v>
      </c>
      <c r="AH399" s="9">
        <f t="shared" si="102"/>
        <v>2.7928103885147912</v>
      </c>
      <c r="AI399" s="9">
        <f t="shared" si="113"/>
        <v>0.06109272724876107</v>
      </c>
      <c r="AJ399" s="31">
        <f t="shared" si="52"/>
        <v>-4.338907272751239</v>
      </c>
      <c r="AK399" s="31">
        <f t="shared" si="41"/>
        <v>3</v>
      </c>
      <c r="AL399" s="31">
        <f t="shared" si="115"/>
        <v>3.15</v>
      </c>
      <c r="AM399" s="31">
        <f t="shared" si="94"/>
        <v>-3.9039971428948044</v>
      </c>
      <c r="AN399" s="131">
        <f t="shared" si="122"/>
        <v>0</v>
      </c>
      <c r="AO399" s="31">
        <f t="shared" si="116"/>
        <v>-0.12046712711865304</v>
      </c>
      <c r="AP399" s="31">
        <f t="shared" si="95"/>
        <v>0.06982025971286979</v>
      </c>
      <c r="AQ399" s="9">
        <f t="shared" si="120"/>
        <v>0</v>
      </c>
      <c r="AR399" s="31">
        <f t="shared" si="96"/>
        <v>-2.6333078010251194</v>
      </c>
      <c r="AS399" s="31">
        <f t="shared" si="108"/>
        <v>-6.901557090395511</v>
      </c>
      <c r="AT399" s="154">
        <f t="shared" si="58"/>
        <v>10.90155709039551</v>
      </c>
      <c r="AU399" s="31">
        <f t="shared" si="97"/>
        <v>0</v>
      </c>
      <c r="AV399" s="31">
        <f t="shared" si="123"/>
        <v>2.7928103885147912</v>
      </c>
      <c r="AW399" s="31">
        <f t="shared" si="98"/>
        <v>0</v>
      </c>
      <c r="AX399" s="9">
        <f t="shared" si="121"/>
        <v>0</v>
      </c>
      <c r="AY399" s="31">
        <f t="shared" si="86"/>
        <v>0</v>
      </c>
      <c r="AZ399" s="31">
        <f t="shared" si="117"/>
        <v>0</v>
      </c>
      <c r="BA399" s="31">
        <f t="shared" si="99"/>
        <v>0</v>
      </c>
      <c r="BB399" s="31">
        <f t="shared" si="118"/>
        <v>0.06109272724876107</v>
      </c>
      <c r="BC399" s="31">
        <f t="shared" si="87"/>
        <v>0</v>
      </c>
      <c r="BE399" s="31">
        <f t="shared" si="88"/>
        <v>2.7928103885147912</v>
      </c>
    </row>
    <row r="400" spans="1:57" s="31" customFormat="1" ht="18" customHeight="1">
      <c r="A400" s="123"/>
      <c r="B400" s="9"/>
      <c r="C400" s="64">
        <f t="shared" si="114"/>
        <v>62.5</v>
      </c>
      <c r="D400" s="116">
        <f t="shared" si="109"/>
        <v>83.29072808827944</v>
      </c>
      <c r="E400" s="116">
        <f t="shared" si="110"/>
        <v>0</v>
      </c>
      <c r="F400" s="116">
        <f t="shared" si="111"/>
        <v>0</v>
      </c>
      <c r="G400" s="117">
        <f t="shared" si="112"/>
        <v>38.56129891526649</v>
      </c>
      <c r="H400" s="9"/>
      <c r="I400" s="32"/>
      <c r="J400" s="32"/>
      <c r="K400" s="32"/>
      <c r="L400" s="32"/>
      <c r="M400" s="32"/>
      <c r="N400" s="32"/>
      <c r="O400" s="32"/>
      <c r="P400" s="32"/>
      <c r="Q400" s="32"/>
      <c r="R400" s="39"/>
      <c r="S400" s="39"/>
      <c r="T400" s="39"/>
      <c r="U400" s="39"/>
      <c r="V400" s="39"/>
      <c r="W400" s="39"/>
      <c r="X400" s="39"/>
      <c r="Y400" s="45"/>
      <c r="Z400" s="45"/>
      <c r="AA400" s="45"/>
      <c r="AB400" s="31">
        <f t="shared" si="80"/>
        <v>0.03054403726765563</v>
      </c>
      <c r="AC400" s="31">
        <f t="shared" si="92"/>
        <v>89.5</v>
      </c>
      <c r="AD400" s="9">
        <f t="shared" si="119"/>
        <v>1.3284964402472375</v>
      </c>
      <c r="AE400" s="9">
        <f t="shared" si="82"/>
        <v>0</v>
      </c>
      <c r="AF400" s="31">
        <f t="shared" si="93"/>
        <v>89.5</v>
      </c>
      <c r="AG400" s="31">
        <f t="shared" si="51"/>
        <v>1.562069680534925</v>
      </c>
      <c r="AH400" s="9">
        <f t="shared" si="102"/>
        <v>1.3962988465214001</v>
      </c>
      <c r="AI400" s="9">
        <f t="shared" si="113"/>
        <v>0.03054403726765563</v>
      </c>
      <c r="AJ400" s="31">
        <f t="shared" si="52"/>
        <v>-4.369455962732344</v>
      </c>
      <c r="AK400" s="31">
        <f t="shared" si="41"/>
        <v>3</v>
      </c>
      <c r="AL400" s="31">
        <f t="shared" si="115"/>
        <v>3.15</v>
      </c>
      <c r="AM400" s="31">
        <f t="shared" si="94"/>
        <v>-3.9520022271508264</v>
      </c>
      <c r="AN400" s="131">
        <f t="shared" si="122"/>
        <v>0</v>
      </c>
      <c r="AO400" s="31">
        <f t="shared" si="116"/>
        <v>-0.05842417411762835</v>
      </c>
      <c r="AP400" s="31">
        <f t="shared" si="95"/>
        <v>0.034907471163035005</v>
      </c>
      <c r="AQ400" s="9">
        <f t="shared" si="120"/>
        <v>0</v>
      </c>
      <c r="AR400" s="31">
        <f t="shared" si="96"/>
        <v>-2.6500861188963727</v>
      </c>
      <c r="AS400" s="31">
        <f t="shared" si="108"/>
        <v>-6.694747247058761</v>
      </c>
      <c r="AT400" s="154">
        <f t="shared" si="58"/>
        <v>10.69474724705876</v>
      </c>
      <c r="AU400" s="31">
        <f t="shared" si="97"/>
        <v>0</v>
      </c>
      <c r="AV400" s="31">
        <f t="shared" si="123"/>
        <v>1.3962988465214001</v>
      </c>
      <c r="AW400" s="31">
        <f t="shared" si="98"/>
        <v>0</v>
      </c>
      <c r="AX400" s="9">
        <f t="shared" si="121"/>
        <v>0</v>
      </c>
      <c r="AY400" s="31">
        <f t="shared" si="86"/>
        <v>0</v>
      </c>
      <c r="AZ400" s="31">
        <f t="shared" si="117"/>
        <v>0</v>
      </c>
      <c r="BA400" s="31">
        <f t="shared" si="99"/>
        <v>0</v>
      </c>
      <c r="BB400" s="31">
        <f t="shared" si="118"/>
        <v>0.03054403726765563</v>
      </c>
      <c r="BC400" s="31">
        <f t="shared" si="87"/>
        <v>0</v>
      </c>
      <c r="BE400" s="31">
        <f t="shared" si="88"/>
        <v>1.3962988465214001</v>
      </c>
    </row>
    <row r="401" spans="1:54" s="31" customFormat="1" ht="18" customHeight="1">
      <c r="A401" s="123"/>
      <c r="B401" s="9"/>
      <c r="C401" s="65">
        <f t="shared" si="114"/>
        <v>63</v>
      </c>
      <c r="D401" s="118">
        <f t="shared" si="109"/>
        <v>81.52407191910862</v>
      </c>
      <c r="E401" s="118">
        <f t="shared" si="110"/>
        <v>0</v>
      </c>
      <c r="F401" s="118">
        <f t="shared" si="111"/>
        <v>0</v>
      </c>
      <c r="G401" s="119">
        <f t="shared" si="112"/>
        <v>38.40053552294276</v>
      </c>
      <c r="H401" s="9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45"/>
      <c r="Z401" s="45"/>
      <c r="AA401" s="45"/>
      <c r="AB401" s="35"/>
      <c r="AC401" s="42"/>
      <c r="AD401" s="31" t="s">
        <v>226</v>
      </c>
      <c r="AE401" s="1" t="s">
        <v>227</v>
      </c>
      <c r="AF401" s="1" t="s">
        <v>284</v>
      </c>
      <c r="AG401" s="1" t="s">
        <v>228</v>
      </c>
      <c r="AH401" s="31" t="s">
        <v>229</v>
      </c>
      <c r="AI401" s="1" t="s">
        <v>285</v>
      </c>
      <c r="AJ401" s="1" t="s">
        <v>286</v>
      </c>
      <c r="AK401" s="1" t="s">
        <v>287</v>
      </c>
      <c r="AL401" s="1" t="s">
        <v>288</v>
      </c>
      <c r="AM401" s="1" t="s">
        <v>289</v>
      </c>
      <c r="AN401" s="1" t="s">
        <v>290</v>
      </c>
      <c r="AO401" s="1" t="s">
        <v>291</v>
      </c>
      <c r="AP401" s="1" t="s">
        <v>292</v>
      </c>
      <c r="AQ401" s="1" t="s">
        <v>293</v>
      </c>
      <c r="AR401" s="1" t="s">
        <v>230</v>
      </c>
      <c r="AS401" s="1" t="s">
        <v>294</v>
      </c>
      <c r="AT401" s="1" t="s">
        <v>295</v>
      </c>
      <c r="AU401" s="31" t="s">
        <v>231</v>
      </c>
      <c r="AV401" s="31" t="s">
        <v>14</v>
      </c>
      <c r="AW401" s="31" t="s">
        <v>15</v>
      </c>
      <c r="AX401" s="31" t="s">
        <v>139</v>
      </c>
      <c r="AY401" s="31" t="s">
        <v>232</v>
      </c>
      <c r="AZ401" s="31" t="s">
        <v>233</v>
      </c>
      <c r="BA401" s="31" t="s">
        <v>234</v>
      </c>
      <c r="BB401" s="31" t="s">
        <v>235</v>
      </c>
    </row>
    <row r="402" spans="1:54" s="31" customFormat="1" ht="18" customHeight="1">
      <c r="A402" s="123"/>
      <c r="B402" s="50"/>
      <c r="C402" s="9"/>
      <c r="D402" s="18"/>
      <c r="E402" s="18"/>
      <c r="F402" s="41"/>
      <c r="G402" s="60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5"/>
      <c r="Z402" s="35"/>
      <c r="AA402" s="45"/>
      <c r="AB402" s="31">
        <f>MAX(AB291:AB400)</f>
        <v>4.998518023597401</v>
      </c>
      <c r="AD402" s="31">
        <f>MAX(AD291:AD400)</f>
        <v>39.10537210305604</v>
      </c>
      <c r="AE402" s="147">
        <f>VLOOKUP($AD$402,$AD$291:$BA$400,2,FALSE)</f>
        <v>0</v>
      </c>
      <c r="AF402" s="147">
        <f>VLOOKUP($AD$402,$AD$291:$BA$400,3,FALSE)</f>
        <v>59</v>
      </c>
      <c r="AG402" s="147">
        <f>VLOOKUP($AD$402,$AD$291:$BA$400,4,FALSE)</f>
        <v>1.0297442586766543</v>
      </c>
      <c r="AH402" s="147">
        <f>VLOOKUP($AD$402,$AD$291:$BA$400,5,FALSE)</f>
        <v>96.1376990444097</v>
      </c>
      <c r="AI402" s="147">
        <f>VLOOKUP($AD$402,$AD$291:$BA$400,6,FALSE)</f>
        <v>2.103012166596462</v>
      </c>
      <c r="AJ402" s="147">
        <f>VLOOKUP($AD$402,$AD$291:$BA$400,7,FALSE)</f>
        <v>-2.296987833403538</v>
      </c>
      <c r="AK402" s="147">
        <f>VLOOKUP($AD$402,$AD$291:$BA$400,8,FALSE)</f>
        <v>3</v>
      </c>
      <c r="AL402" s="147">
        <f>VLOOKUP($AD$402,$AD$291:$BA$400,9,FALSE)</f>
        <v>3.15</v>
      </c>
      <c r="AM402" s="147">
        <f>VLOOKUP($AD$402,$AD$291:$BA$400,10,FALSE)</f>
        <v>-0.6952665953484165</v>
      </c>
      <c r="AN402" s="147">
        <f>VLOOKUP($AD$402,$AD$291:$BA$400,11,FALSE)</f>
        <v>0</v>
      </c>
      <c r="AO402" s="147">
        <f>VLOOKUP($AD$402,$AD$291:$BA$400,12,FALSE)</f>
        <v>3.8944219781599614</v>
      </c>
      <c r="AP402" s="147">
        <f>VLOOKUP($AD$402,$AD$291:$BA$400,13,FALSE)</f>
        <v>2.4034424761102424</v>
      </c>
      <c r="AQ402" s="147">
        <f>VLOOKUP($AD$402,$AD$291:$BA$400,14,FALSE)</f>
        <v>0</v>
      </c>
      <c r="AR402" s="147">
        <f>VLOOKUP($AD$402,$AD$291:$BA$400,15,FALSE)</f>
        <v>-0.773257861975159</v>
      </c>
      <c r="AS402" s="147">
        <f>VLOOKUP($AD$402,$AD$291:$BA$400,16,FALSE)</f>
        <v>6.481406593866538</v>
      </c>
      <c r="AT402" s="147">
        <f>VLOOKUP($AD$402,$AD$291:$BA$400,17,FALSE)</f>
        <v>-2.481406593866538</v>
      </c>
      <c r="AU402" s="147">
        <f>VLOOKUP($AD$402,$AD$291:$BA$400,18,FALSE)</f>
        <v>0</v>
      </c>
      <c r="AV402" s="147">
        <f>VLOOKUP($AD$402,$AD$291:$BA$400,19,FALSE)</f>
        <v>96.1376990444097</v>
      </c>
      <c r="AW402" s="147">
        <f>VLOOKUP($AD$402,$AD$291:$BA$400,20,FALSE)</f>
        <v>0</v>
      </c>
      <c r="AX402" s="147">
        <f>VLOOKUP($AD$402,$AD$291:$BA$400,21,FALSE)</f>
        <v>0</v>
      </c>
      <c r="AY402" s="147">
        <f>VLOOKUP($AD$402,$AD$291:$BA$400,22,FALSE)</f>
        <v>0</v>
      </c>
      <c r="AZ402" s="147">
        <f>VLOOKUP($AD$402,$AD$291:$BA$400,23,FALSE)</f>
        <v>0</v>
      </c>
      <c r="BA402" s="147">
        <f>VLOOKUP($AD$402,$AD$291:$BA$400,24,FALSE)</f>
        <v>0</v>
      </c>
      <c r="BB402" s="147">
        <f>VLOOKUP($AD$402,$AD$291:$BB$400,25,FALSE)</f>
        <v>2.103012166596462</v>
      </c>
    </row>
    <row r="403" spans="2:53" ht="18" customHeight="1">
      <c r="B403" s="148"/>
      <c r="C403" s="31"/>
      <c r="D403" s="37"/>
      <c r="E403" s="37"/>
      <c r="F403" s="24"/>
      <c r="G403" s="125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49"/>
      <c r="Z403" s="49"/>
      <c r="AA403" s="49"/>
      <c r="AB403" s="122"/>
      <c r="AD403" s="9">
        <v>1</v>
      </c>
      <c r="AE403" s="9">
        <v>2</v>
      </c>
      <c r="AF403" s="9">
        <v>3</v>
      </c>
      <c r="AG403" s="9">
        <v>4</v>
      </c>
      <c r="AH403" s="9">
        <v>5</v>
      </c>
      <c r="AI403" s="9">
        <v>6</v>
      </c>
      <c r="AJ403" s="9">
        <v>7</v>
      </c>
      <c r="AK403" s="9">
        <v>8</v>
      </c>
      <c r="AL403" s="9">
        <v>9</v>
      </c>
      <c r="AM403" s="9">
        <v>10</v>
      </c>
      <c r="AN403" s="9">
        <v>11</v>
      </c>
      <c r="AO403" s="9">
        <v>12</v>
      </c>
      <c r="AP403" s="9">
        <v>13</v>
      </c>
      <c r="AQ403" s="9">
        <v>14</v>
      </c>
      <c r="AR403" s="9">
        <v>15</v>
      </c>
      <c r="AS403" s="9">
        <v>16</v>
      </c>
      <c r="AT403" s="9">
        <v>17</v>
      </c>
      <c r="AU403" s="9">
        <v>18</v>
      </c>
      <c r="AV403" s="9">
        <v>19</v>
      </c>
      <c r="AW403" s="9">
        <v>20</v>
      </c>
      <c r="AX403" s="9">
        <v>21</v>
      </c>
      <c r="AY403" s="9">
        <v>22</v>
      </c>
      <c r="AZ403" s="9">
        <v>23</v>
      </c>
      <c r="BA403" s="9">
        <v>24</v>
      </c>
    </row>
    <row r="404" spans="2:30" ht="18" customHeight="1">
      <c r="B404" s="50"/>
      <c r="D404" s="18"/>
      <c r="E404" s="18"/>
      <c r="F404" s="41"/>
      <c r="G404" s="60"/>
      <c r="H404" s="31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127"/>
      <c r="Z404" s="127"/>
      <c r="AA404" s="127"/>
      <c r="AC404" s="9" t="s">
        <v>239</v>
      </c>
      <c r="AD404" s="9">
        <f>2*AD402/γs/AE280^2</f>
        <v>0.24440857564410026</v>
      </c>
    </row>
    <row r="405" spans="2:27" ht="18" customHeight="1">
      <c r="B405" s="148"/>
      <c r="C405" s="31"/>
      <c r="D405" s="37"/>
      <c r="E405" s="37"/>
      <c r="F405" s="24"/>
      <c r="G405" s="125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127"/>
      <c r="Z405" s="127"/>
      <c r="AA405" s="127"/>
    </row>
    <row r="406" spans="2:24" ht="18" customHeight="1">
      <c r="B406" s="50"/>
      <c r="D406" s="18"/>
      <c r="E406" s="18"/>
      <c r="F406" s="41"/>
      <c r="G406" s="60"/>
      <c r="H406" s="31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</row>
    <row r="407" spans="2:24" ht="18" customHeight="1">
      <c r="B407" s="148"/>
      <c r="C407" s="31"/>
      <c r="D407" s="37"/>
      <c r="E407" s="37"/>
      <c r="F407" s="24"/>
      <c r="G407" s="125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</row>
    <row r="408" spans="2:24" ht="18" customHeight="1">
      <c r="B408" s="50"/>
      <c r="D408" s="18"/>
      <c r="E408" s="18"/>
      <c r="F408" s="41"/>
      <c r="G408" s="60"/>
      <c r="H408" s="31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</row>
    <row r="409" spans="2:24" ht="18" customHeight="1">
      <c r="B409" s="148"/>
      <c r="C409" s="31"/>
      <c r="D409" s="37"/>
      <c r="E409" s="37"/>
      <c r="F409" s="24"/>
      <c r="G409" s="125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</row>
    <row r="410" spans="2:24" ht="18" customHeight="1">
      <c r="B410" s="50"/>
      <c r="D410" s="18"/>
      <c r="E410" s="18"/>
      <c r="F410" s="41"/>
      <c r="G410" s="60"/>
      <c r="H410" s="31"/>
      <c r="I410" s="39"/>
      <c r="J410" s="39"/>
      <c r="K410" s="39"/>
      <c r="L410" s="39"/>
      <c r="M410" s="39"/>
      <c r="N410" s="39"/>
      <c r="O410" s="39"/>
      <c r="P410" s="39"/>
      <c r="Q410" s="39"/>
      <c r="R410" s="32"/>
      <c r="S410" s="32"/>
      <c r="T410" s="39"/>
      <c r="U410" s="39"/>
      <c r="V410" s="39"/>
      <c r="W410" s="39"/>
      <c r="X410" s="39"/>
    </row>
    <row r="411" spans="2:27" ht="18" customHeight="1">
      <c r="B411" s="148"/>
      <c r="C411" s="31"/>
      <c r="D411" s="37"/>
      <c r="E411" s="37"/>
      <c r="F411" s="24"/>
      <c r="G411" s="125"/>
      <c r="I411" s="32"/>
      <c r="J411" s="32"/>
      <c r="K411" s="32"/>
      <c r="L411" s="32"/>
      <c r="M411" s="32"/>
      <c r="N411" s="32"/>
      <c r="O411" s="32"/>
      <c r="P411" s="32"/>
      <c r="Q411" s="32"/>
      <c r="R411" s="39"/>
      <c r="S411" s="39"/>
      <c r="T411" s="32"/>
      <c r="U411" s="32"/>
      <c r="V411" s="32"/>
      <c r="W411" s="32"/>
      <c r="X411" s="32"/>
      <c r="Y411" s="16"/>
      <c r="Z411" s="16"/>
      <c r="AA411" s="16"/>
    </row>
    <row r="412" spans="2:33" ht="18" customHeight="1">
      <c r="B412" s="50"/>
      <c r="D412" s="18"/>
      <c r="E412" s="18"/>
      <c r="F412" s="41"/>
      <c r="G412" s="60"/>
      <c r="H412" s="31"/>
      <c r="I412" s="39"/>
      <c r="J412" s="39"/>
      <c r="K412" s="39"/>
      <c r="L412" s="39"/>
      <c r="M412" s="39"/>
      <c r="N412" s="39"/>
      <c r="O412" s="39"/>
      <c r="P412" s="39"/>
      <c r="Q412" s="39"/>
      <c r="R412" s="32"/>
      <c r="S412" s="32"/>
      <c r="T412" s="32"/>
      <c r="U412" s="32"/>
      <c r="V412" s="32"/>
      <c r="W412" s="32"/>
      <c r="X412" s="32"/>
      <c r="Y412" s="21"/>
      <c r="Z412" s="21"/>
      <c r="AA412" s="21"/>
      <c r="AE412" s="1" t="s">
        <v>240</v>
      </c>
      <c r="AF412" s="9" t="s">
        <v>241</v>
      </c>
      <c r="AG412" s="9">
        <v>100</v>
      </c>
    </row>
    <row r="413" spans="2:33" ht="18" customHeight="1">
      <c r="B413" s="148"/>
      <c r="C413" s="31"/>
      <c r="D413" s="37"/>
      <c r="E413" s="37"/>
      <c r="F413" s="24"/>
      <c r="G413" s="125"/>
      <c r="I413" s="32"/>
      <c r="J413" s="32"/>
      <c r="K413" s="32"/>
      <c r="L413" s="32"/>
      <c r="M413" s="32"/>
      <c r="N413" s="32"/>
      <c r="O413" s="32"/>
      <c r="P413" s="32"/>
      <c r="Q413" s="32"/>
      <c r="R413" s="39"/>
      <c r="S413" s="39"/>
      <c r="T413" s="39"/>
      <c r="U413" s="39"/>
      <c r="V413" s="39"/>
      <c r="W413" s="39"/>
      <c r="X413" s="39"/>
      <c r="AE413" s="1" t="s">
        <v>299</v>
      </c>
      <c r="AF413" s="9" t="s">
        <v>242</v>
      </c>
      <c r="AG413" s="9">
        <v>10</v>
      </c>
    </row>
    <row r="414" spans="2:49" ht="18" customHeight="1">
      <c r="B414" s="50"/>
      <c r="C414" s="1" t="s">
        <v>28</v>
      </c>
      <c r="E414" s="3" t="s">
        <v>72</v>
      </c>
      <c r="F414" s="9">
        <f>AF402</f>
        <v>59</v>
      </c>
      <c r="G414" s="1" t="s">
        <v>270</v>
      </c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AE414" s="1" t="s">
        <v>300</v>
      </c>
      <c r="AG414" s="1" t="s">
        <v>243</v>
      </c>
      <c r="AI414" s="1" t="s">
        <v>244</v>
      </c>
      <c r="AK414" s="1" t="s">
        <v>301</v>
      </c>
      <c r="AM414" s="1" t="s">
        <v>302</v>
      </c>
      <c r="AQ414" s="1" t="s">
        <v>303</v>
      </c>
      <c r="AU414" s="1" t="s">
        <v>245</v>
      </c>
      <c r="AW414" s="1" t="s">
        <v>304</v>
      </c>
    </row>
    <row r="415" spans="2:50" ht="18" customHeight="1">
      <c r="B415" s="50"/>
      <c r="C415" s="1" t="s">
        <v>29</v>
      </c>
      <c r="D415" s="3" t="s">
        <v>30</v>
      </c>
      <c r="E415" s="18" t="s">
        <v>73</v>
      </c>
      <c r="F415" s="35">
        <f>AD402</f>
        <v>39.10537210305604</v>
      </c>
      <c r="G415" s="36" t="s">
        <v>98</v>
      </c>
      <c r="H415" s="31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AD415" s="9" t="s">
        <v>246</v>
      </c>
      <c r="AE415" s="1" t="s">
        <v>247</v>
      </c>
      <c r="AF415" s="1" t="s">
        <v>305</v>
      </c>
      <c r="AG415" s="1" t="s">
        <v>248</v>
      </c>
      <c r="AH415" s="1" t="s">
        <v>305</v>
      </c>
      <c r="AI415" s="1" t="s">
        <v>248</v>
      </c>
      <c r="AJ415" s="1" t="s">
        <v>305</v>
      </c>
      <c r="AK415" s="1" t="s">
        <v>248</v>
      </c>
      <c r="AL415" s="1" t="s">
        <v>305</v>
      </c>
      <c r="AM415" s="9" t="s">
        <v>306</v>
      </c>
      <c r="AN415" s="9" t="s">
        <v>307</v>
      </c>
      <c r="AO415" s="1" t="s">
        <v>249</v>
      </c>
      <c r="AP415" s="1" t="s">
        <v>142</v>
      </c>
      <c r="AQ415" s="9" t="s">
        <v>308</v>
      </c>
      <c r="AR415" s="9" t="s">
        <v>309</v>
      </c>
      <c r="AS415" s="1" t="s">
        <v>249</v>
      </c>
      <c r="AT415" s="1" t="s">
        <v>142</v>
      </c>
      <c r="AU415" s="1" t="s">
        <v>144</v>
      </c>
      <c r="AV415" s="1" t="s">
        <v>310</v>
      </c>
      <c r="AW415" s="1" t="s">
        <v>144</v>
      </c>
      <c r="AX415" s="1" t="s">
        <v>310</v>
      </c>
    </row>
    <row r="416" spans="2:31" ht="18" customHeight="1">
      <c r="B416" s="148"/>
      <c r="C416" s="31"/>
      <c r="D416" s="2" t="s">
        <v>31</v>
      </c>
      <c r="E416" s="37" t="s">
        <v>74</v>
      </c>
      <c r="F416" s="122">
        <f>ROUND(F415*SIN(αl+δu),1)</f>
        <v>15.5</v>
      </c>
      <c r="G416" s="11" t="s">
        <v>98</v>
      </c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AD416" s="9">
        <v>0</v>
      </c>
      <c r="AE416" s="9">
        <v>0</v>
      </c>
    </row>
    <row r="417" spans="2:31" ht="18" customHeight="1">
      <c r="B417" s="50"/>
      <c r="D417" s="2" t="s">
        <v>32</v>
      </c>
      <c r="E417" s="38" t="s">
        <v>75</v>
      </c>
      <c r="F417" s="35">
        <f>ROUND(F415*COS(αl+δu),1)</f>
        <v>35.9</v>
      </c>
      <c r="G417" s="36" t="s">
        <v>98</v>
      </c>
      <c r="H417" s="31"/>
      <c r="I417" s="39"/>
      <c r="J417" s="39"/>
      <c r="K417" s="39"/>
      <c r="L417" s="39"/>
      <c r="M417" s="39"/>
      <c r="N417" s="39"/>
      <c r="O417" s="39"/>
      <c r="P417" s="39"/>
      <c r="Q417" s="39"/>
      <c r="R417" s="31"/>
      <c r="S417" s="31"/>
      <c r="T417" s="39"/>
      <c r="U417" s="39"/>
      <c r="V417" s="39"/>
      <c r="W417" s="39"/>
      <c r="X417" s="39"/>
      <c r="AD417" s="9">
        <f>AE417*AH280</f>
        <v>2</v>
      </c>
      <c r="AE417" s="40">
        <f>AE280</f>
        <v>4</v>
      </c>
    </row>
    <row r="418" spans="2:31" ht="18" customHeight="1">
      <c r="B418" s="148"/>
      <c r="C418" s="1" t="s">
        <v>33</v>
      </c>
      <c r="D418" s="45"/>
      <c r="E418" s="37" t="s">
        <v>128</v>
      </c>
      <c r="F418" s="32">
        <f>AD404</f>
        <v>0.24440857564410026</v>
      </c>
      <c r="G418" s="32" t="s">
        <v>346</v>
      </c>
      <c r="I418" s="32"/>
      <c r="J418" s="32"/>
      <c r="K418" s="32"/>
      <c r="L418" s="32"/>
      <c r="M418" s="32"/>
      <c r="N418" s="32"/>
      <c r="O418" s="32"/>
      <c r="P418" s="32"/>
      <c r="Q418" s="32"/>
      <c r="R418" s="39"/>
      <c r="S418" s="39"/>
      <c r="T418" s="32"/>
      <c r="U418" s="32"/>
      <c r="V418" s="32"/>
      <c r="W418" s="32"/>
      <c r="X418" s="32"/>
      <c r="AD418" s="9">
        <f>AD417+'入力'!E4</f>
        <v>2.4</v>
      </c>
      <c r="AE418" s="40">
        <f>AE417</f>
        <v>4</v>
      </c>
    </row>
    <row r="419" spans="2:31" ht="18" customHeight="1">
      <c r="B419" s="50"/>
      <c r="C419" s="1" t="s">
        <v>34</v>
      </c>
      <c r="E419" s="18" t="s">
        <v>76</v>
      </c>
      <c r="F419" s="48">
        <f>ROUND(Hl/3,2)</f>
        <v>1.33</v>
      </c>
      <c r="G419" s="60" t="s">
        <v>99</v>
      </c>
      <c r="H419" s="31"/>
      <c r="I419" s="39"/>
      <c r="J419" s="39"/>
      <c r="K419" s="39"/>
      <c r="L419" s="39"/>
      <c r="M419" s="39"/>
      <c r="N419" s="39"/>
      <c r="O419" s="39"/>
      <c r="P419" s="39"/>
      <c r="Q419" s="39"/>
      <c r="R419" s="32"/>
      <c r="S419" s="32"/>
      <c r="T419" s="31"/>
      <c r="U419" s="31"/>
      <c r="V419" s="31"/>
      <c r="W419" s="31"/>
      <c r="X419" s="31"/>
      <c r="Y419" s="127"/>
      <c r="Z419" s="127"/>
      <c r="AA419" s="127"/>
      <c r="AD419" s="40">
        <f>E249</f>
        <v>2.4</v>
      </c>
      <c r="AE419" s="9">
        <f>0</f>
        <v>0</v>
      </c>
    </row>
    <row r="420" spans="2:31" ht="18" customHeight="1">
      <c r="B420" s="148"/>
      <c r="C420" s="31"/>
      <c r="D420" s="37"/>
      <c r="E420" s="37" t="s">
        <v>77</v>
      </c>
      <c r="F420" s="24">
        <f>ROUND(E249-F419*TAN(αl),2)</f>
        <v>2.4</v>
      </c>
      <c r="G420" s="125" t="s">
        <v>99</v>
      </c>
      <c r="I420" s="32"/>
      <c r="J420" s="32"/>
      <c r="K420" s="32"/>
      <c r="L420" s="32"/>
      <c r="M420" s="32"/>
      <c r="N420" s="32"/>
      <c r="O420" s="32"/>
      <c r="P420" s="32"/>
      <c r="Q420" s="32"/>
      <c r="R420" s="66"/>
      <c r="S420" s="66"/>
      <c r="T420" s="39"/>
      <c r="U420" s="39"/>
      <c r="V420" s="39"/>
      <c r="W420" s="39"/>
      <c r="X420" s="39"/>
      <c r="AD420" s="9">
        <v>0</v>
      </c>
      <c r="AE420" s="9">
        <v>0</v>
      </c>
    </row>
    <row r="421" spans="3:32" ht="18" customHeight="1">
      <c r="C421" s="79"/>
      <c r="D421" s="18"/>
      <c r="E421" s="48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132"/>
      <c r="S421" s="132"/>
      <c r="T421" s="32"/>
      <c r="U421" s="32"/>
      <c r="V421" s="32"/>
      <c r="W421" s="32"/>
      <c r="X421" s="32"/>
      <c r="AC421" s="44"/>
      <c r="AD421" s="128">
        <f>AD419+λ</f>
        <v>5.4</v>
      </c>
      <c r="AF421" s="128">
        <f>AE280-AE282</f>
        <v>3.5</v>
      </c>
    </row>
    <row r="422" spans="1:32" ht="18" customHeight="1">
      <c r="A422" s="106" t="s">
        <v>378</v>
      </c>
      <c r="B422" s="83"/>
      <c r="C422" s="83"/>
      <c r="D422" s="83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132"/>
      <c r="S422" s="132"/>
      <c r="T422" s="66"/>
      <c r="U422" s="66"/>
      <c r="V422" s="66"/>
      <c r="W422" s="66"/>
      <c r="X422" s="66"/>
      <c r="AC422" s="44"/>
      <c r="AD422" s="9">
        <f>AD421+AE279*AH278</f>
        <v>6</v>
      </c>
      <c r="AF422" s="128">
        <f>AF421+Ha</f>
        <v>5.5</v>
      </c>
    </row>
    <row r="423" spans="1:32" ht="18" customHeight="1">
      <c r="A423" s="142"/>
      <c r="B423" s="33"/>
      <c r="C423" s="33"/>
      <c r="D423" s="33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133"/>
      <c r="S423" s="133"/>
      <c r="T423" s="132"/>
      <c r="U423" s="132"/>
      <c r="V423" s="132"/>
      <c r="W423" s="132"/>
      <c r="X423" s="132"/>
      <c r="AC423" s="44"/>
      <c r="AD423" s="9">
        <f>AD422+bu</f>
        <v>6.4</v>
      </c>
      <c r="AF423" s="128">
        <f>AF422</f>
        <v>5.5</v>
      </c>
    </row>
    <row r="424" spans="2:32" ht="18" customHeight="1">
      <c r="B424" s="67" t="s">
        <v>40</v>
      </c>
      <c r="C424" s="63" t="s">
        <v>81</v>
      </c>
      <c r="D424" s="63" t="s">
        <v>82</v>
      </c>
      <c r="E424" s="63" t="s">
        <v>83</v>
      </c>
      <c r="F424" s="63" t="s">
        <v>84</v>
      </c>
      <c r="G424" s="63" t="s">
        <v>85</v>
      </c>
      <c r="H424" s="8" t="s">
        <v>86</v>
      </c>
      <c r="I424" s="66"/>
      <c r="J424" s="66"/>
      <c r="K424" s="66"/>
      <c r="L424" s="66"/>
      <c r="M424" s="66"/>
      <c r="N424" s="66"/>
      <c r="O424" s="66"/>
      <c r="P424" s="66"/>
      <c r="Q424" s="66"/>
      <c r="T424" s="132"/>
      <c r="U424" s="132"/>
      <c r="V424" s="132"/>
      <c r="W424" s="132"/>
      <c r="X424" s="132"/>
      <c r="AC424" s="44"/>
      <c r="AD424" s="128">
        <f>AD421+B</f>
        <v>6.800000000000001</v>
      </c>
      <c r="AF424" s="128">
        <f>AF421</f>
        <v>3.5</v>
      </c>
    </row>
    <row r="425" spans="2:32" ht="18" customHeight="1">
      <c r="B425" s="68" t="s">
        <v>41</v>
      </c>
      <c r="C425" s="69">
        <f>F270</f>
        <v>128.8</v>
      </c>
      <c r="D425" s="69">
        <v>0</v>
      </c>
      <c r="E425" s="70">
        <f>G272</f>
        <v>1.58</v>
      </c>
      <c r="F425" s="70">
        <f>G274</f>
        <v>1.523809523809524</v>
      </c>
      <c r="G425" s="69">
        <f>C425*E425</f>
        <v>203.50400000000002</v>
      </c>
      <c r="H425" s="46">
        <v>0</v>
      </c>
      <c r="I425" s="132"/>
      <c r="J425" s="132"/>
      <c r="K425" s="132"/>
      <c r="L425" s="132"/>
      <c r="M425" s="132"/>
      <c r="N425" s="132"/>
      <c r="O425" s="132"/>
      <c r="P425" s="132"/>
      <c r="Q425" s="132"/>
      <c r="R425" s="31"/>
      <c r="S425" s="31"/>
      <c r="T425" s="133"/>
      <c r="U425" s="133"/>
      <c r="V425" s="133"/>
      <c r="W425" s="133"/>
      <c r="X425" s="133"/>
      <c r="Y425" s="127"/>
      <c r="Z425" s="127"/>
      <c r="AA425" s="127"/>
      <c r="AC425" s="44"/>
      <c r="AD425" s="128">
        <f>AD421</f>
        <v>5.4</v>
      </c>
      <c r="AF425" s="128">
        <f>AF421</f>
        <v>3.5</v>
      </c>
    </row>
    <row r="426" spans="2:33" ht="18" customHeight="1">
      <c r="B426" s="68" t="s">
        <v>42</v>
      </c>
      <c r="C426" s="69">
        <f>F416</f>
        <v>15.5</v>
      </c>
      <c r="D426" s="69">
        <f>F417</f>
        <v>35.9</v>
      </c>
      <c r="E426" s="70">
        <f>F420</f>
        <v>2.4</v>
      </c>
      <c r="F426" s="70">
        <f>F419</f>
        <v>1.33</v>
      </c>
      <c r="G426" s="69">
        <f>C426*E426</f>
        <v>37.199999999999996</v>
      </c>
      <c r="H426" s="46">
        <f>D426*F426</f>
        <v>47.747</v>
      </c>
      <c r="I426" s="132"/>
      <c r="J426" s="132"/>
      <c r="K426" s="132"/>
      <c r="L426" s="132"/>
      <c r="M426" s="132"/>
      <c r="N426" s="132"/>
      <c r="O426" s="132"/>
      <c r="P426" s="132"/>
      <c r="Q426" s="132"/>
      <c r="R426" s="31"/>
      <c r="S426" s="31"/>
      <c r="AB426" s="127"/>
      <c r="AD426" s="9">
        <f>AD418</f>
        <v>2.4</v>
      </c>
      <c r="AG426" s="40">
        <f>AE418</f>
        <v>4</v>
      </c>
    </row>
    <row r="427" spans="2:33" ht="18" customHeight="1">
      <c r="B427" s="71" t="s">
        <v>43</v>
      </c>
      <c r="C427" s="72">
        <f>SUM(C425:C426)</f>
        <v>144.3</v>
      </c>
      <c r="D427" s="72">
        <f>SUM(D425:D426)</f>
        <v>35.9</v>
      </c>
      <c r="E427" s="214" t="s">
        <v>348</v>
      </c>
      <c r="F427" s="214" t="s">
        <v>348</v>
      </c>
      <c r="G427" s="72">
        <f>SUM(G425:G426)</f>
        <v>240.704</v>
      </c>
      <c r="H427" s="47">
        <f>SUM(H425:H426)</f>
        <v>47.747</v>
      </c>
      <c r="I427" s="133"/>
      <c r="J427" s="133"/>
      <c r="K427" s="133"/>
      <c r="L427" s="133"/>
      <c r="M427" s="133"/>
      <c r="N427" s="133"/>
      <c r="O427" s="133"/>
      <c r="P427" s="133"/>
      <c r="Q427" s="133"/>
      <c r="T427" s="31"/>
      <c r="U427" s="31"/>
      <c r="V427" s="31"/>
      <c r="W427" s="31"/>
      <c r="X427" s="31"/>
      <c r="AC427" s="44"/>
      <c r="AD427" s="9">
        <f>AD426+AL402</f>
        <v>5.55</v>
      </c>
      <c r="AG427" s="40">
        <f>AG426</f>
        <v>4</v>
      </c>
    </row>
    <row r="428" spans="18:34" ht="18" customHeight="1">
      <c r="R428" s="31"/>
      <c r="S428" s="31"/>
      <c r="T428" s="31"/>
      <c r="U428" s="31"/>
      <c r="V428" s="31"/>
      <c r="W428" s="31"/>
      <c r="X428" s="31"/>
      <c r="AC428" s="44"/>
      <c r="AD428" s="9">
        <f>AD423</f>
        <v>6.4</v>
      </c>
      <c r="AH428" s="128">
        <f>AF423</f>
        <v>5.5</v>
      </c>
    </row>
    <row r="429" spans="3:34" ht="18" customHeight="1">
      <c r="C429" s="1" t="s">
        <v>44</v>
      </c>
      <c r="E429" s="18"/>
      <c r="F429" s="205">
        <f>ROUND((G427-H427)/C427,2)</f>
        <v>1.34</v>
      </c>
      <c r="G429" s="31" t="s">
        <v>96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AC429" s="44"/>
      <c r="AD429" s="9">
        <f>AD428+Ho/TAN(β)</f>
        <v>6.4</v>
      </c>
      <c r="AH429" s="128">
        <f>AH428+Ho</f>
        <v>5.5</v>
      </c>
    </row>
    <row r="430" spans="2:34" ht="18" customHeight="1">
      <c r="B430" s="31"/>
      <c r="C430" s="31"/>
      <c r="D430" s="31"/>
      <c r="E430" s="31"/>
      <c r="F430" s="124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T430" s="31"/>
      <c r="U430" s="31"/>
      <c r="V430" s="31"/>
      <c r="W430" s="31"/>
      <c r="X430" s="31"/>
      <c r="AD430" s="128">
        <f>MAX(AD429+3,AD441,AD439)</f>
        <v>9.4</v>
      </c>
      <c r="AH430" s="128">
        <f>AH429</f>
        <v>5.5</v>
      </c>
    </row>
    <row r="431" spans="2:35" ht="18" customHeight="1">
      <c r="B431" s="31"/>
      <c r="C431" s="31"/>
      <c r="D431" s="31"/>
      <c r="E431" s="37"/>
      <c r="F431" s="202"/>
      <c r="R431" s="31"/>
      <c r="S431" s="31"/>
      <c r="AD431" s="9">
        <f>AD426</f>
        <v>2.4</v>
      </c>
      <c r="AI431" s="40">
        <f>AG426</f>
        <v>4</v>
      </c>
    </row>
    <row r="432" spans="3:35" ht="18" customHeight="1">
      <c r="C432" s="1" t="s">
        <v>45</v>
      </c>
      <c r="E432" s="18"/>
      <c r="F432" s="205">
        <f>ROUND(Bl/2-F429,2)</f>
        <v>-0.14</v>
      </c>
      <c r="G432" s="31" t="s">
        <v>96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AD432" s="9">
        <f>AD431</f>
        <v>2.4</v>
      </c>
      <c r="AI432" s="9">
        <f>AI431+AE289/γs</f>
        <v>4</v>
      </c>
    </row>
    <row r="433" spans="1:35" s="31" customFormat="1" ht="18" customHeight="1">
      <c r="A433" s="123"/>
      <c r="E433" s="37"/>
      <c r="F433" s="4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AD433" s="31">
        <f>AD427</f>
        <v>5.55</v>
      </c>
      <c r="AI433" s="31">
        <f>AI432</f>
        <v>4</v>
      </c>
    </row>
    <row r="434" spans="3:35" ht="18" customHeight="1">
      <c r="C434" s="3" t="s">
        <v>46</v>
      </c>
      <c r="D434" s="27" t="s">
        <v>87</v>
      </c>
      <c r="E434" s="157">
        <f>IF(F432&lt;=Bl/6,C427/Bl*(1+6*F432/Bl),2*C427/(3*F429))</f>
        <v>39.08125</v>
      </c>
      <c r="F434" s="31" t="s">
        <v>271</v>
      </c>
      <c r="G434" s="49" t="s">
        <v>88</v>
      </c>
      <c r="H434" s="96">
        <f>IF(F432&lt;=G375/6,C427/G375*(1-6*F432/G375),0)</f>
        <v>81.16875000000002</v>
      </c>
      <c r="I434" s="9" t="s">
        <v>271</v>
      </c>
      <c r="AD434" s="9">
        <f>AD433</f>
        <v>5.55</v>
      </c>
      <c r="AI434" s="40">
        <f>AI431</f>
        <v>4</v>
      </c>
    </row>
    <row r="435" spans="4:36" ht="18" customHeight="1">
      <c r="D435" s="27" t="s">
        <v>89</v>
      </c>
      <c r="E435" s="157">
        <f>MAX(E434,H434)</f>
        <v>81.16875000000002</v>
      </c>
      <c r="F435" s="31" t="s">
        <v>271</v>
      </c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AD435" s="9">
        <f>AD429</f>
        <v>6.4</v>
      </c>
      <c r="AJ435" s="128">
        <f>AH429</f>
        <v>5.5</v>
      </c>
    </row>
    <row r="436" spans="2:36" ht="18" customHeight="1">
      <c r="B436" s="31"/>
      <c r="C436" s="31"/>
      <c r="D436" s="31"/>
      <c r="E436" s="37"/>
      <c r="F436" s="40"/>
      <c r="AD436" s="9">
        <f>AD435</f>
        <v>6.4</v>
      </c>
      <c r="AJ436" s="9">
        <f>AJ435+AE288/γs</f>
        <v>6</v>
      </c>
    </row>
    <row r="437" spans="5:36" ht="18" customHeight="1">
      <c r="E437" s="18"/>
      <c r="F437" s="48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AD437" s="128">
        <f>AD430</f>
        <v>9.4</v>
      </c>
      <c r="AJ437" s="9">
        <f>AJ436</f>
        <v>6</v>
      </c>
    </row>
    <row r="438" spans="2:37" ht="18" customHeight="1">
      <c r="B438" s="31"/>
      <c r="C438" s="31"/>
      <c r="D438" s="31"/>
      <c r="E438" s="37"/>
      <c r="F438" s="40"/>
      <c r="AD438" s="40">
        <f>AD419</f>
        <v>2.4</v>
      </c>
      <c r="AK438" s="9">
        <v>0</v>
      </c>
    </row>
    <row r="439" spans="5:37" ht="18" customHeight="1">
      <c r="E439" s="18"/>
      <c r="F439" s="48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AD439" s="9">
        <f>AD438+AK439/TAN(AG402)</f>
        <v>4.803442476110242</v>
      </c>
      <c r="AK439" s="9">
        <f>IF(AG402&gt;=ω3,AE280,IF(AG402&gt;ω2,AS402,IF(AG402&gt;=ω1,AF421,IF(AG402&lt;=ωb,AH429,ν*SIN(β)*SIN($AG$402)/SIN($AG$402-β)+($AE$279+$AE$280-$AE$282)))))</f>
        <v>4</v>
      </c>
    </row>
    <row r="440" spans="2:38" ht="18" customHeight="1">
      <c r="B440" s="31"/>
      <c r="C440" s="31"/>
      <c r="D440" s="31"/>
      <c r="E440" s="37"/>
      <c r="F440" s="40"/>
      <c r="AD440" s="128">
        <f>AD424</f>
        <v>6.800000000000001</v>
      </c>
      <c r="AL440" s="128">
        <f>AF424</f>
        <v>3.5</v>
      </c>
    </row>
    <row r="441" spans="5:38" ht="18" customHeight="1">
      <c r="E441" s="18"/>
      <c r="F441" s="48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AD441" s="128">
        <f>AD421+AI23</f>
        <v>7.819050898988858</v>
      </c>
      <c r="AL441" s="128">
        <f>AF421+AK23</f>
        <v>5.5</v>
      </c>
    </row>
    <row r="442" spans="2:39" ht="18" customHeight="1">
      <c r="B442" s="31"/>
      <c r="C442" s="31"/>
      <c r="D442" s="31"/>
      <c r="E442" s="37"/>
      <c r="F442" s="40"/>
      <c r="AD442" s="158">
        <f>$AD$419</f>
        <v>2.4</v>
      </c>
      <c r="AM442" s="9">
        <f>MAX(AE416:AL441)+1</f>
        <v>7</v>
      </c>
    </row>
    <row r="443" spans="5:39" ht="18" customHeight="1">
      <c r="E443" s="18"/>
      <c r="F443" s="48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AD443" s="158">
        <f>AD442</f>
        <v>2.4</v>
      </c>
      <c r="AM443" s="9">
        <f>AM442+AD402/$AG$413</f>
        <v>10.910537210305604</v>
      </c>
    </row>
    <row r="444" spans="2:40" ht="18" customHeight="1">
      <c r="B444" s="31"/>
      <c r="C444" s="31"/>
      <c r="D444" s="31"/>
      <c r="E444" s="37"/>
      <c r="F444" s="40"/>
      <c r="AD444" s="158">
        <f>AD442</f>
        <v>2.4</v>
      </c>
      <c r="AN444" s="9">
        <f>AM442</f>
        <v>7</v>
      </c>
    </row>
    <row r="445" spans="1:40" s="31" customFormat="1" ht="18" customHeight="1">
      <c r="A445" s="123"/>
      <c r="B445" s="9"/>
      <c r="C445" s="9"/>
      <c r="D445" s="9"/>
      <c r="E445" s="18"/>
      <c r="F445" s="48"/>
      <c r="AD445" s="134">
        <f>AD444+AB402</f>
        <v>7.398518023597401</v>
      </c>
      <c r="AN445" s="31">
        <f>AN444</f>
        <v>7</v>
      </c>
    </row>
    <row r="446" spans="1:41" s="31" customFormat="1" ht="18" customHeight="1">
      <c r="A446" s="123"/>
      <c r="E446" s="37"/>
      <c r="F446" s="4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AD446" s="134">
        <f>$AD$419+AB291</f>
        <v>7.398518023597401</v>
      </c>
      <c r="AO446" s="31">
        <f>$AN$445+AD291/$AG$413</f>
        <v>7</v>
      </c>
    </row>
    <row r="447" spans="1:41" s="31" customFormat="1" ht="18" customHeight="1">
      <c r="A447" s="123"/>
      <c r="B447" s="9"/>
      <c r="C447" s="9"/>
      <c r="D447" s="9"/>
      <c r="E447" s="18"/>
      <c r="F447" s="48"/>
      <c r="R447" s="45"/>
      <c r="S447" s="45"/>
      <c r="AD447" s="134">
        <f aca="true" t="shared" si="124" ref="AD447:AD510">$AD$419+AB292</f>
        <v>7.306819030667176</v>
      </c>
      <c r="AO447" s="31">
        <f aca="true" t="shared" si="125" ref="AO447:AO510">$AN$445+AD292/$AG$413</f>
        <v>7.34592875920818</v>
      </c>
    </row>
    <row r="448" spans="1:41" s="31" customFormat="1" ht="18" customHeight="1">
      <c r="A448" s="123"/>
      <c r="E448" s="37"/>
      <c r="F448" s="4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79"/>
      <c r="S448" s="79"/>
      <c r="T448" s="9"/>
      <c r="U448" s="9"/>
      <c r="V448" s="9"/>
      <c r="W448" s="9"/>
      <c r="X448" s="9"/>
      <c r="AD448" s="134">
        <f t="shared" si="124"/>
        <v>7.217336721649108</v>
      </c>
      <c r="AO448" s="31">
        <f t="shared" si="125"/>
        <v>7.672079621985634</v>
      </c>
    </row>
    <row r="449" spans="1:41" s="31" customFormat="1" ht="18" customHeight="1">
      <c r="A449" s="123"/>
      <c r="B449" s="9"/>
      <c r="C449" s="9"/>
      <c r="D449" s="9"/>
      <c r="E449" s="18"/>
      <c r="F449" s="48"/>
      <c r="R449" s="122"/>
      <c r="S449" s="122"/>
      <c r="T449" s="45"/>
      <c r="U449" s="45"/>
      <c r="V449" s="45"/>
      <c r="W449" s="45"/>
      <c r="X449" s="45"/>
      <c r="AD449" s="134">
        <f t="shared" si="124"/>
        <v>7.129978532810329</v>
      </c>
      <c r="AO449" s="31">
        <f t="shared" si="125"/>
        <v>7.9793299951335745</v>
      </c>
    </row>
    <row r="450" spans="1:41" s="31" customFormat="1" ht="18" customHeight="1">
      <c r="A450" s="123"/>
      <c r="E450" s="37"/>
      <c r="F450" s="4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27"/>
      <c r="S450" s="27"/>
      <c r="T450" s="79"/>
      <c r="U450" s="79"/>
      <c r="V450" s="79"/>
      <c r="W450" s="79"/>
      <c r="X450" s="79"/>
      <c r="AD450" s="134">
        <f t="shared" si="124"/>
        <v>7.044656875671436</v>
      </c>
      <c r="AO450" s="31">
        <f t="shared" si="125"/>
        <v>8.268505431055662</v>
      </c>
    </row>
    <row r="451" spans="1:41" s="31" customFormat="1" ht="18" customHeight="1">
      <c r="A451" s="123" t="s">
        <v>379</v>
      </c>
      <c r="B451" s="79"/>
      <c r="C451" s="27"/>
      <c r="D451" s="3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124"/>
      <c r="S451" s="124"/>
      <c r="T451" s="122"/>
      <c r="U451" s="122"/>
      <c r="V451" s="122"/>
      <c r="W451" s="122"/>
      <c r="X451" s="122"/>
      <c r="AC451" s="42"/>
      <c r="AD451" s="134">
        <f t="shared" si="124"/>
        <v>6.961288804944219</v>
      </c>
      <c r="AO451" s="31">
        <f t="shared" si="125"/>
        <v>8.540383182435967</v>
      </c>
    </row>
    <row r="452" spans="1:41" s="31" customFormat="1" ht="18" customHeight="1">
      <c r="A452" s="123" t="s">
        <v>380</v>
      </c>
      <c r="C452" s="49"/>
      <c r="D452" s="122"/>
      <c r="E452" s="9"/>
      <c r="F452" s="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124"/>
      <c r="S452" s="124"/>
      <c r="T452" s="27"/>
      <c r="U452" s="27"/>
      <c r="V452" s="27"/>
      <c r="W452" s="27"/>
      <c r="X452" s="27"/>
      <c r="AC452" s="121"/>
      <c r="AD452" s="134">
        <f t="shared" si="124"/>
        <v>6.879795712675776</v>
      </c>
      <c r="AO452" s="31">
        <f t="shared" si="125"/>
        <v>8.795695470460268</v>
      </c>
    </row>
    <row r="453" spans="2:41" ht="18" customHeight="1">
      <c r="B453" s="1" t="s">
        <v>102</v>
      </c>
      <c r="C453" s="27" t="s">
        <v>103</v>
      </c>
      <c r="D453" s="205">
        <f>Bl</f>
        <v>2.4</v>
      </c>
      <c r="E453" s="31" t="s">
        <v>101</v>
      </c>
      <c r="F453" s="1" t="s">
        <v>91</v>
      </c>
      <c r="G453" s="49" t="s">
        <v>104</v>
      </c>
      <c r="H453" s="202">
        <f>F432</f>
        <v>-0.14</v>
      </c>
      <c r="I453" s="122" t="s">
        <v>202</v>
      </c>
      <c r="J453" s="122"/>
      <c r="K453" s="122"/>
      <c r="L453" s="122"/>
      <c r="M453" s="122"/>
      <c r="N453" s="122"/>
      <c r="O453" s="122"/>
      <c r="P453" s="122"/>
      <c r="Q453" s="122"/>
      <c r="T453" s="124"/>
      <c r="U453" s="124"/>
      <c r="V453" s="124"/>
      <c r="W453" s="124"/>
      <c r="X453" s="124"/>
      <c r="Y453" s="31"/>
      <c r="Z453" s="31"/>
      <c r="AA453" s="31"/>
      <c r="AB453" s="31"/>
      <c r="AC453" s="162"/>
      <c r="AD453" s="158">
        <f t="shared" si="124"/>
        <v>6.800103046216341</v>
      </c>
      <c r="AO453" s="9">
        <f t="shared" si="125"/>
        <v>9.035132492854972</v>
      </c>
    </row>
    <row r="454" spans="3:41" ht="18" customHeight="1">
      <c r="C454" s="79"/>
      <c r="D454" s="79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T454" s="124"/>
      <c r="U454" s="124"/>
      <c r="V454" s="124"/>
      <c r="W454" s="124"/>
      <c r="X454" s="124"/>
      <c r="AC454" s="33"/>
      <c r="AD454" s="158">
        <f t="shared" si="124"/>
        <v>6.72214004787268</v>
      </c>
      <c r="AO454" s="9">
        <f t="shared" si="125"/>
        <v>10.37683263879184</v>
      </c>
    </row>
    <row r="455" spans="2:41" ht="18" customHeight="1">
      <c r="B455" s="1" t="s">
        <v>105</v>
      </c>
      <c r="C455" s="31"/>
      <c r="D455" s="205">
        <f>ROUND(Bl/ABS(2*H453),2)</f>
        <v>8.57</v>
      </c>
      <c r="E455" s="124" t="str">
        <f>IF(D455&gt;F455,"&gt;","&lt;")</f>
        <v>&gt;</v>
      </c>
      <c r="F455" s="205">
        <v>3</v>
      </c>
      <c r="G455" s="31"/>
      <c r="H455" s="124" t="str">
        <f>IF(D455&gt;F455,"SAFE","OUT")</f>
        <v>SAFE</v>
      </c>
      <c r="I455" s="124"/>
      <c r="J455" s="124"/>
      <c r="K455" s="124"/>
      <c r="L455" s="124"/>
      <c r="M455" s="124"/>
      <c r="N455" s="124"/>
      <c r="O455" s="124"/>
      <c r="P455" s="124"/>
      <c r="Q455" s="124"/>
      <c r="AD455" s="158">
        <f t="shared" si="124"/>
        <v>6.6458395143252655</v>
      </c>
      <c r="AO455" s="9">
        <f t="shared" si="125"/>
        <v>10.443288146771499</v>
      </c>
    </row>
    <row r="456" spans="2:41" ht="18" customHeight="1">
      <c r="B456" s="31"/>
      <c r="C456" s="31"/>
      <c r="D456" s="48"/>
      <c r="E456" s="124"/>
      <c r="F456" s="48"/>
      <c r="G456" s="31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AD456" s="158">
        <f t="shared" si="124"/>
        <v>6.571137574079735</v>
      </c>
      <c r="AO456" s="9">
        <f t="shared" si="125"/>
        <v>10.502662038029067</v>
      </c>
    </row>
    <row r="457" spans="1:41" ht="18" customHeight="1">
      <c r="A457" s="123" t="s">
        <v>381</v>
      </c>
      <c r="B457" s="49"/>
      <c r="R457" s="31"/>
      <c r="S457" s="31"/>
      <c r="AD457" s="158">
        <f t="shared" si="124"/>
        <v>6.4979734813938865</v>
      </c>
      <c r="AO457" s="9">
        <f t="shared" si="125"/>
        <v>10.555044218449508</v>
      </c>
    </row>
    <row r="458" spans="2:41" ht="18" customHeight="1">
      <c r="B458" s="2" t="s">
        <v>106</v>
      </c>
      <c r="C458" s="2" t="s">
        <v>129</v>
      </c>
      <c r="D458" s="202">
        <f>C427</f>
        <v>144.3</v>
      </c>
      <c r="E458" s="9" t="s">
        <v>107</v>
      </c>
      <c r="R458" s="124"/>
      <c r="S458" s="124"/>
      <c r="AD458" s="158">
        <f t="shared" si="124"/>
        <v>6.426289425273534</v>
      </c>
      <c r="AO458" s="9">
        <f t="shared" si="125"/>
        <v>10.600526243996878</v>
      </c>
    </row>
    <row r="459" spans="2:41" ht="18" customHeight="1">
      <c r="B459" s="2" t="s">
        <v>108</v>
      </c>
      <c r="C459" s="2" t="s">
        <v>130</v>
      </c>
      <c r="D459" s="202">
        <f>D427</f>
        <v>35.9</v>
      </c>
      <c r="E459" s="9" t="s">
        <v>109</v>
      </c>
      <c r="R459" s="124"/>
      <c r="S459" s="124"/>
      <c r="T459" s="31"/>
      <c r="U459" s="31"/>
      <c r="V459" s="31"/>
      <c r="W459" s="31"/>
      <c r="X459" s="31"/>
      <c r="AD459" s="158">
        <f t="shared" si="124"/>
        <v>6.356030352266135</v>
      </c>
      <c r="AO459" s="9">
        <f t="shared" si="125"/>
        <v>10.639200652792848</v>
      </c>
    </row>
    <row r="460" spans="2:41" ht="18" customHeight="1">
      <c r="B460" s="2" t="s">
        <v>110</v>
      </c>
      <c r="C460" s="2" t="s">
        <v>131</v>
      </c>
      <c r="D460" s="127">
        <f>μ</f>
        <v>0.6</v>
      </c>
      <c r="T460" s="124"/>
      <c r="U460" s="124"/>
      <c r="V460" s="124"/>
      <c r="W460" s="124"/>
      <c r="X460" s="124"/>
      <c r="AD460" s="158">
        <f t="shared" si="124"/>
        <v>6.287143801902175</v>
      </c>
      <c r="AO460" s="9">
        <f t="shared" si="125"/>
        <v>10.671160384937082</v>
      </c>
    </row>
    <row r="461" spans="2:41" ht="18" customHeight="1">
      <c r="B461" s="27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124"/>
      <c r="U461" s="124"/>
      <c r="V461" s="124"/>
      <c r="W461" s="124"/>
      <c r="X461" s="124"/>
      <c r="AC461" s="33"/>
      <c r="AD461" s="158">
        <f t="shared" si="124"/>
        <v>6.219579753742449</v>
      </c>
      <c r="AO461" s="9">
        <f t="shared" si="125"/>
        <v>10.696498279303052</v>
      </c>
    </row>
    <row r="462" spans="2:41" ht="18" customHeight="1">
      <c r="B462" s="1" t="s">
        <v>254</v>
      </c>
      <c r="C462" s="31"/>
      <c r="D462" s="31"/>
      <c r="E462" s="124">
        <f>ROUND(C427*μ/D427,2)</f>
        <v>2.41</v>
      </c>
      <c r="F462" s="124" t="str">
        <f>IF(E462&gt;G462,"&gt;","&lt;")</f>
        <v>&gt;</v>
      </c>
      <c r="G462" s="205">
        <v>1.5</v>
      </c>
      <c r="H462" s="124" t="str">
        <f>IF(E462&gt;G462,"SAFE","OUT")</f>
        <v>SAFE</v>
      </c>
      <c r="I462" s="124"/>
      <c r="J462" s="124"/>
      <c r="K462" s="124"/>
      <c r="L462" s="124"/>
      <c r="M462" s="124"/>
      <c r="N462" s="124"/>
      <c r="O462" s="124"/>
      <c r="P462" s="124"/>
      <c r="Q462" s="124"/>
      <c r="AC462" s="33"/>
      <c r="AD462" s="158">
        <f t="shared" si="124"/>
        <v>6.153290485086389</v>
      </c>
      <c r="AO462" s="9">
        <f t="shared" si="125"/>
        <v>10.715306637873717</v>
      </c>
    </row>
    <row r="463" spans="1:41" s="31" customFormat="1" ht="18" customHeight="1">
      <c r="A463" s="123"/>
      <c r="E463" s="124"/>
      <c r="F463" s="124"/>
      <c r="G463" s="205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AC463" s="83"/>
      <c r="AD463" s="134">
        <f t="shared" si="124"/>
        <v>6.088230438483368</v>
      </c>
      <c r="AO463" s="31">
        <f t="shared" si="125"/>
        <v>10.727676849340098</v>
      </c>
    </row>
    <row r="464" spans="2:41" ht="18" customHeight="1">
      <c r="B464" s="31"/>
      <c r="C464" s="49"/>
      <c r="E464" s="127"/>
      <c r="G464" s="127"/>
      <c r="AC464" s="33"/>
      <c r="AD464" s="158">
        <f t="shared" si="124"/>
        <v>6.024356098266994</v>
      </c>
      <c r="AO464" s="9">
        <f t="shared" si="125"/>
        <v>10.733699064695974</v>
      </c>
    </row>
    <row r="465" spans="1:41" s="31" customFormat="1" ht="18" customHeight="1">
      <c r="A465" s="123" t="s">
        <v>367</v>
      </c>
      <c r="B465" s="125"/>
      <c r="C465" s="27"/>
      <c r="E465" s="124"/>
      <c r="G465" s="124"/>
      <c r="R465" s="124"/>
      <c r="S465" s="124"/>
      <c r="AC465" s="83"/>
      <c r="AD465" s="134">
        <f t="shared" si="124"/>
        <v>5.961625875402438</v>
      </c>
      <c r="AO465" s="31">
        <f t="shared" si="125"/>
        <v>10.733461918443524</v>
      </c>
    </row>
    <row r="466" spans="2:41" ht="18" customHeight="1">
      <c r="B466" s="126" t="s">
        <v>113</v>
      </c>
      <c r="C466" s="49"/>
      <c r="D466" s="49" t="s">
        <v>138</v>
      </c>
      <c r="E466" s="96">
        <f>qd</f>
        <v>900</v>
      </c>
      <c r="F466" s="9" t="s">
        <v>116</v>
      </c>
      <c r="G466" s="127"/>
      <c r="AC466" s="33"/>
      <c r="AD466" s="158">
        <f t="shared" si="124"/>
        <v>5.9</v>
      </c>
      <c r="AO466" s="9">
        <f t="shared" si="125"/>
        <v>10.727052289794909</v>
      </c>
    </row>
    <row r="467" spans="1:41" s="31" customFormat="1" ht="18" customHeight="1">
      <c r="A467" s="123"/>
      <c r="B467" s="126" t="s">
        <v>272</v>
      </c>
      <c r="C467" s="27"/>
      <c r="D467" s="27" t="s">
        <v>347</v>
      </c>
      <c r="E467" s="157">
        <f>E435</f>
        <v>81.16875000000002</v>
      </c>
      <c r="F467" s="31" t="s">
        <v>115</v>
      </c>
      <c r="G467" s="124"/>
      <c r="R467" s="9"/>
      <c r="S467" s="9"/>
      <c r="T467" s="124"/>
      <c r="U467" s="124"/>
      <c r="V467" s="124"/>
      <c r="W467" s="124"/>
      <c r="X467" s="124"/>
      <c r="AC467" s="83"/>
      <c r="AD467" s="134">
        <f t="shared" si="124"/>
        <v>5.839440420904915</v>
      </c>
      <c r="AO467" s="31">
        <f t="shared" si="125"/>
        <v>10.714555098928557</v>
      </c>
    </row>
    <row r="468" spans="2:41" ht="18" customHeight="1">
      <c r="B468" s="31"/>
      <c r="C468" s="49"/>
      <c r="E468" s="127"/>
      <c r="G468" s="127"/>
      <c r="AC468" s="33"/>
      <c r="AD468" s="158">
        <f t="shared" si="124"/>
        <v>5.77991071182476</v>
      </c>
      <c r="AO468" s="9">
        <f t="shared" si="125"/>
        <v>10.696053133948642</v>
      </c>
    </row>
    <row r="469" spans="1:41" s="31" customFormat="1" ht="18" customHeight="1">
      <c r="A469" s="123"/>
      <c r="B469" s="1" t="s">
        <v>114</v>
      </c>
      <c r="C469" s="27"/>
      <c r="E469" s="124">
        <f>ROUND(qd/E435,2)</f>
        <v>11.09</v>
      </c>
      <c r="F469" s="124" t="str">
        <f>IF(E469&gt;G469,"&gt;","&lt;")</f>
        <v>&gt;</v>
      </c>
      <c r="G469" s="205">
        <v>3</v>
      </c>
      <c r="H469" s="124" t="str">
        <f>IF(E469&gt;G469,"SAFE","OUT")</f>
        <v>SAFE</v>
      </c>
      <c r="I469" s="124"/>
      <c r="J469" s="124"/>
      <c r="K469" s="124"/>
      <c r="L469" s="124"/>
      <c r="M469" s="124"/>
      <c r="N469" s="124"/>
      <c r="O469" s="124"/>
      <c r="P469" s="124"/>
      <c r="Q469" s="124"/>
      <c r="R469" s="9"/>
      <c r="S469" s="9"/>
      <c r="T469" s="9"/>
      <c r="U469" s="9"/>
      <c r="V469" s="9"/>
      <c r="W469" s="9"/>
      <c r="X469" s="9"/>
      <c r="AC469" s="83"/>
      <c r="AD469" s="134">
        <f t="shared" si="124"/>
        <v>5.72137598350208</v>
      </c>
      <c r="AO469" s="31">
        <f t="shared" si="125"/>
        <v>10.671626904713161</v>
      </c>
    </row>
    <row r="470" spans="2:41" ht="18" customHeight="1">
      <c r="B470" s="31"/>
      <c r="C470" s="49"/>
      <c r="F470" s="127"/>
      <c r="G470" s="40"/>
      <c r="AC470" s="33"/>
      <c r="AD470" s="158">
        <f t="shared" si="124"/>
        <v>5.663802801481816</v>
      </c>
      <c r="AO470" s="9">
        <f t="shared" si="125"/>
        <v>10.641354520149353</v>
      </c>
    </row>
    <row r="471" spans="1:41" s="31" customFormat="1" ht="18" customHeight="1">
      <c r="A471" s="12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AC471" s="83"/>
      <c r="AD471" s="134">
        <f t="shared" si="124"/>
        <v>5.607159109060982</v>
      </c>
      <c r="AO471" s="31">
        <f t="shared" si="125"/>
        <v>10.605311586073249</v>
      </c>
    </row>
    <row r="472" spans="29:41" ht="18" customHeight="1">
      <c r="AC472" s="33"/>
      <c r="AD472" s="158">
        <f t="shared" si="124"/>
        <v>5.5514141550424405</v>
      </c>
      <c r="AO472" s="9">
        <f t="shared" si="125"/>
        <v>10.563571120879796</v>
      </c>
    </row>
    <row r="473" spans="1:41" s="31" customFormat="1" ht="18" customHeight="1">
      <c r="A473" s="12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AC473" s="83"/>
      <c r="AD473" s="134">
        <f t="shared" si="124"/>
        <v>5.496538425945804</v>
      </c>
      <c r="AO473" s="31">
        <f t="shared" si="125"/>
        <v>10.51620348677761</v>
      </c>
    </row>
    <row r="474" spans="30:41" ht="18" customHeight="1">
      <c r="AD474" s="158">
        <f t="shared" si="124"/>
        <v>5.442503582356794</v>
      </c>
      <c r="AO474" s="9">
        <f t="shared" si="125"/>
        <v>10.463276334512845</v>
      </c>
    </row>
    <row r="475" spans="30:41" ht="18" customHeight="1">
      <c r="AD475" s="158">
        <f t="shared" si="124"/>
        <v>5.389282399122132</v>
      </c>
      <c r="AO475" s="9">
        <f t="shared" si="125"/>
        <v>10.430148765111909</v>
      </c>
    </row>
    <row r="476" spans="1:41" s="31" customFormat="1" ht="18" customHeight="1">
      <c r="A476" s="12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AD476" s="134">
        <f t="shared" si="124"/>
        <v>5.3368487091204795</v>
      </c>
      <c r="AO476" s="31">
        <f>$AN$445+AD321/$AG$413</f>
        <v>10.491208671416409</v>
      </c>
    </row>
    <row r="477" spans="30:41" ht="18" customHeight="1">
      <c r="AD477" s="158">
        <f t="shared" si="124"/>
        <v>5.285177350361235</v>
      </c>
      <c r="AO477" s="9">
        <f t="shared" si="125"/>
        <v>10.546739412775583</v>
      </c>
    </row>
    <row r="478" spans="1:41" s="31" customFormat="1" ht="18" customHeight="1">
      <c r="A478" s="12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AD478" s="134">
        <f t="shared" si="124"/>
        <v>5.234244116182525</v>
      </c>
      <c r="AO478" s="31">
        <f t="shared" si="125"/>
        <v>10.596429250034838</v>
      </c>
    </row>
    <row r="479" spans="30:41" ht="18" customHeight="1">
      <c r="AD479" s="158">
        <f t="shared" si="124"/>
        <v>5.1840257083373995</v>
      </c>
      <c r="AO479" s="9">
        <f t="shared" si="125"/>
        <v>10.639934881704237</v>
      </c>
    </row>
    <row r="480" spans="1:41" s="31" customFormat="1" ht="18" customHeight="1">
      <c r="A480" s="12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AD480" s="134">
        <f t="shared" si="124"/>
        <v>5.134499692773511</v>
      </c>
      <c r="AO480" s="31">
        <f t="shared" si="125"/>
        <v>10.677255455043879</v>
      </c>
    </row>
    <row r="481" spans="30:41" ht="18" customHeight="1">
      <c r="AD481" s="158">
        <f t="shared" si="124"/>
        <v>5.085644457926361</v>
      </c>
      <c r="AO481" s="9">
        <f t="shared" si="125"/>
        <v>10.711051565515344</v>
      </c>
    </row>
    <row r="482" spans="30:41" ht="18" customHeight="1">
      <c r="AD482" s="158">
        <f t="shared" si="124"/>
        <v>5.03743917535978</v>
      </c>
      <c r="AO482" s="9">
        <f t="shared" si="125"/>
        <v>10.741975919729242</v>
      </c>
    </row>
    <row r="483" spans="30:41" ht="18" customHeight="1">
      <c r="AD483" s="158">
        <f t="shared" si="124"/>
        <v>4.9898637625997075</v>
      </c>
      <c r="AO483" s="9">
        <f t="shared" si="125"/>
        <v>10.770095942568084</v>
      </c>
    </row>
    <row r="484" spans="30:41" ht="18" customHeight="1">
      <c r="AD484" s="158">
        <f t="shared" si="124"/>
        <v>4.942898848018763</v>
      </c>
      <c r="AO484" s="9">
        <f t="shared" si="125"/>
        <v>10.79547571939068</v>
      </c>
    </row>
    <row r="485" spans="30:41" ht="18" customHeight="1">
      <c r="AD485" s="158">
        <f t="shared" si="124"/>
        <v>4.89652573763952</v>
      </c>
      <c r="AO485" s="9">
        <f t="shared" si="125"/>
        <v>10.818176141228987</v>
      </c>
    </row>
    <row r="486" spans="30:41" ht="18" customHeight="1">
      <c r="AD486" s="158">
        <f t="shared" si="124"/>
        <v>4.850726383733985</v>
      </c>
      <c r="AO486" s="9">
        <f t="shared" si="125"/>
        <v>10.838255041263503</v>
      </c>
    </row>
    <row r="487" spans="30:41" ht="18" customHeight="1">
      <c r="AD487" s="158">
        <f t="shared" si="124"/>
        <v>4.805483355105646</v>
      </c>
      <c r="AO487" s="9">
        <f t="shared" si="125"/>
        <v>10.855767323117577</v>
      </c>
    </row>
    <row r="488" spans="1:41" s="31" customFormat="1" ht="18" customHeight="1">
      <c r="A488" s="12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AD488" s="134">
        <f t="shared" si="124"/>
        <v>4.760779808948493</v>
      </c>
      <c r="AO488" s="31">
        <f t="shared" si="125"/>
        <v>10.87076508147103</v>
      </c>
    </row>
    <row r="489" spans="1:41" s="31" customFormat="1" ht="18" customHeight="1">
      <c r="A489" s="12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AD489" s="134">
        <f t="shared" si="124"/>
        <v>4.71659946418492</v>
      </c>
      <c r="AO489" s="31">
        <f t="shared" si="125"/>
        <v>10.8832977154566</v>
      </c>
    </row>
    <row r="490" spans="30:41" ht="18" customHeight="1">
      <c r="AD490" s="158">
        <f t="shared" si="124"/>
        <v>4.672926576191287</v>
      </c>
      <c r="AO490" s="9">
        <f t="shared" si="125"/>
        <v>10.893412035268874</v>
      </c>
    </row>
    <row r="491" spans="1:41" s="31" customFormat="1" ht="18" customHeight="1">
      <c r="A491" s="12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AD491" s="134">
        <f t="shared" si="124"/>
        <v>4.629745912826226</v>
      </c>
      <c r="AO491" s="31">
        <f t="shared" si="125"/>
        <v>10.90115236238398</v>
      </c>
    </row>
    <row r="492" spans="1:41" s="31" customFormat="1" ht="18" customHeight="1">
      <c r="A492" s="12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AD492" s="134">
        <f t="shared" si="124"/>
        <v>4.587042731682645</v>
      </c>
      <c r="AO492" s="31">
        <f t="shared" si="125"/>
        <v>10.90656062375945</v>
      </c>
    </row>
    <row r="493" spans="1:41" s="31" customFormat="1" ht="18" customHeight="1">
      <c r="A493" s="12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AD493" s="134">
        <f t="shared" si="124"/>
        <v>4.544802758489762</v>
      </c>
      <c r="AO493" s="31">
        <f t="shared" si="125"/>
        <v>10.909676440356915</v>
      </c>
    </row>
    <row r="494" spans="30:41" ht="18" customHeight="1">
      <c r="AD494" s="158">
        <f t="shared" si="124"/>
        <v>4.503012166596462</v>
      </c>
      <c r="AO494" s="9">
        <f t="shared" si="125"/>
        <v>10.910537210305604</v>
      </c>
    </row>
    <row r="495" spans="30:41" ht="18" customHeight="1">
      <c r="AD495" s="158">
        <f t="shared" si="124"/>
        <v>4.461657557471929</v>
      </c>
      <c r="AO495" s="9">
        <f t="shared" si="125"/>
        <v>10.909178187001698</v>
      </c>
    </row>
    <row r="496" spans="1:41" s="31" customFormat="1" ht="18" customHeight="1">
      <c r="A496" s="12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AD496" s="134">
        <f t="shared" si="124"/>
        <v>4.42072594216369</v>
      </c>
      <c r="AO496" s="31">
        <f t="shared" si="125"/>
        <v>10.90563255241737</v>
      </c>
    </row>
    <row r="497" spans="1:41" s="31" customFormat="1" ht="18" customHeight="1">
      <c r="A497" s="12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AD497" s="134">
        <f t="shared" si="124"/>
        <v>4.3802047236571955</v>
      </c>
      <c r="AO497" s="31">
        <f>$AN$445+AD342/$AG$413</f>
        <v>10.899931485873648</v>
      </c>
    </row>
    <row r="498" spans="30:41" ht="18" customHeight="1">
      <c r="AD498" s="158">
        <f t="shared" si="124"/>
        <v>4.340081680084691</v>
      </c>
      <c r="AO498" s="9">
        <f t="shared" si="125"/>
        <v>10.892104228512995</v>
      </c>
    </row>
    <row r="499" spans="1:41" s="31" customFormat="1" ht="18" customHeight="1">
      <c r="A499" s="12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AD499" s="134">
        <f t="shared" si="124"/>
        <v>4.300344948734529</v>
      </c>
      <c r="AO499" s="31">
        <f t="shared" si="125"/>
        <v>10.88217814369036</v>
      </c>
    </row>
    <row r="500" spans="30:41" ht="18" customHeight="1">
      <c r="AD500" s="158">
        <f t="shared" si="124"/>
        <v>4.260983010815176</v>
      </c>
      <c r="AO500" s="9">
        <f t="shared" si="125"/>
        <v>10.870178773485772</v>
      </c>
    </row>
    <row r="501" spans="30:41" ht="18" customHeight="1">
      <c r="AD501" s="158">
        <f t="shared" si="124"/>
        <v>4.221984676931113</v>
      </c>
      <c r="AO501" s="9">
        <f t="shared" si="125"/>
        <v>10.856129891526649</v>
      </c>
    </row>
    <row r="502" spans="1:41" s="31" customFormat="1" ht="18" customHeight="1">
      <c r="A502" s="12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AD502" s="134">
        <f t="shared" si="124"/>
        <v>4.183339073230501</v>
      </c>
      <c r="AO502" s="31">
        <f t="shared" si="125"/>
        <v>10.840053552294275</v>
      </c>
    </row>
    <row r="503" spans="30:41" ht="18" customHeight="1">
      <c r="AD503" s="158">
        <f t="shared" si="124"/>
        <v>4.14503562818701</v>
      </c>
      <c r="AO503" s="9">
        <f t="shared" si="125"/>
        <v>10.821970137076011</v>
      </c>
    </row>
    <row r="504" spans="1:41" s="31" customFormat="1" ht="18" customHeight="1">
      <c r="A504" s="12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AD504" s="134">
        <f t="shared" si="124"/>
        <v>4.107064059980515</v>
      </c>
      <c r="AO504" s="31">
        <f t="shared" si="125"/>
        <v>10.801898396712712</v>
      </c>
    </row>
    <row r="505" spans="30:41" ht="18" customHeight="1">
      <c r="AD505" s="158">
        <f t="shared" si="124"/>
        <v>4.069414364443562</v>
      </c>
      <c r="AO505" s="9">
        <f t="shared" si="125"/>
        <v>10.77985549127955</v>
      </c>
    </row>
    <row r="506" spans="1:41" s="31" customFormat="1" ht="18" customHeight="1">
      <c r="A506" s="12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AD506" s="134">
        <f t="shared" si="124"/>
        <v>4.032076803542495</v>
      </c>
      <c r="AO506" s="31">
        <f t="shared" si="125"/>
        <v>10.755857026827808</v>
      </c>
    </row>
    <row r="507" spans="30:41" ht="18" customHeight="1">
      <c r="AD507" s="158">
        <f t="shared" si="124"/>
        <v>3.9950418943640456</v>
      </c>
      <c r="AO507" s="9">
        <f t="shared" si="125"/>
        <v>10.72991708930525</v>
      </c>
    </row>
    <row r="508" spans="1:41" s="31" customFormat="1" ht="18" customHeight="1">
      <c r="A508" s="12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AD508" s="134">
        <f t="shared" si="124"/>
        <v>3.958300398579876</v>
      </c>
      <c r="AO508" s="31">
        <f t="shared" si="125"/>
        <v>10.702048275763211</v>
      </c>
    </row>
    <row r="509" spans="30:41" ht="18" customHeight="1">
      <c r="AD509" s="158">
        <f t="shared" si="124"/>
        <v>3.9218433123632677</v>
      </c>
      <c r="AO509" s="9">
        <f t="shared" si="125"/>
        <v>10.672261722949731</v>
      </c>
    </row>
    <row r="510" spans="1:41" s="31" customFormat="1" ht="18" customHeight="1">
      <c r="A510" s="12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AD510" s="134">
        <f t="shared" si="124"/>
        <v>3.885661856733617</v>
      </c>
      <c r="AO510" s="31">
        <f t="shared" si="125"/>
        <v>10.640567133379625</v>
      </c>
    </row>
    <row r="511" spans="30:41" ht="18" customHeight="1">
      <c r="AD511" s="158">
        <f aca="true" t="shared" si="126" ref="AD511:AD555">$AD$419+AB356</f>
        <v>3.8497474683058326</v>
      </c>
      <c r="AO511" s="9">
        <f aca="true" t="shared" si="127" ref="AO511:AO555">$AN$445+AD356/$AG$413</f>
        <v>10.60697279896439</v>
      </c>
    </row>
    <row r="512" spans="1:41" s="31" customFormat="1" ht="18" customHeight="1">
      <c r="A512" s="12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AD512" s="134">
        <f t="shared" si="126"/>
        <v>3.8140917904230482</v>
      </c>
      <c r="AO512" s="31">
        <f t="shared" si="127"/>
        <v>10.571485622277336</v>
      </c>
    </row>
    <row r="513" spans="30:41" ht="18" customHeight="1">
      <c r="AD513" s="158">
        <f t="shared" si="126"/>
        <v>3.778686664652298</v>
      </c>
      <c r="AO513" s="9">
        <f t="shared" si="127"/>
        <v>10.534111135522041</v>
      </c>
    </row>
    <row r="514" spans="1:41" s="31" customFormat="1" ht="18" customHeight="1">
      <c r="A514" s="12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AD514" s="134">
        <f t="shared" si="126"/>
        <v>3.7435241226239557</v>
      </c>
      <c r="AO514" s="31">
        <f t="shared" si="127"/>
        <v>10.494853517265375</v>
      </c>
    </row>
    <row r="515" spans="30:41" ht="18" customHeight="1">
      <c r="AD515" s="158">
        <f t="shared" si="126"/>
        <v>3.708596378196816</v>
      </c>
      <c r="AO515" s="9">
        <f t="shared" si="127"/>
        <v>10.453715606989764</v>
      </c>
    </row>
    <row r="516" spans="1:41" s="31" customFormat="1" ht="18" customHeight="1">
      <c r="A516" s="12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AD516" s="134">
        <f t="shared" si="126"/>
        <v>3.673895819931708</v>
      </c>
      <c r="AO516" s="31">
        <f t="shared" si="127"/>
        <v>10.410698917512946</v>
      </c>
    </row>
    <row r="517" spans="30:41" ht="18" customHeight="1">
      <c r="AD517" s="158">
        <f t="shared" si="126"/>
        <v>3.6394150038574438</v>
      </c>
      <c r="AO517" s="9">
        <f t="shared" si="127"/>
        <v>10.365803645317364</v>
      </c>
    </row>
    <row r="518" spans="1:41" s="31" customFormat="1" ht="18" customHeight="1">
      <c r="A518" s="12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AD518" s="134">
        <f t="shared" si="126"/>
        <v>3.6051466465138287</v>
      </c>
      <c r="AO518" s="31">
        <f t="shared" si="127"/>
        <v>10.31902867882551</v>
      </c>
    </row>
    <row r="519" spans="30:41" ht="18" customHeight="1">
      <c r="AD519" s="158">
        <f t="shared" si="126"/>
        <v>3.571083618257256</v>
      </c>
      <c r="AO519" s="9">
        <f t="shared" si="127"/>
        <v>10.270371604651638</v>
      </c>
    </row>
    <row r="520" spans="30:41" ht="18" customHeight="1">
      <c r="AD520" s="158">
        <f t="shared" si="126"/>
        <v>3.5372189368151723</v>
      </c>
      <c r="AO520" s="9">
        <f t="shared" si="127"/>
        <v>10.219828711854799</v>
      </c>
    </row>
    <row r="521" spans="1:41" s="31" customFormat="1" ht="18" customHeight="1">
      <c r="A521" s="12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AD521" s="134">
        <f t="shared" si="126"/>
        <v>3.5035457610764427</v>
      </c>
      <c r="AO521" s="31">
        <f t="shared" si="127"/>
        <v>10.167394994212572</v>
      </c>
    </row>
    <row r="522" spans="1:41" s="31" customFormat="1" ht="18" customHeight="1">
      <c r="A522" s="12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AD522" s="134">
        <f t="shared" si="126"/>
        <v>3.4700573851053114</v>
      </c>
      <c r="AO522" s="31">
        <f t="shared" si="127"/>
        <v>10.113064150529556</v>
      </c>
    </row>
    <row r="523" spans="1:41" s="31" customFormat="1" ht="18" customHeight="1">
      <c r="A523" s="12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AD523" s="134">
        <f t="shared" si="126"/>
        <v>3.4367472323672805</v>
      </c>
      <c r="AO523" s="31">
        <f t="shared" si="127"/>
        <v>10.056828582989363</v>
      </c>
    </row>
    <row r="524" spans="30:41" ht="18" customHeight="1">
      <c r="AD524" s="158">
        <f t="shared" si="126"/>
        <v>3.4036088501558277</v>
      </c>
      <c r="AO524" s="9">
        <f t="shared" si="127"/>
        <v>9.998679393553559</v>
      </c>
    </row>
    <row r="525" spans="30:41" ht="18" customHeight="1">
      <c r="AD525" s="158">
        <f t="shared" si="126"/>
        <v>3.370635904209435</v>
      </c>
      <c r="AO525" s="9">
        <f t="shared" si="127"/>
        <v>9.938606378405856</v>
      </c>
    </row>
    <row r="526" spans="30:41" ht="18" customHeight="1">
      <c r="AD526" s="158">
        <f t="shared" si="126"/>
        <v>3.337822173508929</v>
      </c>
      <c r="AO526" s="9">
        <f t="shared" si="127"/>
        <v>9.876598020434596</v>
      </c>
    </row>
    <row r="527" spans="30:41" ht="18" customHeight="1">
      <c r="AD527" s="158">
        <f t="shared" si="126"/>
        <v>3.3051615452456162</v>
      </c>
      <c r="AO527" s="9">
        <f t="shared" si="127"/>
        <v>9.81264147974138</v>
      </c>
    </row>
    <row r="528" spans="1:41" s="31" customFormat="1" ht="18" customHeight="1">
      <c r="A528" s="12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AD528" s="134">
        <f t="shared" si="126"/>
        <v>3.272648009951133</v>
      </c>
      <c r="AO528" s="31">
        <f t="shared" si="127"/>
        <v>9.746722582158387</v>
      </c>
    </row>
    <row r="529" spans="1:41" s="31" customFormat="1" ht="18" customHeight="1">
      <c r="A529" s="12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AD529" s="134">
        <f t="shared" si="126"/>
        <v>3.240275656780406</v>
      </c>
      <c r="AO529" s="31">
        <f t="shared" si="127"/>
        <v>9.678825805751687</v>
      </c>
    </row>
    <row r="530" spans="1:41" s="31" customFormat="1" ht="18" customHeight="1">
      <c r="A530" s="12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AD530" s="134">
        <f t="shared" si="126"/>
        <v>3.20803866893947</v>
      </c>
      <c r="AO530" s="31">
        <f t="shared" si="127"/>
        <v>9.6089342652824</v>
      </c>
    </row>
    <row r="531" spans="1:41" s="31" customFormat="1" ht="18" customHeight="1">
      <c r="A531" s="12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AD531" s="134">
        <f t="shared" si="126"/>
        <v>3.1759313192502896</v>
      </c>
      <c r="AO531" s="31">
        <f t="shared" si="127"/>
        <v>9.537029694592098</v>
      </c>
    </row>
    <row r="532" spans="30:41" ht="18" customHeight="1">
      <c r="AD532" s="158">
        <f t="shared" si="126"/>
        <v>3.143947965845078</v>
      </c>
      <c r="AO532" s="9">
        <f t="shared" si="127"/>
        <v>9.463092426873216</v>
      </c>
    </row>
    <row r="533" spans="1:41" s="31" customFormat="1" ht="18" customHeight="1">
      <c r="A533" s="12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AD533" s="134">
        <f t="shared" si="126"/>
        <v>3.1120830479829484</v>
      </c>
      <c r="AO533" s="31">
        <f t="shared" si="127"/>
        <v>9.387101372779458</v>
      </c>
    </row>
    <row r="534" spans="30:41" ht="18" customHeight="1">
      <c r="AD534" s="158">
        <f t="shared" si="126"/>
        <v>3.080331081982015</v>
      </c>
      <c r="AO534" s="9">
        <f t="shared" si="127"/>
        <v>9.309033996325294</v>
      </c>
    </row>
    <row r="535" spans="1:41" s="31" customFormat="1" ht="18" customHeight="1">
      <c r="A535" s="12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AD535" s="134">
        <f t="shared" si="126"/>
        <v>3.04868665726037</v>
      </c>
      <c r="AO535" s="31">
        <f t="shared" si="127"/>
        <v>9.228866288517429</v>
      </c>
    </row>
    <row r="536" spans="30:41" ht="18" customHeight="1">
      <c r="AD536" s="158">
        <f t="shared" si="126"/>
        <v>3.0171444324796277</v>
      </c>
      <c r="AO536" s="9">
        <f t="shared" si="127"/>
        <v>9.146572738654859</v>
      </c>
    </row>
    <row r="537" spans="1:41" s="31" customFormat="1" ht="18" customHeight="1">
      <c r="A537" s="12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AD537" s="134">
        <f t="shared" si="126"/>
        <v>2.985699131784969</v>
      </c>
      <c r="AO537" s="31">
        <f t="shared" si="127"/>
        <v>9.06212630322741</v>
      </c>
    </row>
    <row r="538" spans="30:41" ht="18" customHeight="1">
      <c r="AD538" s="158">
        <f t="shared" si="126"/>
        <v>2.954345541135877</v>
      </c>
      <c r="AO538" s="9">
        <f t="shared" si="127"/>
        <v>8.975498372335839</v>
      </c>
    </row>
    <row r="539" spans="30:41" ht="18" customHeight="1">
      <c r="AD539" s="158">
        <f t="shared" si="126"/>
        <v>2.9230785047219476</v>
      </c>
      <c r="AO539" s="9">
        <f t="shared" si="127"/>
        <v>8.886658733549304</v>
      </c>
    </row>
    <row r="540" spans="30:41" ht="18" customHeight="1">
      <c r="AD540" s="158">
        <f t="shared" si="126"/>
        <v>2.891892921458371</v>
      </c>
      <c r="AO540" s="9">
        <f t="shared" si="127"/>
        <v>8.79557553310847</v>
      </c>
    </row>
    <row r="541" spans="30:41" ht="18" customHeight="1">
      <c r="AD541" s="158">
        <f t="shared" si="126"/>
        <v>2.8607837415558857</v>
      </c>
      <c r="AO541" s="9">
        <f t="shared" si="127"/>
        <v>8.702215234374554</v>
      </c>
    </row>
    <row r="542" spans="30:41" ht="18" customHeight="1">
      <c r="AD542" s="158">
        <f t="shared" si="126"/>
        <v>2.829745963160166</v>
      </c>
      <c r="AO542" s="9">
        <f t="shared" si="127"/>
        <v>8.606542573416258</v>
      </c>
    </row>
    <row r="543" spans="30:41" ht="18" customHeight="1">
      <c r="AD543" s="158">
        <f t="shared" si="126"/>
        <v>2.798774629055759</v>
      </c>
      <c r="AO543" s="9">
        <f t="shared" si="127"/>
        <v>8.508520511617668</v>
      </c>
    </row>
    <row r="544" spans="30:41" ht="18" customHeight="1">
      <c r="AD544" s="158">
        <f t="shared" si="126"/>
        <v>2.7678648234298673</v>
      </c>
      <c r="AO544" s="9">
        <f t="shared" si="127"/>
        <v>8.40811018518089</v>
      </c>
    </row>
    <row r="545" spans="30:41" ht="18" customHeight="1">
      <c r="AD545" s="158">
        <f t="shared" si="126"/>
        <v>2.7370116686913852</v>
      </c>
      <c r="AO545" s="9">
        <f t="shared" si="127"/>
        <v>8.305270851387263</v>
      </c>
    </row>
    <row r="546" spans="30:41" ht="18" customHeight="1">
      <c r="AD546" s="158">
        <f t="shared" si="126"/>
        <v>2.7062103223407337</v>
      </c>
      <c r="AO546" s="9">
        <f t="shared" si="127"/>
        <v>8.199959831470524</v>
      </c>
    </row>
    <row r="547" spans="30:41" ht="18" customHeight="1">
      <c r="AD547" s="158">
        <f t="shared" si="126"/>
        <v>2.6754559738861645</v>
      </c>
      <c r="AO547" s="9">
        <f t="shared" si="127"/>
        <v>8.092132449944108</v>
      </c>
    </row>
    <row r="548" spans="30:41" ht="18" customHeight="1">
      <c r="AD548" s="158">
        <f t="shared" si="126"/>
        <v>2.644743841802287</v>
      </c>
      <c r="AO548" s="9">
        <f t="shared" si="127"/>
        <v>7.981741970212867</v>
      </c>
    </row>
    <row r="549" spans="30:41" ht="18" customHeight="1">
      <c r="AD549" s="158">
        <f t="shared" si="126"/>
        <v>2.614069170526695</v>
      </c>
      <c r="AO549" s="9">
        <f t="shared" si="127"/>
        <v>7.868739526286907</v>
      </c>
    </row>
    <row r="550" spans="30:41" ht="18" customHeight="1">
      <c r="AD550" s="158">
        <f t="shared" si="126"/>
        <v>2.5834272274906445</v>
      </c>
      <c r="AO550" s="9">
        <f t="shared" si="127"/>
        <v>7.753074050401661</v>
      </c>
    </row>
    <row r="551" spans="30:41" ht="18" customHeight="1">
      <c r="AD551" s="158">
        <f t="shared" si="126"/>
        <v>2.552813300179793</v>
      </c>
      <c r="AO551" s="9">
        <f t="shared" si="127"/>
        <v>7.634692196333859</v>
      </c>
    </row>
    <row r="552" spans="30:41" ht="18" customHeight="1">
      <c r="AD552" s="158">
        <f t="shared" si="126"/>
        <v>2.522222693221117</v>
      </c>
      <c r="AO552" s="9">
        <f t="shared" si="127"/>
        <v>7.5135382581877135</v>
      </c>
    </row>
    <row r="553" spans="30:41" ht="18" customHeight="1">
      <c r="AD553" s="158">
        <f t="shared" si="126"/>
        <v>2.4916507254921543</v>
      </c>
      <c r="AO553" s="9">
        <f t="shared" si="127"/>
        <v>7.38955408440898</v>
      </c>
    </row>
    <row r="554" spans="30:41" ht="18" customHeight="1">
      <c r="AD554" s="158">
        <f t="shared" si="126"/>
        <v>2.461092727248761</v>
      </c>
      <c r="AO554" s="9">
        <f t="shared" si="127"/>
        <v>7.262678986766865</v>
      </c>
    </row>
    <row r="555" spans="30:41" ht="18" customHeight="1">
      <c r="AD555" s="158">
        <f t="shared" si="126"/>
        <v>2.4305440372676554</v>
      </c>
      <c r="AO555" s="9">
        <f t="shared" si="127"/>
        <v>7.1328496440247235</v>
      </c>
    </row>
    <row r="556" spans="30:42" ht="18" customHeight="1">
      <c r="AD556" s="163">
        <f>$AD$419+BB402</f>
        <v>4.503012166596462</v>
      </c>
      <c r="AP556" s="9">
        <f>$AN$445</f>
        <v>7</v>
      </c>
    </row>
    <row r="557" spans="30:42" ht="18" customHeight="1">
      <c r="AD557" s="158">
        <f>AD556</f>
        <v>4.503012166596462</v>
      </c>
      <c r="AP557" s="9">
        <f>MAX(AO446:AO555)</f>
        <v>10.910537210305604</v>
      </c>
    </row>
    <row r="558" spans="30:43" ht="18" customHeight="1">
      <c r="AD558" s="158">
        <f>AD424</f>
        <v>6.800000000000001</v>
      </c>
      <c r="AQ558" s="9">
        <f>AP557+1</f>
        <v>11.910537210305604</v>
      </c>
    </row>
    <row r="559" spans="30:43" ht="18" customHeight="1">
      <c r="AD559" s="158">
        <f>AD558</f>
        <v>6.800000000000001</v>
      </c>
      <c r="AQ559" s="9">
        <f>AQ558+Pmax/AG413</f>
        <v>13.922659352178556</v>
      </c>
    </row>
    <row r="560" spans="30:44" ht="18" customHeight="1">
      <c r="AD560" s="158">
        <f>AD559</f>
        <v>6.800000000000001</v>
      </c>
      <c r="AR560" s="9">
        <f>AQ558</f>
        <v>11.910537210305604</v>
      </c>
    </row>
    <row r="561" spans="30:44" ht="18" customHeight="1">
      <c r="AD561" s="158">
        <f>$AD$560+CJ48</f>
        <v>9.65629601348423</v>
      </c>
      <c r="AR561" s="9">
        <f>AR560</f>
        <v>11.910537210305604</v>
      </c>
    </row>
    <row r="562" spans="30:45" ht="18" customHeight="1">
      <c r="AD562" s="158">
        <f>$AD$558+CJ48</f>
        <v>9.65629601348423</v>
      </c>
      <c r="AS562" s="9">
        <f>$AR$561+BT48/$AG$413</f>
        <v>11.910537210305604</v>
      </c>
    </row>
    <row r="563" spans="30:45" ht="18" customHeight="1">
      <c r="AD563" s="158">
        <f aca="true" t="shared" si="128" ref="AD563:AD611">$AD$558+CJ49</f>
        <v>9.552763840942347</v>
      </c>
      <c r="AS563" s="9">
        <f aca="true" t="shared" si="129" ref="AS563:AS611">$AR$561+BT49/$AG$413</f>
        <v>12.108818686781033</v>
      </c>
    </row>
    <row r="564" spans="30:45" ht="18" customHeight="1">
      <c r="AD564" s="158">
        <f t="shared" si="128"/>
        <v>9.45408964324082</v>
      </c>
      <c r="AS564" s="9">
        <f t="shared" si="129"/>
        <v>12.290277550659548</v>
      </c>
    </row>
    <row r="565" spans="30:45" ht="18" customHeight="1">
      <c r="AD565" s="158">
        <f t="shared" si="128"/>
        <v>9.35988326438616</v>
      </c>
      <c r="AS565" s="9">
        <f t="shared" si="129"/>
        <v>12.456417667712211</v>
      </c>
    </row>
    <row r="566" spans="30:45" ht="18" customHeight="1">
      <c r="AD566" s="158">
        <f t="shared" si="128"/>
        <v>9.269794313070104</v>
      </c>
      <c r="AS566" s="9">
        <f t="shared" si="129"/>
        <v>12.608572936830415</v>
      </c>
    </row>
    <row r="567" spans="30:45" ht="18" customHeight="1">
      <c r="AD567" s="158">
        <f t="shared" si="128"/>
        <v>9.183507185188422</v>
      </c>
      <c r="AS567" s="9">
        <f t="shared" si="129"/>
        <v>12.7479296216387</v>
      </c>
    </row>
    <row r="568" spans="30:45" ht="18" customHeight="1">
      <c r="AD568" s="158">
        <f t="shared" si="128"/>
        <v>9.10073681444202</v>
      </c>
      <c r="AS568" s="9">
        <f t="shared" si="129"/>
        <v>12.87554530068679</v>
      </c>
    </row>
    <row r="569" spans="30:45" ht="18" customHeight="1">
      <c r="AD569" s="158">
        <f t="shared" si="128"/>
        <v>9.021225029658387</v>
      </c>
      <c r="AS569" s="9">
        <f t="shared" si="129"/>
        <v>12.992365011618432</v>
      </c>
    </row>
    <row r="570" spans="30:45" ht="18" customHeight="1">
      <c r="AD570" s="158">
        <f t="shared" si="128"/>
        <v>8.944737420049366</v>
      </c>
      <c r="AS570" s="9">
        <f t="shared" si="129"/>
        <v>13.099235056163282</v>
      </c>
    </row>
    <row r="571" spans="30:45" ht="18" customHeight="1">
      <c r="AD571" s="158">
        <f t="shared" si="128"/>
        <v>8.87106062758114</v>
      </c>
      <c r="AS571" s="9">
        <f t="shared" si="129"/>
        <v>13.196914846652328</v>
      </c>
    </row>
    <row r="572" spans="30:45" ht="18" customHeight="1">
      <c r="AD572" s="158">
        <f t="shared" si="128"/>
        <v>8.8</v>
      </c>
      <c r="AS572" s="9">
        <f t="shared" si="129"/>
        <v>13.28608710600739</v>
      </c>
    </row>
    <row r="573" spans="30:45" ht="18" customHeight="1">
      <c r="AD573" s="158">
        <f t="shared" si="128"/>
        <v>8.731377549614148</v>
      </c>
      <c r="AS573" s="9">
        <f t="shared" si="129"/>
        <v>13.367366677994916</v>
      </c>
    </row>
    <row r="574" spans="30:45" ht="18" customHeight="1">
      <c r="AD574" s="158">
        <f t="shared" si="128"/>
        <v>8.665030172275324</v>
      </c>
      <c r="AS574" s="9">
        <f t="shared" si="129"/>
        <v>13.441308160051294</v>
      </c>
    </row>
    <row r="575" spans="30:45" ht="18" customHeight="1">
      <c r="AD575" s="158">
        <f t="shared" si="128"/>
        <v>8.60080808859568</v>
      </c>
      <c r="AS575" s="9">
        <f t="shared" si="129"/>
        <v>13.508412534940398</v>
      </c>
    </row>
    <row r="576" spans="30:45" ht="18" customHeight="1">
      <c r="AD576" s="158">
        <f t="shared" si="128"/>
        <v>8.538573475632454</v>
      </c>
      <c r="AS576" s="9">
        <f t="shared" si="129"/>
        <v>13.569132948158165</v>
      </c>
    </row>
    <row r="577" spans="30:45" ht="18" customHeight="1">
      <c r="AD577" s="158">
        <f t="shared" si="128"/>
        <v>8.478199262354561</v>
      </c>
      <c r="AS577" s="9">
        <f t="shared" si="129"/>
        <v>13.62387975400216</v>
      </c>
    </row>
    <row r="578" spans="30:45" ht="18" customHeight="1">
      <c r="AD578" s="158">
        <f t="shared" si="128"/>
        <v>8.419568066390015</v>
      </c>
      <c r="AS578" s="9">
        <f t="shared" si="129"/>
        <v>13.673024933517889</v>
      </c>
    </row>
    <row r="579" spans="30:45" ht="18" customHeight="1">
      <c r="AD579" s="158">
        <f t="shared" si="128"/>
        <v>8.362571253013435</v>
      </c>
      <c r="AS579" s="9">
        <f t="shared" si="129"/>
        <v>13.716905971284849</v>
      </c>
    </row>
    <row r="580" spans="30:45" ht="18" customHeight="1">
      <c r="AD580" s="158">
        <f t="shared" si="128"/>
        <v>8.307108100205589</v>
      </c>
      <c r="AS580" s="9">
        <f t="shared" si="129"/>
        <v>13.755829264555022</v>
      </c>
    </row>
    <row r="581" spans="30:45" ht="18" customHeight="1">
      <c r="AD581" s="158">
        <f t="shared" si="128"/>
        <v>8.253085056010722</v>
      </c>
      <c r="AS581" s="9">
        <f t="shared" si="129"/>
        <v>13.790073127080579</v>
      </c>
    </row>
    <row r="582" spans="30:45" ht="18" customHeight="1">
      <c r="AD582" s="158">
        <f t="shared" si="128"/>
        <v>8.20041507641942</v>
      </c>
      <c r="AS582" s="9">
        <f t="shared" si="129"/>
        <v>13.81989044064792</v>
      </c>
    </row>
    <row r="583" spans="30:45" ht="18" customHeight="1">
      <c r="AD583" s="158">
        <f t="shared" si="128"/>
        <v>8.149017033684855</v>
      </c>
      <c r="AS583" s="9">
        <f t="shared" si="129"/>
        <v>13.845510999536003</v>
      </c>
    </row>
    <row r="584" spans="30:45" ht="18" customHeight="1">
      <c r="AD584" s="158">
        <f t="shared" si="128"/>
        <v>8.098815186395022</v>
      </c>
      <c r="AS584" s="9">
        <f t="shared" si="129"/>
        <v>13.867143586567979</v>
      </c>
    </row>
    <row r="585" spans="30:45" ht="18" customHeight="1">
      <c r="AD585" s="158">
        <f t="shared" si="128"/>
        <v>8.049738703818655</v>
      </c>
      <c r="AS585" s="9">
        <f t="shared" si="129"/>
        <v>13.88497781390807</v>
      </c>
    </row>
    <row r="586" spans="30:45" ht="18" customHeight="1">
      <c r="AD586" s="158">
        <f t="shared" si="128"/>
        <v>8.001721238055122</v>
      </c>
      <c r="AS586" s="9">
        <f t="shared" si="129"/>
        <v>13.899185757092473</v>
      </c>
    </row>
    <row r="587" spans="30:45" ht="18" customHeight="1">
      <c r="AD587" s="158">
        <f aca="true" t="shared" si="130" ref="AD587:AD599">$AD$558+CJ73</f>
        <v>7.954700538379253</v>
      </c>
      <c r="AS587" s="9">
        <f aca="true" t="shared" si="131" ref="AS587:AS599">$AR$561+BT73/$AG$413</f>
        <v>13.909923406829503</v>
      </c>
    </row>
    <row r="588" spans="30:45" ht="18" customHeight="1">
      <c r="AD588" s="158">
        <f t="shared" si="130"/>
        <v>7.908618102905539</v>
      </c>
      <c r="AS588" s="9">
        <f t="shared" si="131"/>
        <v>13.917331959741755</v>
      </c>
    </row>
    <row r="589" spans="30:45" ht="18" customHeight="1">
      <c r="AD589" s="158">
        <f t="shared" si="130"/>
        <v>7.863418863322958</v>
      </c>
      <c r="AS589" s="9">
        <f t="shared" si="131"/>
        <v>13.921538966354355</v>
      </c>
    </row>
    <row r="590" spans="30:45" ht="18" customHeight="1">
      <c r="AD590" s="158">
        <f t="shared" si="130"/>
        <v>7.819050898988858</v>
      </c>
      <c r="AS590" s="9">
        <f t="shared" si="131"/>
        <v>13.922659352178556</v>
      </c>
    </row>
    <row r="591" spans="30:45" ht="18" customHeight="1">
      <c r="AD591" s="158">
        <f t="shared" si="130"/>
        <v>7.775465177131724</v>
      </c>
      <c r="AS591" s="9">
        <f t="shared" si="131"/>
        <v>13.920796325632715</v>
      </c>
    </row>
    <row r="592" spans="30:45" ht="18" customHeight="1">
      <c r="AD592" s="158">
        <f t="shared" si="130"/>
        <v>7.732615316309998</v>
      </c>
      <c r="AS592" s="9">
        <f t="shared" si="131"/>
        <v>13.916042184727925</v>
      </c>
    </row>
    <row r="593" spans="30:45" ht="18" customHeight="1">
      <c r="AD593" s="158">
        <f t="shared" si="130"/>
        <v>7.690457370617073</v>
      </c>
      <c r="AS593" s="9">
        <f t="shared" si="131"/>
        <v>13.908479032877873</v>
      </c>
    </row>
    <row r="594" spans="30:45" ht="18" customHeight="1">
      <c r="AD594" s="158">
        <f t="shared" si="130"/>
        <v>7.64894963241921</v>
      </c>
      <c r="AS594" s="9">
        <f t="shared" si="131"/>
        <v>13.898179412833262</v>
      </c>
    </row>
    <row r="595" spans="30:45" ht="18" customHeight="1">
      <c r="AD595" s="158">
        <f t="shared" si="130"/>
        <v>7.608052451670314</v>
      </c>
      <c r="AS595" s="9">
        <f t="shared" si="131"/>
        <v>13.885206866558635</v>
      </c>
    </row>
    <row r="596" spans="30:45" ht="18" customHeight="1">
      <c r="AD596" s="158">
        <f t="shared" si="130"/>
        <v>7.5677280700708325</v>
      </c>
      <c r="AS596" s="9">
        <f t="shared" si="131"/>
        <v>13.869616427836576</v>
      </c>
    </row>
    <row r="597" spans="30:45" ht="18" customHeight="1">
      <c r="AD597" s="158">
        <f t="shared" si="130"/>
        <v>7.527940468532406</v>
      </c>
      <c r="AS597" s="9">
        <f t="shared" si="131"/>
        <v>13.851455053478142</v>
      </c>
    </row>
    <row r="598" spans="30:45" ht="18" customHeight="1">
      <c r="AD598" s="158">
        <f t="shared" si="130"/>
        <v>7.488655226579331</v>
      </c>
      <c r="AS598" s="9">
        <f t="shared" si="131"/>
        <v>13.830761998220101</v>
      </c>
    </row>
    <row r="599" spans="30:45" ht="18" customHeight="1">
      <c r="AD599" s="158">
        <f t="shared" si="130"/>
        <v>7.4498393924658135</v>
      </c>
      <c r="AS599" s="9">
        <f t="shared" si="131"/>
        <v>13.80756913768207</v>
      </c>
    </row>
    <row r="600" spans="30:45" ht="18" customHeight="1">
      <c r="AD600" s="158">
        <f t="shared" si="128"/>
        <v>7.411461362917321</v>
      </c>
      <c r="AS600" s="9">
        <f t="shared" si="129"/>
        <v>13.781901243126466</v>
      </c>
    </row>
    <row r="601" spans="30:45" ht="18" customHeight="1">
      <c r="AD601" s="158">
        <f>$AD$558+CJ87</f>
        <v>7.373490771517616</v>
      </c>
      <c r="AS601" s="9">
        <f t="shared" si="129"/>
        <v>13.75377621119875</v>
      </c>
    </row>
    <row r="602" spans="30:45" ht="18" customHeight="1">
      <c r="AD602" s="158">
        <f t="shared" si="128"/>
        <v>7.335898384862246</v>
      </c>
      <c r="AS602" s="9">
        <f t="shared" si="129"/>
        <v>13.723205251314377</v>
      </c>
    </row>
    <row r="603" spans="30:45" ht="18" customHeight="1">
      <c r="AD603" s="158">
        <f t="shared" si="128"/>
        <v>7.298656005686363</v>
      </c>
      <c r="AS603" s="9">
        <f t="shared" si="129"/>
        <v>13.690193032893136</v>
      </c>
    </row>
    <row r="604" spans="30:45" ht="18" customHeight="1">
      <c r="AD604" s="158">
        <f t="shared" si="128"/>
        <v>7.261736382251127</v>
      </c>
      <c r="AS604" s="9">
        <f t="shared" si="129"/>
        <v>13.654737794212677</v>
      </c>
    </row>
    <row r="605" spans="30:45" ht="18" customHeight="1">
      <c r="AD605" s="158">
        <f t="shared" si="128"/>
        <v>7.225113123340045</v>
      </c>
      <c r="AS605" s="9">
        <f t="shared" si="129"/>
        <v>13.61683141425425</v>
      </c>
    </row>
    <row r="606" spans="30:45" ht="18" customHeight="1">
      <c r="AD606" s="158">
        <f t="shared" si="128"/>
        <v>7.188760618275438</v>
      </c>
      <c r="AS606" s="9">
        <f t="shared" si="129"/>
        <v>13.57645944853797</v>
      </c>
    </row>
    <row r="607" spans="30:45" ht="18" customHeight="1">
      <c r="AD607" s="158">
        <f t="shared" si="128"/>
        <v>7.152653961416931</v>
      </c>
      <c r="AS607" s="9">
        <f t="shared" si="129"/>
        <v>13.533601129586831</v>
      </c>
    </row>
    <row r="608" spans="30:45" ht="18" customHeight="1">
      <c r="AD608" s="158">
        <f t="shared" si="128"/>
        <v>7.116768880649073</v>
      </c>
      <c r="AS608" s="9">
        <f t="shared" si="129"/>
        <v>13.488229332312136</v>
      </c>
    </row>
    <row r="609" spans="30:45" ht="18" customHeight="1">
      <c r="AD609" s="158">
        <f t="shared" si="128"/>
        <v>7.081081669404784</v>
      </c>
      <c r="AS609" s="9">
        <f t="shared" si="129"/>
        <v>13.44031050427311</v>
      </c>
    </row>
    <row r="610" spans="30:45" ht="18" customHeight="1">
      <c r="AD610" s="158">
        <f t="shared" si="128"/>
        <v>7.04556912180581</v>
      </c>
      <c r="AS610" s="9">
        <f t="shared" si="129"/>
        <v>13.389804560424915</v>
      </c>
    </row>
    <row r="611" spans="30:45" ht="18" customHeight="1">
      <c r="AD611" s="158">
        <f t="shared" si="128"/>
        <v>7.010208470531354</v>
      </c>
      <c r="AS611" s="9">
        <f t="shared" si="129"/>
        <v>13.336664741626937</v>
      </c>
    </row>
    <row r="612" spans="30:46" ht="18" customHeight="1">
      <c r="AD612" s="158">
        <f>$AD$558+CJ98</f>
        <v>7.819050898988858</v>
      </c>
      <c r="AT612" s="9">
        <f>AR561</f>
        <v>11.910537210305604</v>
      </c>
    </row>
    <row r="613" spans="30:46" ht="18" customHeight="1">
      <c r="AD613" s="158">
        <f>AD612</f>
        <v>7.819050898988858</v>
      </c>
      <c r="AT613" s="9">
        <f>MAX(AS562:AS611)</f>
        <v>13.922659352178556</v>
      </c>
    </row>
    <row r="614" spans="30:47" ht="18" customHeight="1">
      <c r="AD614" s="163">
        <v>0</v>
      </c>
      <c r="AU614" s="164">
        <v>0</v>
      </c>
    </row>
    <row r="615" spans="30:47" ht="18" customHeight="1">
      <c r="AD615" s="163">
        <v>0</v>
      </c>
      <c r="AU615" s="164">
        <f>AU614-E434/AG412</f>
        <v>-0.39081249999999995</v>
      </c>
    </row>
    <row r="616" spans="30:47" ht="18" customHeight="1">
      <c r="AD616" s="163">
        <f>MIN(3*F429,Bl)</f>
        <v>2.4</v>
      </c>
      <c r="AU616" s="164">
        <f>-H434/AG412</f>
        <v>-0.8116875000000001</v>
      </c>
    </row>
    <row r="617" spans="30:47" ht="18" customHeight="1">
      <c r="AD617" s="163">
        <f>AD616</f>
        <v>2.4</v>
      </c>
      <c r="AU617" s="164">
        <v>0</v>
      </c>
    </row>
    <row r="618" spans="30:48" ht="18" customHeight="1">
      <c r="AD618" s="158">
        <f>AD421</f>
        <v>5.4</v>
      </c>
      <c r="AV618" s="128">
        <f>AF425</f>
        <v>3.5</v>
      </c>
    </row>
    <row r="619" spans="30:48" ht="18" customHeight="1">
      <c r="AD619" s="158">
        <f>AD618</f>
        <v>5.4</v>
      </c>
      <c r="AV619" s="9">
        <f>AV618-qf/AG412</f>
        <v>3.0258775510204083</v>
      </c>
    </row>
    <row r="620" spans="30:48" ht="18" customHeight="1">
      <c r="AD620" s="158">
        <f>IF(3*d&gt;=B,AD619+B,AD619+3*d)</f>
        <v>6.800000000000001</v>
      </c>
      <c r="AV620" s="9">
        <f>AV618-qb/AG412</f>
        <v>3.2198367346938777</v>
      </c>
    </row>
    <row r="621" spans="30:48" ht="18" customHeight="1">
      <c r="AD621" s="158">
        <f>AD620</f>
        <v>6.800000000000001</v>
      </c>
      <c r="AV621" s="128">
        <f>AV618</f>
        <v>3.5</v>
      </c>
    </row>
    <row r="622" spans="30:49" ht="18" customHeight="1">
      <c r="AD622" s="163">
        <f>F429</f>
        <v>1.34</v>
      </c>
      <c r="AW622" s="164">
        <v>0</v>
      </c>
    </row>
    <row r="623" spans="30:49" ht="18" customHeight="1">
      <c r="AD623" s="163">
        <f>AD622+D427/AG412</f>
        <v>1.699</v>
      </c>
      <c r="AW623" s="164">
        <f>C427/AG412</f>
        <v>1.443</v>
      </c>
    </row>
    <row r="624" spans="30:50" ht="18" customHeight="1">
      <c r="AD624" s="158">
        <f>AD421+d</f>
        <v>6.04</v>
      </c>
      <c r="AX624" s="128">
        <f>AV618</f>
        <v>3.5</v>
      </c>
    </row>
    <row r="625" spans="30:50" ht="18" customHeight="1">
      <c r="AD625" s="158">
        <f>AD624+D161/AG412</f>
        <v>6.206</v>
      </c>
      <c r="AX625" s="9">
        <f>AX624+C161/AG412</f>
        <v>4.0280000000000005</v>
      </c>
    </row>
    <row r="626" ht="18" customHeight="1">
      <c r="AD626" s="158"/>
    </row>
  </sheetData>
  <sheetProtection sheet="1" objects="1" scenarios="1"/>
  <printOptions/>
  <pageMargins left="0.98425196850393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2"/>
  <headerFooter alignWithMargins="0">
    <oddHeader>&amp;C&amp;"ＭＳ 明朝,標準"&amp;9二段重力式擁壁</oddHeader>
    <oddFooter>&amp;C&amp;10- &amp;P -</oddFooter>
  </headerFooter>
  <rowBreaks count="13" manualBreakCount="13">
    <brk id="39" max="8" man="1"/>
    <brk id="64" max="8" man="1"/>
    <brk id="91" max="8" man="1"/>
    <brk id="122" max="8" man="1"/>
    <brk id="155" max="8" man="1"/>
    <brk id="197" max="8" man="1"/>
    <brk id="224" max="8" man="1"/>
    <brk id="267" max="8" man="1"/>
    <brk id="292" max="8" man="1"/>
    <brk id="334" max="8" man="1"/>
    <brk id="372" max="8" man="1"/>
    <brk id="413" max="8" man="1"/>
    <brk id="45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二段重力式擁壁</dc:title>
  <dc:subject/>
  <dc:creator>右城　猛</dc:creator>
  <cp:keywords/>
  <dc:description/>
  <cp:lastModifiedBy> </cp:lastModifiedBy>
  <cp:lastPrinted>2004-07-24T00:48:42Z</cp:lastPrinted>
  <dcterms:created xsi:type="dcterms:W3CDTF">1996-07-10T08:22:48Z</dcterms:created>
  <dcterms:modified xsi:type="dcterms:W3CDTF">2004-10-13T07:18:10Z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