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2570" tabRatio="603" activeTab="0"/>
  </bookViews>
  <sheets>
    <sheet name="入力" sheetId="1" r:id="rId1"/>
    <sheet name="出力" sheetId="2" r:id="rId2"/>
    <sheet name="計算" sheetId="3" state="hidden" r:id="rId3"/>
  </sheets>
  <definedNames>
    <definedName name="_xlnm.Print_Area" localSheetId="1">'出力'!$A$1:$I$436</definedName>
    <definedName name="solver_adj" localSheetId="2" hidden="1">'入力'!$Z$7:$Z$8</definedName>
    <definedName name="solver_adj" localSheetId="0" hidden="1">'入力'!$D$25:$D$26</definedName>
    <definedName name="solver_cvg" localSheetId="2" hidden="1">0.001</definedName>
    <definedName name="solver_cvg" localSheetId="0" hidden="1">0.001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hs1" localSheetId="0" hidden="1">'入力'!$D$25</definedName>
    <definedName name="solver_lhs2" localSheetId="0" hidden="1">'入力'!$D$26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0</definedName>
    <definedName name="solver_num" localSheetId="0" hidden="1">2</definedName>
    <definedName name="solver_nwt" localSheetId="2" hidden="1">1</definedName>
    <definedName name="solver_nwt" localSheetId="0" hidden="1">1</definedName>
    <definedName name="solver_opt" localSheetId="2" hidden="1">'入力'!$D$27</definedName>
    <definedName name="solver_opt" localSheetId="0" hidden="1">'入力'!$D$27</definedName>
    <definedName name="solver_pre" localSheetId="2" hidden="1">0.000001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45+'入力'!$D$14/2</definedName>
    <definedName name="solver_rhs2" localSheetId="0" hidden="1">45+'入力'!$D$14/2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1</definedName>
    <definedName name="solver_typ" localSheetId="0" hidden="1">1</definedName>
    <definedName name="solver_val" localSheetId="2" hidden="1">0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右城 猛</author>
  </authors>
  <commentList>
    <comment ref="D16" authorId="0">
      <text>
        <r>
          <rPr>
            <b/>
            <sz val="9"/>
            <rFont val="ＭＳ Ｐゴシック"/>
            <family val="3"/>
          </rPr>
          <t>将来的に安定した有効根入れ深さ
洗掘などが予想される範囲は除くこと: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0から1.0の範囲
道路土工指針は0.5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0">
      <text>
        <r>
          <rPr>
            <b/>
            <sz val="9"/>
            <rFont val="ＭＳ Ｐゴシック"/>
            <family val="3"/>
          </rPr>
          <t>初期値は６０</t>
        </r>
        <r>
          <rPr>
            <sz val="9"/>
            <rFont val="ＭＳ Ｐゴシック"/>
            <family val="3"/>
          </rPr>
          <t xml:space="preserve">
</t>
        </r>
      </text>
    </comment>
    <comment ref="D26" authorId="0">
      <text>
        <r>
          <rPr>
            <b/>
            <sz val="9"/>
            <rFont val="ＭＳ Ｐゴシック"/>
            <family val="3"/>
          </rPr>
          <t>初期値は６０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<sst xmlns="http://schemas.openxmlformats.org/spreadsheetml/2006/main" count="570" uniqueCount="387">
  <si>
    <t>ブロック積み</t>
  </si>
  <si>
    <t>高さ</t>
  </si>
  <si>
    <t>控え厚</t>
  </si>
  <si>
    <t>勾配</t>
  </si>
  <si>
    <t>下部擁壁</t>
  </si>
  <si>
    <t>高さ</t>
  </si>
  <si>
    <t>底版厚</t>
  </si>
  <si>
    <t>底版幅</t>
  </si>
  <si>
    <t>小段幅</t>
  </si>
  <si>
    <t>x</t>
  </si>
  <si>
    <t>ブロック</t>
  </si>
  <si>
    <t>下部擁壁</t>
  </si>
  <si>
    <t>地盤線</t>
  </si>
  <si>
    <t>載荷重</t>
  </si>
  <si>
    <t>つま先</t>
  </si>
  <si>
    <t>α=</t>
  </si>
  <si>
    <t>rad</t>
  </si>
  <si>
    <t>ε=</t>
  </si>
  <si>
    <t>仮想背面に作用する土圧</t>
  </si>
  <si>
    <t>H=</t>
  </si>
  <si>
    <t>m</t>
  </si>
  <si>
    <t>裏込め土</t>
  </si>
  <si>
    <t>γ=</t>
  </si>
  <si>
    <t>φ=</t>
  </si>
  <si>
    <t>deg</t>
  </si>
  <si>
    <t>kN/m3</t>
  </si>
  <si>
    <t>rad</t>
  </si>
  <si>
    <t>ω1=</t>
  </si>
  <si>
    <t>ω2=</t>
  </si>
  <si>
    <t>hc=</t>
  </si>
  <si>
    <t>W1=</t>
  </si>
  <si>
    <t>W2=</t>
  </si>
  <si>
    <t>kN/m</t>
  </si>
  <si>
    <t>δc=</t>
  </si>
  <si>
    <t>KAC=</t>
  </si>
  <si>
    <t>Rc=</t>
  </si>
  <si>
    <t>R1=</t>
  </si>
  <si>
    <t>下部擁壁に作用する土圧</t>
  </si>
  <si>
    <t>ωrad</t>
  </si>
  <si>
    <t>ωdeg</t>
  </si>
  <si>
    <t>W</t>
  </si>
  <si>
    <t>PA2</t>
  </si>
  <si>
    <t>全高H=</t>
  </si>
  <si>
    <t>m</t>
  </si>
  <si>
    <t>m</t>
  </si>
  <si>
    <t>HA=</t>
  </si>
  <si>
    <t>q=</t>
  </si>
  <si>
    <t>kN/m2</t>
  </si>
  <si>
    <t>Q=</t>
  </si>
  <si>
    <t>kN/m</t>
  </si>
  <si>
    <t>PA2</t>
  </si>
  <si>
    <t>PA1=</t>
  </si>
  <si>
    <t>δ1=</t>
  </si>
  <si>
    <t>PA1cosδ1</t>
  </si>
  <si>
    <t>KA1=</t>
  </si>
  <si>
    <t>すべり面１</t>
  </si>
  <si>
    <t>すべり面2</t>
  </si>
  <si>
    <t>すべり面3</t>
  </si>
  <si>
    <t>仮想背面</t>
  </si>
  <si>
    <t>No.</t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</si>
  <si>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</si>
  <si>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</si>
  <si>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t>∑</t>
  </si>
  <si>
    <t>ブロックおよび下部擁壁</t>
  </si>
  <si>
    <t>土砂</t>
  </si>
  <si>
    <t>土圧PA1</t>
  </si>
  <si>
    <t>PAV1=</t>
  </si>
  <si>
    <t>PAH1=</t>
  </si>
  <si>
    <t>yA1=</t>
  </si>
  <si>
    <t>xA1=</t>
  </si>
  <si>
    <t>下部擁壁の１／２に作用する土圧</t>
  </si>
  <si>
    <t>全高H'=</t>
  </si>
  <si>
    <t>PA2=</t>
  </si>
  <si>
    <t>PA2'=</t>
  </si>
  <si>
    <t>h2=</t>
  </si>
  <si>
    <t>p1=</t>
  </si>
  <si>
    <t>p2=</t>
  </si>
  <si>
    <t>kN/m2</t>
  </si>
  <si>
    <t>xA2=</t>
  </si>
  <si>
    <t>yA2=</t>
  </si>
  <si>
    <t>PA2V=</t>
  </si>
  <si>
    <t>PA2H=</t>
  </si>
  <si>
    <t>B=</t>
  </si>
  <si>
    <t>摩擦係数</t>
  </si>
  <si>
    <t>地盤反力</t>
  </si>
  <si>
    <t>■入力データ</t>
  </si>
  <si>
    <t>ブロック積</t>
  </si>
  <si>
    <t>前面高さ</t>
  </si>
  <si>
    <t xml:space="preserve"> H1=</t>
  </si>
  <si>
    <t>控え厚</t>
  </si>
  <si>
    <t>t=</t>
  </si>
  <si>
    <t>m</t>
  </si>
  <si>
    <t>１：n1=１：</t>
  </si>
  <si>
    <t>単位重量</t>
  </si>
  <si>
    <t>単位重量</t>
  </si>
  <si>
    <t>kN/m3</t>
  </si>
  <si>
    <t>重力擁壁</t>
  </si>
  <si>
    <t>前面高さ</t>
  </si>
  <si>
    <t>H2=</t>
  </si>
  <si>
    <t>小段の幅</t>
  </si>
  <si>
    <t>bs=</t>
  </si>
  <si>
    <t>前面勾配</t>
  </si>
  <si>
    <t>１：n2=１：</t>
  </si>
  <si>
    <t>地表載荷重</t>
  </si>
  <si>
    <t>分布荷重</t>
  </si>
  <si>
    <t>q=</t>
  </si>
  <si>
    <t>kN/m2</t>
  </si>
  <si>
    <t>地震荷重</t>
  </si>
  <si>
    <t>水平震度</t>
  </si>
  <si>
    <t>kh=</t>
  </si>
  <si>
    <t>盛土</t>
  </si>
  <si>
    <t>γ=</t>
  </si>
  <si>
    <t>内部摩擦角</t>
  </si>
  <si>
    <t>φ=</t>
  </si>
  <si>
    <t>度</t>
  </si>
  <si>
    <t>壁面摩擦角</t>
  </si>
  <si>
    <t>δ=</t>
  </si>
  <si>
    <t>支持地盤</t>
  </si>
  <si>
    <t>摩擦係数</t>
  </si>
  <si>
    <t>μ=</t>
  </si>
  <si>
    <t>許容支持力</t>
  </si>
  <si>
    <t>qa=</t>
  </si>
  <si>
    <t>kN/m2</t>
  </si>
  <si>
    <t>■計算結果</t>
  </si>
  <si>
    <t>γc=</t>
  </si>
  <si>
    <t>底版厚さ</t>
  </si>
  <si>
    <t>つま先長</t>
  </si>
  <si>
    <t>tb=</t>
  </si>
  <si>
    <t>lb=</t>
  </si>
  <si>
    <t>H1=</t>
  </si>
  <si>
    <t>t=</t>
  </si>
  <si>
    <t>n1=</t>
  </si>
  <si>
    <t>bs=</t>
  </si>
  <si>
    <t>μ=</t>
  </si>
  <si>
    <t>n2=</t>
  </si>
  <si>
    <t>合力</t>
  </si>
  <si>
    <t>縮尺</t>
  </si>
  <si>
    <t>コンクリート</t>
  </si>
  <si>
    <t>度</t>
  </si>
  <si>
    <t>主働土圧</t>
  </si>
  <si>
    <t>すべり角</t>
  </si>
  <si>
    <t>上部前方</t>
  </si>
  <si>
    <t>上部後方</t>
  </si>
  <si>
    <t>１．設計条件</t>
  </si>
  <si>
    <t>前面高さ</t>
  </si>
  <si>
    <t>H1=</t>
  </si>
  <si>
    <t>t=</t>
  </si>
  <si>
    <t>n1=</t>
  </si>
  <si>
    <t>m</t>
  </si>
  <si>
    <t>kN/m3</t>
  </si>
  <si>
    <t>複合擁壁の座標値</t>
  </si>
  <si>
    <t>座標点</t>
  </si>
  <si>
    <t>x(m)</t>
  </si>
  <si>
    <r>
      <t>y</t>
    </r>
    <r>
      <rPr>
        <sz val="11"/>
        <rFont val="ＭＳ Ｐゴシック"/>
        <family val="3"/>
      </rPr>
      <t>(m)</t>
    </r>
  </si>
  <si>
    <t>q=</t>
  </si>
  <si>
    <t>kN/m2</t>
  </si>
  <si>
    <t>kH=</t>
  </si>
  <si>
    <t>γ=</t>
  </si>
  <si>
    <t>kN/m3</t>
  </si>
  <si>
    <t>φ=</t>
  </si>
  <si>
    <t>度</t>
  </si>
  <si>
    <t>δ=</t>
  </si>
  <si>
    <t>（６）支持地盤</t>
  </si>
  <si>
    <t>μ=</t>
  </si>
  <si>
    <t>qa=</t>
  </si>
  <si>
    <t>kN/m2</t>
  </si>
  <si>
    <t>（１）記号の説明</t>
  </si>
  <si>
    <t>（２）ブロック積みの形状寸法</t>
  </si>
  <si>
    <t>（３）重力式擁壁の形状寸法</t>
  </si>
  <si>
    <t>（４）地表面載荷重</t>
  </si>
  <si>
    <t>（５）地震荷重</t>
  </si>
  <si>
    <t>（６）盛　土</t>
  </si>
  <si>
    <t>（７）根入れ地盤</t>
  </si>
  <si>
    <t>根入地盤</t>
  </si>
  <si>
    <t>根入れ深さ</t>
  </si>
  <si>
    <t>Df=</t>
  </si>
  <si>
    <t>m</t>
  </si>
  <si>
    <t>度</t>
  </si>
  <si>
    <t>粘着力</t>
  </si>
  <si>
    <t>c=</t>
  </si>
  <si>
    <t>kN/m2</t>
  </si>
  <si>
    <t>受働土圧有効係数</t>
  </si>
  <si>
    <t>α=</t>
  </si>
  <si>
    <t>２．擁壁の自重と重心位置</t>
  </si>
  <si>
    <t>（１） 計算法</t>
  </si>
  <si>
    <t>座標値を用いて計算する。</t>
  </si>
  <si>
    <t>断面積</t>
  </si>
  <si>
    <t>断面１次モーメント</t>
  </si>
  <si>
    <t>（２） ブロック積みの自重と重心位置</t>
  </si>
  <si>
    <t>x(m)</t>
  </si>
  <si>
    <t>y(m)</t>
  </si>
  <si>
    <r>
      <t>A(m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</si>
  <si>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Gy(m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</si>
  <si>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Gx(m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</si>
  <si>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</si>
  <si>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t>断面積</t>
  </si>
  <si>
    <t>重量</t>
  </si>
  <si>
    <t>重心位置</t>
  </si>
  <si>
    <t>Ac1=</t>
  </si>
  <si>
    <t>m2</t>
  </si>
  <si>
    <t>Wc1=</t>
  </si>
  <si>
    <t>kN/m</t>
  </si>
  <si>
    <t>xc1=</t>
  </si>
  <si>
    <t>yc1=</t>
  </si>
  <si>
    <t>（３） 重力式擁壁の重量と重心位置</t>
  </si>
  <si>
    <t>Ac2=</t>
  </si>
  <si>
    <t>Wc2=</t>
  </si>
  <si>
    <t>kN</t>
  </si>
  <si>
    <t>x2=</t>
  </si>
  <si>
    <t>y2=</t>
  </si>
  <si>
    <t>（４） 土砂の重量と重心位置</t>
  </si>
  <si>
    <t>As=</t>
  </si>
  <si>
    <t>Ws=</t>
  </si>
  <si>
    <t>xs=</t>
  </si>
  <si>
    <t>ys=</t>
  </si>
  <si>
    <t>改良試行くさび法による</t>
  </si>
  <si>
    <t>３．仮想背面に作用する主働土圧</t>
  </si>
  <si>
    <t>仮想背面の高さ</t>
  </si>
  <si>
    <t>HA=</t>
  </si>
  <si>
    <t>壁面傾斜角</t>
  </si>
  <si>
    <t>α1=</t>
  </si>
  <si>
    <t>すべり面がブロック積みに当たる点から天端までの高さ</t>
  </si>
  <si>
    <t>すべり土塊の重量</t>
  </si>
  <si>
    <t>ブロック積みの壁面に作用する主働土圧</t>
  </si>
  <si>
    <t>盛土からすべり土塊に作用する反力</t>
  </si>
  <si>
    <t>仮想背面に作用する主働土圧合力の傾斜角</t>
  </si>
  <si>
    <t>仮想背面に作用する主働土圧合力</t>
  </si>
  <si>
    <t>主働すべり角</t>
  </si>
  <si>
    <t>後方</t>
  </si>
  <si>
    <t>前方</t>
  </si>
  <si>
    <t>=</t>
  </si>
  <si>
    <t>仮想背面の傾斜角</t>
  </si>
  <si>
    <t>すべり土塊の幅</t>
  </si>
  <si>
    <t>度</t>
  </si>
  <si>
    <t>土圧合力の作用位置</t>
  </si>
  <si>
    <t>主働土圧の鉛直分力</t>
  </si>
  <si>
    <t>主働土圧の水平分力</t>
  </si>
  <si>
    <t>PA1V=PA1sin(-δ)=</t>
  </si>
  <si>
    <t>４．下部擁壁に作用する主働土圧</t>
  </si>
  <si>
    <t>試行くさび法による</t>
  </si>
  <si>
    <t>主働すべり角</t>
  </si>
  <si>
    <t>ω=</t>
  </si>
  <si>
    <t>すべり土塊の重量</t>
  </si>
  <si>
    <t>擁壁全高</t>
  </si>
  <si>
    <t>主働土圧合力</t>
  </si>
  <si>
    <t>ω(度)</t>
  </si>
  <si>
    <t>W</t>
  </si>
  <si>
    <t>主働土圧合力の鉛直成分</t>
  </si>
  <si>
    <t>主働土圧合力の水平成分</t>
  </si>
  <si>
    <t>PA２V=PA２sin(δc)=</t>
  </si>
  <si>
    <t>PA2H=PA2cos(δc)=</t>
  </si>
  <si>
    <t>PA1H=PA1cos(-δ)=</t>
  </si>
  <si>
    <t>（１）下部擁壁の壁面に作用する主働土圧合力</t>
  </si>
  <si>
    <t>（２）下部擁壁の壁高の１／２に作用する主働土圧合力</t>
  </si>
  <si>
    <t>H'=</t>
  </si>
  <si>
    <t>ω'=</t>
  </si>
  <si>
    <t>主働土圧合力</t>
  </si>
  <si>
    <t>ω'(度)</t>
  </si>
  <si>
    <t>W'</t>
  </si>
  <si>
    <t>PA2'</t>
  </si>
  <si>
    <t>（３）主働土圧合力の作用位置</t>
  </si>
  <si>
    <t>p1=</t>
  </si>
  <si>
    <t>=</t>
  </si>
  <si>
    <t>kN/m2</t>
  </si>
  <si>
    <t>p2=</t>
  </si>
  <si>
    <t>2PA2</t>
  </si>
  <si>
    <t>土圧合力の作用位置</t>
  </si>
  <si>
    <t>yA2=</t>
  </si>
  <si>
    <t>3×(p1+p2)</t>
  </si>
  <si>
    <t>B=</t>
  </si>
  <si>
    <t>B=</t>
  </si>
  <si>
    <t>m</t>
  </si>
  <si>
    <t>xA2=</t>
  </si>
  <si>
    <t>HB</t>
  </si>
  <si>
    <t>PA2=</t>
  </si>
  <si>
    <t>HB=</t>
  </si>
  <si>
    <t>HB</t>
  </si>
  <si>
    <t>荷重</t>
  </si>
  <si>
    <t>V</t>
  </si>
  <si>
    <t>H</t>
  </si>
  <si>
    <t>x</t>
  </si>
  <si>
    <t>y</t>
  </si>
  <si>
    <t>Vx</t>
  </si>
  <si>
    <t>Hy</t>
  </si>
  <si>
    <t>(kN/m)</t>
  </si>
  <si>
    <t>(m)</t>
  </si>
  <si>
    <t>(kNm/m)</t>
  </si>
  <si>
    <t>∑</t>
  </si>
  <si>
    <t>－</t>
  </si>
  <si>
    <t>土砂</t>
  </si>
  <si>
    <t>重力式</t>
  </si>
  <si>
    <t>土圧PA2</t>
  </si>
  <si>
    <t>底面幅</t>
  </si>
  <si>
    <t>つま先から合力の作用位置までの距離</t>
  </si>
  <si>
    <t>ΣV</t>
  </si>
  <si>
    <t>d=</t>
  </si>
  <si>
    <t>m</t>
  </si>
  <si>
    <t>合力の偏心量</t>
  </si>
  <si>
    <t>e=</t>
  </si>
  <si>
    <t>m</t>
  </si>
  <si>
    <t>B</t>
  </si>
  <si>
    <t>B/6=</t>
  </si>
  <si>
    <t>|e|=</t>
  </si>
  <si>
    <t>ea=</t>
  </si>
  <si>
    <t>（２）転倒に対する検討</t>
  </si>
  <si>
    <t>許容偏心量</t>
  </si>
  <si>
    <t>ea=</t>
  </si>
  <si>
    <t>m</t>
  </si>
  <si>
    <t>（３）滑動に対する検討</t>
  </si>
  <si>
    <t>Df=</t>
  </si>
  <si>
    <t>m</t>
  </si>
  <si>
    <t>γ=</t>
  </si>
  <si>
    <t>kN/m3</t>
  </si>
  <si>
    <t>c=</t>
  </si>
  <si>
    <t>kN/m2</t>
  </si>
  <si>
    <t>受働土圧係数</t>
  </si>
  <si>
    <t>受働土圧</t>
  </si>
  <si>
    <t>1/2γDf^2Kp+2cDfKp^0.5</t>
  </si>
  <si>
    <t>φ=</t>
  </si>
  <si>
    <t>度</t>
  </si>
  <si>
    <t>rad</t>
  </si>
  <si>
    <t>KP=</t>
  </si>
  <si>
    <t>PP=</t>
  </si>
  <si>
    <t>kN/m</t>
  </si>
  <si>
    <t>安全率</t>
  </si>
  <si>
    <t>μ∑V+αPp</t>
  </si>
  <si>
    <t>α=</t>
  </si>
  <si>
    <t>∑H</t>
  </si>
  <si>
    <t>μ=</t>
  </si>
  <si>
    <t>Fs=</t>
  </si>
  <si>
    <t>Fsa=</t>
  </si>
  <si>
    <t>（４）支持力に対する検討</t>
  </si>
  <si>
    <t>合力が底面の核内なので地盤反力は台形分布する</t>
  </si>
  <si>
    <t>合力が底面の核外なので地盤反力は三角形分布する</t>
  </si>
  <si>
    <t>q1=</t>
  </si>
  <si>
    <t>kN/m2</t>
  </si>
  <si>
    <t>つま先の地盤反力度</t>
  </si>
  <si>
    <t>∑V(B+6e)</t>
  </si>
  <si>
    <t>B^2</t>
  </si>
  <si>
    <t>2∑V</t>
  </si>
  <si>
    <t>q2=</t>
  </si>
  <si>
    <t>kN/m2</t>
  </si>
  <si>
    <t>かかとの地盤反力度</t>
  </si>
  <si>
    <t>3d</t>
  </si>
  <si>
    <t>∑V(B-6e)</t>
  </si>
  <si>
    <t>B^2</t>
  </si>
  <si>
    <t>qmax=</t>
  </si>
  <si>
    <t>最大地盤反力度</t>
  </si>
  <si>
    <t>qa=</t>
  </si>
  <si>
    <t>q1=</t>
  </si>
  <si>
    <t>qmax=</t>
  </si>
  <si>
    <t>PA2H=</t>
  </si>
  <si>
    <t>■すべり角のソルバー計算</t>
  </si>
  <si>
    <t>鉛直力</t>
  </si>
  <si>
    <t>水平力</t>
  </si>
  <si>
    <t>（１）荷重の集計</t>
  </si>
  <si>
    <t>５．安定計算</t>
  </si>
  <si>
    <t>入力データを変更したときはソルバーを実行のこと</t>
  </si>
  <si>
    <t>■記号の説明</t>
  </si>
  <si>
    <t>■すべり面と地盤反力</t>
  </si>
  <si>
    <t>転倒</t>
  </si>
  <si>
    <t>滑動</t>
  </si>
  <si>
    <t>偏心量</t>
  </si>
  <si>
    <t>安全率</t>
  </si>
  <si>
    <t>■ソルバーの実行</t>
  </si>
  <si>
    <t>　このプログラムはデータを入力しただけでは計算されません．データ入力後に必ずソルバーを実行して下さい．</t>
  </si>
  <si>
    <t>図－１</t>
  </si>
  <si>
    <t>ツールのドロップダウンリスト</t>
  </si>
  <si>
    <t>　メニューバーの中のツール(T)をクリックすると，図－１のようにドロップダウンリストが現れます。</t>
  </si>
  <si>
    <t>　その中のソルバー(V)をクリックして下さい．</t>
  </si>
  <si>
    <t>図－２　ソルバーのダイアログボックス</t>
  </si>
  <si>
    <t>　図－２のように「ソルバー：パラメータ設定」と書かれたダイアログボックスが現れます。</t>
  </si>
  <si>
    <t>「実行(S)」ボタンをクリックして下さい。</t>
  </si>
  <si>
    <t>　「実行(S)」ボタンをクリックすると．「ソルバー：探索結果」のダイアログボックスが現れます</t>
  </si>
  <si>
    <t>　「OK」ボタンをクリックして下さい．</t>
  </si>
  <si>
    <t>図－３　ソルバー探索結果のダイアログボックス</t>
  </si>
  <si>
    <t>■ドロップダウンリストにソルバーがない場合</t>
  </si>
  <si>
    <t>　メニューバーの中のツール(T)をクリックすると，図－４のようにドロップダウンリストが現れます。</t>
  </si>
  <si>
    <t>　その中のアドイン(I)をクリックして下さい．</t>
  </si>
  <si>
    <t>図－４</t>
  </si>
  <si>
    <t>アドインのダイアログボックスの中のソルバーにレ印を入れて下さい。</t>
  </si>
  <si>
    <t>図－５</t>
  </si>
  <si>
    <t>アドインのドロップダウンリスト</t>
  </si>
  <si>
    <t>根入れ地盤</t>
  </si>
  <si>
    <t>内部摩擦角</t>
  </si>
  <si>
    <t>壁面摩擦角</t>
  </si>
  <si>
    <t>(土とコンクリート)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</si>
</sst>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_);[Red]\(0.00\)"/>
    <numFmt numFmtId="179" formatCode="0.0"/>
    <numFmt numFmtId="180" formatCode="0.000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8.75"/>
      <name val="ＭＳ Ｐゴシック"/>
      <family val="3"/>
    </font>
    <font>
      <sz val="9"/>
      <name val="ＭＳ Ｐゴシック"/>
      <family val="3"/>
    </font>
    <font>
      <i/>
      <sz val="11"/>
      <name val="Times New Roman"/>
      <family val="1"/>
    </font>
    <font>
      <i/>
      <sz val="11"/>
      <name val="ＭＳ Ｐゴシック"/>
      <family val="3"/>
    </font>
    <font>
      <sz val="8.25"/>
      <name val="ＭＳ Ｐゴシック"/>
      <family val="3"/>
    </font>
    <font>
      <b/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sz val="14"/>
      <color indexed="6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 quotePrefix="1">
      <alignment horizontal="center" vertic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11" fillId="2" borderId="0" xfId="0" applyFont="1" applyFill="1" applyBorder="1" applyAlignment="1" applyProtection="1">
      <alignment vertical="center"/>
      <protection/>
    </xf>
    <xf numFmtId="0" fontId="12" fillId="2" borderId="0" xfId="16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49" fontId="13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025"/>
          <c:w val="0.95"/>
          <c:h val="0.95175"/>
        </c:manualLayout>
      </c:layout>
      <c:scatterChart>
        <c:scatterStyle val="line"/>
        <c:varyColors val="0"/>
        <c:ser>
          <c:idx val="0"/>
          <c:order val="0"/>
          <c:tx>
            <c:strRef>
              <c:f>'計算'!$J$5</c:f>
              <c:strCache>
                <c:ptCount val="1"/>
                <c:pt idx="0">
                  <c:v>下部擁壁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'計算'!$J$6:$J$40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2.5</c:v>
                </c:pt>
                <c:pt idx="4">
                  <c:v>2.5</c:v>
                </c:pt>
                <c:pt idx="5">
                  <c:v>2.276393202250021</c:v>
                </c:pt>
                <c:pt idx="6">
                  <c:v>2.276393202250021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'計算'!$K$5</c:f>
              <c:strCache>
                <c:ptCount val="1"/>
                <c:pt idx="0">
                  <c:v>ブロック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'計算'!$K$6:$K$40</c:f>
              <c:numCache>
                <c:ptCount val="35"/>
                <c:pt idx="9">
                  <c:v>2.5</c:v>
                </c:pt>
                <c:pt idx="10">
                  <c:v>7.5</c:v>
                </c:pt>
                <c:pt idx="11">
                  <c:v>7.5</c:v>
                </c:pt>
                <c:pt idx="12">
                  <c:v>2.276393202250021</c:v>
                </c:pt>
                <c:pt idx="13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'計算'!$L$5</c:f>
              <c:strCache>
                <c:ptCount val="1"/>
                <c:pt idx="0">
                  <c:v>地盤線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'計算'!$L$6:$L$40</c:f>
              <c:numCache>
                <c:ptCount val="35"/>
                <c:pt idx="14">
                  <c:v>7.5</c:v>
                </c:pt>
                <c:pt idx="15">
                  <c:v>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'計算'!$M$5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'計算'!$M$6:$M$40</c:f>
              <c:numCache>
                <c:ptCount val="35"/>
                <c:pt idx="16">
                  <c:v>7.5</c:v>
                </c:pt>
                <c:pt idx="17">
                  <c:v>8</c:v>
                </c:pt>
                <c:pt idx="18">
                  <c:v>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'計算'!$N$5</c:f>
              <c:strCache>
                <c:ptCount val="1"/>
                <c:pt idx="0">
                  <c:v>すべり面１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'計算'!$N$6:$N$40</c:f>
              <c:numCache>
                <c:ptCount val="35"/>
                <c:pt idx="19">
                  <c:v>2.276393202250021</c:v>
                </c:pt>
                <c:pt idx="20">
                  <c:v>7.5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'計算'!$O$5</c:f>
              <c:strCache>
                <c:ptCount val="1"/>
                <c:pt idx="0">
                  <c:v>すべり面2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'計算'!$O$6:$O$40</c:f>
              <c:numCache>
                <c:ptCount val="35"/>
                <c:pt idx="21">
                  <c:v>2.276393202250021</c:v>
                </c:pt>
                <c:pt idx="22">
                  <c:v>3.3687741868525567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'計算'!$P$5</c:f>
              <c:strCache>
                <c:ptCount val="1"/>
                <c:pt idx="0">
                  <c:v>すべり面3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'計算'!$P$6:$P$40</c:f>
              <c:numCache>
                <c:ptCount val="35"/>
                <c:pt idx="23">
                  <c:v>0</c:v>
                </c:pt>
                <c:pt idx="24">
                  <c:v>7.5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'計算'!$Q$5</c:f>
              <c:strCache>
                <c:ptCount val="1"/>
                <c:pt idx="0">
                  <c:v>仮想背面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'計算'!$Q$6:$Q$40</c:f>
              <c:numCache>
                <c:ptCount val="35"/>
                <c:pt idx="25">
                  <c:v>2.276393202250021</c:v>
                </c:pt>
                <c:pt idx="26">
                  <c:v>7.5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'計算'!$R$5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'計算'!$R$6:$R$40</c:f>
              <c:numCache>
                <c:ptCount val="35"/>
                <c:pt idx="27">
                  <c:v>0</c:v>
                </c:pt>
                <c:pt idx="28">
                  <c:v>2.6438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'計算'!$S$5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'計算'!$S$6:$S$40</c:f>
              <c:numCache>
                <c:ptCount val="35"/>
                <c:pt idx="29">
                  <c:v>0</c:v>
                </c:pt>
                <c:pt idx="30">
                  <c:v>-1.551</c:v>
                </c:pt>
                <c:pt idx="31">
                  <c:v>-0.2115</c:v>
                </c:pt>
                <c:pt idx="32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'計算'!$T$5</c:f>
              <c:strCache>
                <c:ptCount val="1"/>
                <c:pt idx="0">
                  <c:v>根入れ地盤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'計算'!$T$6:$T$40</c:f>
              <c:numCache>
                <c:ptCount val="35"/>
                <c:pt idx="33">
                  <c:v>1.2</c:v>
                </c:pt>
                <c:pt idx="34">
                  <c:v>1.2</c:v>
                </c:pt>
              </c:numCache>
            </c:numRef>
          </c:yVal>
          <c:smooth val="0"/>
        </c:ser>
        <c:axId val="50021378"/>
        <c:axId val="47539219"/>
      </c:scatterChart>
      <c:valAx>
        <c:axId val="5002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39219"/>
        <c:crosses val="autoZero"/>
        <c:crossBetween val="midCat"/>
        <c:dispUnits/>
      </c:valAx>
      <c:valAx>
        <c:axId val="47539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213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'出力'!$D$263</c:f>
              <c:strCache>
                <c:ptCount val="1"/>
                <c:pt idx="0">
                  <c:v>PA2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'出力'!$B$264:$B$274</c:f>
              <c:numCache/>
            </c:numRef>
          </c:cat>
          <c:val>
            <c:numRef>
              <c:f>'出力'!$D$264:$D$274</c:f>
              <c:numCache/>
            </c:numRef>
          </c:val>
          <c:smooth val="0"/>
        </c:ser>
        <c:marker val="1"/>
        <c:axId val="25199788"/>
        <c:axId val="25471501"/>
      </c:lineChart>
      <c:catAx>
        <c:axId val="2519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5471501"/>
        <c:crosses val="autoZero"/>
        <c:auto val="1"/>
        <c:lblOffset val="100"/>
        <c:noMultiLvlLbl val="0"/>
      </c:catAx>
      <c:valAx>
        <c:axId val="2547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PA2(kN/m)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5199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'出力'!$D$301</c:f>
              <c:strCache>
                <c:ptCount val="1"/>
                <c:pt idx="0">
                  <c:v>PA2'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'出力'!$B$302:$B$312</c:f>
              <c:numCache/>
            </c:numRef>
          </c:cat>
          <c:val>
            <c:numRef>
              <c:f>'出力'!$D$302:$D$312</c:f>
              <c:numCache/>
            </c:numRef>
          </c:val>
          <c:smooth val="0"/>
        </c:ser>
        <c:marker val="1"/>
        <c:axId val="27916918"/>
        <c:axId val="49925671"/>
      </c:lineChart>
      <c:catAx>
        <c:axId val="2791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925671"/>
        <c:crosses val="autoZero"/>
        <c:auto val="1"/>
        <c:lblOffset val="100"/>
        <c:noMultiLvlLbl val="0"/>
      </c:catAx>
      <c:valAx>
        <c:axId val="49925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PA2(kN/m)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916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5"/>
          <c:h val="0.95575"/>
        </c:manualLayout>
      </c:layout>
      <c:scatterChart>
        <c:scatterStyle val="line"/>
        <c:varyColors val="0"/>
        <c:ser>
          <c:idx val="0"/>
          <c:order val="0"/>
          <c:tx>
            <c:strRef>
              <c:f>'計算'!$J$5</c:f>
              <c:strCache>
                <c:ptCount val="1"/>
                <c:pt idx="0">
                  <c:v>下部擁壁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'計算'!$J$6:$J$40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2.5</c:v>
                </c:pt>
                <c:pt idx="4">
                  <c:v>2.5</c:v>
                </c:pt>
                <c:pt idx="5">
                  <c:v>2.276393202250021</c:v>
                </c:pt>
                <c:pt idx="6">
                  <c:v>2.276393202250021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'計算'!$K$5</c:f>
              <c:strCache>
                <c:ptCount val="1"/>
                <c:pt idx="0">
                  <c:v>ブロック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'計算'!$K$6:$K$40</c:f>
              <c:numCache>
                <c:ptCount val="35"/>
                <c:pt idx="9">
                  <c:v>2.5</c:v>
                </c:pt>
                <c:pt idx="10">
                  <c:v>7.5</c:v>
                </c:pt>
                <c:pt idx="11">
                  <c:v>7.5</c:v>
                </c:pt>
                <c:pt idx="12">
                  <c:v>2.276393202250021</c:v>
                </c:pt>
                <c:pt idx="13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'計算'!$L$5</c:f>
              <c:strCache>
                <c:ptCount val="1"/>
                <c:pt idx="0">
                  <c:v>地盤線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'計算'!$L$6:$L$40</c:f>
              <c:numCache>
                <c:ptCount val="35"/>
                <c:pt idx="14">
                  <c:v>7.5</c:v>
                </c:pt>
                <c:pt idx="15">
                  <c:v>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'計算'!$M$5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'計算'!$M$6:$M$40</c:f>
              <c:numCache>
                <c:ptCount val="35"/>
                <c:pt idx="16">
                  <c:v>7.5</c:v>
                </c:pt>
                <c:pt idx="17">
                  <c:v>8</c:v>
                </c:pt>
                <c:pt idx="18">
                  <c:v>8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'計算'!$T$5</c:f>
              <c:strCache>
                <c:ptCount val="1"/>
                <c:pt idx="0">
                  <c:v>根入れ地盤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'計算'!$T$6:$T$40</c:f>
              <c:numCache>
                <c:ptCount val="35"/>
                <c:pt idx="33">
                  <c:v>1.2</c:v>
                </c:pt>
                <c:pt idx="34">
                  <c:v>1.2</c:v>
                </c:pt>
              </c:numCache>
            </c:numRef>
          </c:yVal>
          <c:smooth val="0"/>
        </c:ser>
        <c:axId val="46677856"/>
        <c:axId val="17447521"/>
      </c:scatterChart>
      <c:valAx>
        <c:axId val="4667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7447521"/>
        <c:crosses val="autoZero"/>
        <c:crossBetween val="midCat"/>
        <c:dispUnits/>
      </c:valAx>
      <c:valAx>
        <c:axId val="17447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6778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'計算'!$J$5</c:f>
              <c:strCache>
                <c:ptCount val="1"/>
                <c:pt idx="0">
                  <c:v>下部擁壁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'計算'!$J$6:$J$40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2.5</c:v>
                </c:pt>
                <c:pt idx="4">
                  <c:v>2.5</c:v>
                </c:pt>
                <c:pt idx="5">
                  <c:v>2.276393202250021</c:v>
                </c:pt>
                <c:pt idx="6">
                  <c:v>2.276393202250021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'計算'!$K$5</c:f>
              <c:strCache>
                <c:ptCount val="1"/>
                <c:pt idx="0">
                  <c:v>ブロック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'計算'!$K$6:$K$40</c:f>
              <c:numCache>
                <c:ptCount val="35"/>
                <c:pt idx="9">
                  <c:v>2.5</c:v>
                </c:pt>
                <c:pt idx="10">
                  <c:v>7.5</c:v>
                </c:pt>
                <c:pt idx="11">
                  <c:v>7.5</c:v>
                </c:pt>
                <c:pt idx="12">
                  <c:v>2.276393202250021</c:v>
                </c:pt>
                <c:pt idx="13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'計算'!$L$5</c:f>
              <c:strCache>
                <c:ptCount val="1"/>
                <c:pt idx="0">
                  <c:v>地盤線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'計算'!$L$6:$L$40</c:f>
              <c:numCache>
                <c:ptCount val="35"/>
                <c:pt idx="14">
                  <c:v>7.5</c:v>
                </c:pt>
                <c:pt idx="15">
                  <c:v>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'計算'!$M$5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'計算'!$M$6:$M$40</c:f>
              <c:numCache>
                <c:ptCount val="35"/>
                <c:pt idx="16">
                  <c:v>7.5</c:v>
                </c:pt>
                <c:pt idx="17">
                  <c:v>8</c:v>
                </c:pt>
                <c:pt idx="18">
                  <c:v>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'計算'!$N$5</c:f>
              <c:strCache>
                <c:ptCount val="1"/>
                <c:pt idx="0">
                  <c:v>すべり面１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'計算'!$N$6:$N$40</c:f>
              <c:numCache>
                <c:ptCount val="35"/>
                <c:pt idx="19">
                  <c:v>2.276393202250021</c:v>
                </c:pt>
                <c:pt idx="20">
                  <c:v>7.5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'計算'!$O$5</c:f>
              <c:strCache>
                <c:ptCount val="1"/>
                <c:pt idx="0">
                  <c:v>すべり面2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'計算'!$O$6:$O$40</c:f>
              <c:numCache>
                <c:ptCount val="35"/>
                <c:pt idx="21">
                  <c:v>2.276393202250021</c:v>
                </c:pt>
                <c:pt idx="22">
                  <c:v>3.3687741868525567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'計算'!$P$5</c:f>
              <c:strCache>
                <c:ptCount val="1"/>
                <c:pt idx="0">
                  <c:v>すべり面3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'計算'!$P$6:$P$40</c:f>
              <c:numCache>
                <c:ptCount val="35"/>
                <c:pt idx="23">
                  <c:v>0</c:v>
                </c:pt>
                <c:pt idx="24">
                  <c:v>7.5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'計算'!$Q$5</c:f>
              <c:strCache>
                <c:ptCount val="1"/>
                <c:pt idx="0">
                  <c:v>仮想背面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'計算'!$Q$6:$Q$40</c:f>
              <c:numCache>
                <c:ptCount val="35"/>
                <c:pt idx="25">
                  <c:v>2.276393202250021</c:v>
                </c:pt>
                <c:pt idx="26">
                  <c:v>7.5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'計算'!$R$5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'計算'!$R$6:$R$40</c:f>
              <c:numCache>
                <c:ptCount val="35"/>
                <c:pt idx="27">
                  <c:v>0</c:v>
                </c:pt>
                <c:pt idx="28">
                  <c:v>2.6438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'計算'!$S$5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'計算'!$S$6:$S$40</c:f>
              <c:numCache>
                <c:ptCount val="35"/>
                <c:pt idx="29">
                  <c:v>0</c:v>
                </c:pt>
                <c:pt idx="30">
                  <c:v>-1.551</c:v>
                </c:pt>
                <c:pt idx="31">
                  <c:v>-0.2115</c:v>
                </c:pt>
                <c:pt idx="32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'計算'!$T$5</c:f>
              <c:strCache>
                <c:ptCount val="1"/>
                <c:pt idx="0">
                  <c:v>根入れ地盤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1.25</c:v>
                </c:pt>
                <c:pt idx="4">
                  <c:v>1.45</c:v>
                </c:pt>
                <c:pt idx="5">
                  <c:v>1.8972135954999578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1.45</c:v>
                </c:pt>
                <c:pt idx="10">
                  <c:v>3.95</c:v>
                </c:pt>
                <c:pt idx="11">
                  <c:v>4.509016994374948</c:v>
                </c:pt>
                <c:pt idx="12">
                  <c:v>1.8972135954999578</c:v>
                </c:pt>
                <c:pt idx="13">
                  <c:v>1.45</c:v>
                </c:pt>
                <c:pt idx="14">
                  <c:v>4.509016994374948</c:v>
                </c:pt>
                <c:pt idx="15">
                  <c:v>8.87055694898133</c:v>
                </c:pt>
                <c:pt idx="16">
                  <c:v>4.509016994374948</c:v>
                </c:pt>
                <c:pt idx="17">
                  <c:v>4.509016994374948</c:v>
                </c:pt>
                <c:pt idx="18">
                  <c:v>8.87055694898133</c:v>
                </c:pt>
                <c:pt idx="19">
                  <c:v>3</c:v>
                </c:pt>
                <c:pt idx="20">
                  <c:v>7.088675465715842</c:v>
                </c:pt>
                <c:pt idx="21">
                  <c:v>3</c:v>
                </c:pt>
                <c:pt idx="22">
                  <c:v>2.443404087801226</c:v>
                </c:pt>
                <c:pt idx="23">
                  <c:v>3</c:v>
                </c:pt>
                <c:pt idx="24">
                  <c:v>7.87055694898133</c:v>
                </c:pt>
                <c:pt idx="25">
                  <c:v>3</c:v>
                </c:pt>
                <c:pt idx="26">
                  <c:v>4.509016994374948</c:v>
                </c:pt>
                <c:pt idx="27">
                  <c:v>1.12</c:v>
                </c:pt>
                <c:pt idx="28">
                  <c:v>2.3909000000000002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0.6</c:v>
                </c:pt>
                <c:pt idx="34">
                  <c:v>-1.2</c:v>
                </c:pt>
              </c:numCache>
            </c:numRef>
          </c:xVal>
          <c:yVal>
            <c:numRef>
              <c:f>'計算'!$T$6:$T$40</c:f>
              <c:numCache>
                <c:ptCount val="35"/>
                <c:pt idx="33">
                  <c:v>1.2</c:v>
                </c:pt>
                <c:pt idx="34">
                  <c:v>1.2</c:v>
                </c:pt>
              </c:numCache>
            </c:numRef>
          </c:yVal>
          <c:smooth val="0"/>
        </c:ser>
        <c:axId val="22809962"/>
        <c:axId val="3963067"/>
      </c:scatterChart>
      <c:valAx>
        <c:axId val="22809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963067"/>
        <c:crosses val="autoZero"/>
        <c:crossBetween val="midCat"/>
        <c:dispUnits/>
      </c:valAx>
      <c:valAx>
        <c:axId val="3963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8099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'計算'!$J$5</c:f>
              <c:strCache>
                <c:ptCount val="1"/>
                <c:pt idx="0">
                  <c:v>下部擁壁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'計算'!$J$6:$J$38</c:f>
              <c:numCache/>
            </c:numRef>
          </c:yVal>
          <c:smooth val="0"/>
        </c:ser>
        <c:ser>
          <c:idx val="1"/>
          <c:order val="1"/>
          <c:tx>
            <c:strRef>
              <c:f>'計算'!$K$5</c:f>
              <c:strCache>
                <c:ptCount val="1"/>
                <c:pt idx="0">
                  <c:v>ブロック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'計算'!$K$6:$K$38</c:f>
              <c:numCache/>
            </c:numRef>
          </c:yVal>
          <c:smooth val="0"/>
        </c:ser>
        <c:ser>
          <c:idx val="2"/>
          <c:order val="2"/>
          <c:tx>
            <c:strRef>
              <c:f>'計算'!$L$5</c:f>
              <c:strCache>
                <c:ptCount val="1"/>
                <c:pt idx="0">
                  <c:v>地盤線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'計算'!$L$6:$L$38</c:f>
              <c:numCache/>
            </c:numRef>
          </c:yVal>
          <c:smooth val="0"/>
        </c:ser>
        <c:ser>
          <c:idx val="3"/>
          <c:order val="3"/>
          <c:tx>
            <c:strRef>
              <c:f>'計算'!$M$5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'計算'!$M$6:$M$38</c:f>
              <c:numCache/>
            </c:numRef>
          </c:yVal>
          <c:smooth val="0"/>
        </c:ser>
        <c:ser>
          <c:idx val="4"/>
          <c:order val="4"/>
          <c:tx>
            <c:strRef>
              <c:f>'計算'!$N$5</c:f>
              <c:strCache>
                <c:ptCount val="1"/>
                <c:pt idx="0">
                  <c:v>すべり面１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12700">
                <a:solidFill>
                  <a:srgbClr val="FF6600"/>
                </a:solidFill>
              </a:ln>
            </c:spPr>
            <c:marker>
              <c:symbol val="none"/>
            </c:marker>
          </c:dPt>
          <c:xVal>
            <c:numRef>
              <c:f>'計算'!$I$6:$I$38</c:f>
              <c:numCache/>
            </c:numRef>
          </c:xVal>
          <c:yVal>
            <c:numRef>
              <c:f>'計算'!$N$6:$N$38</c:f>
              <c:numCache/>
            </c:numRef>
          </c:yVal>
          <c:smooth val="0"/>
        </c:ser>
        <c:ser>
          <c:idx val="5"/>
          <c:order val="5"/>
          <c:tx>
            <c:strRef>
              <c:f>'計算'!$O$5</c:f>
              <c:strCache>
                <c:ptCount val="1"/>
                <c:pt idx="0">
                  <c:v>すべり面2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6600"/>
                </a:solidFill>
              </a:ln>
            </c:spPr>
            <c:marker>
              <c:symbol val="none"/>
            </c:marker>
          </c:dPt>
          <c:xVal>
            <c:numRef>
              <c:f>'計算'!$I$6:$I$38</c:f>
              <c:numCache/>
            </c:numRef>
          </c:xVal>
          <c:yVal>
            <c:numRef>
              <c:f>'計算'!$O$6:$O$38</c:f>
              <c:numCache/>
            </c:numRef>
          </c:yVal>
          <c:smooth val="0"/>
        </c:ser>
        <c:ser>
          <c:idx val="6"/>
          <c:order val="6"/>
          <c:tx>
            <c:strRef>
              <c:f>'計算'!$P$5</c:f>
              <c:strCache>
                <c:ptCount val="1"/>
                <c:pt idx="0">
                  <c:v>すべり面3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'計算'!$P$6:$P$38</c:f>
              <c:numCache/>
            </c:numRef>
          </c:yVal>
          <c:smooth val="0"/>
        </c:ser>
        <c:ser>
          <c:idx val="7"/>
          <c:order val="7"/>
          <c:tx>
            <c:strRef>
              <c:f>'計算'!$Q$5</c:f>
              <c:strCache>
                <c:ptCount val="1"/>
                <c:pt idx="0">
                  <c:v>仮想背面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'計算'!$Q$6:$Q$38</c:f>
              <c:numCache/>
            </c:numRef>
          </c:yVal>
          <c:smooth val="0"/>
        </c:ser>
        <c:ser>
          <c:idx val="8"/>
          <c:order val="8"/>
          <c:tx>
            <c:strRef>
              <c:f>'計算'!$R$5</c:f>
              <c:strCache>
                <c:ptCount val="1"/>
                <c:pt idx="0">
                  <c:v>合力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'計算'!$R$6:$R$38</c:f>
              <c:numCache/>
            </c:numRef>
          </c:yVal>
          <c:smooth val="0"/>
        </c:ser>
        <c:ser>
          <c:idx val="9"/>
          <c:order val="9"/>
          <c:tx>
            <c:strRef>
              <c:f>'計算'!$S$5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'計算'!$I$6:$I$38</c:f>
              <c:numCache/>
            </c:numRef>
          </c:xVal>
          <c:yVal>
            <c:numRef>
              <c:f>'計算'!$S$6:$S$38</c:f>
              <c:numCache/>
            </c:numRef>
          </c:yVal>
          <c:smooth val="0"/>
        </c:ser>
        <c:axId val="35667604"/>
        <c:axId val="52572981"/>
      </c:scatterChart>
      <c:valAx>
        <c:axId val="35667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72981"/>
        <c:crosses val="autoZero"/>
        <c:crossBetween val="midCat"/>
        <c:dispUnits/>
      </c:valAx>
      <c:valAx>
        <c:axId val="52572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676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'計算'!$J$5</c:f>
              <c:strCache>
                <c:ptCount val="1"/>
                <c:pt idx="0">
                  <c:v>下部擁壁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'計算'!$J$6:$J$40</c:f>
              <c:numCache/>
            </c:numRef>
          </c:yVal>
          <c:smooth val="0"/>
        </c:ser>
        <c:ser>
          <c:idx val="1"/>
          <c:order val="1"/>
          <c:tx>
            <c:strRef>
              <c:f>'計算'!$K$5</c:f>
              <c:strCache>
                <c:ptCount val="1"/>
                <c:pt idx="0">
                  <c:v>ブロック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'計算'!$K$6:$K$40</c:f>
              <c:numCache/>
            </c:numRef>
          </c:yVal>
          <c:smooth val="0"/>
        </c:ser>
        <c:ser>
          <c:idx val="2"/>
          <c:order val="2"/>
          <c:tx>
            <c:strRef>
              <c:f>'計算'!$L$5</c:f>
              <c:strCache>
                <c:ptCount val="1"/>
                <c:pt idx="0">
                  <c:v>地盤線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'計算'!$L$6:$L$40</c:f>
              <c:numCache/>
            </c:numRef>
          </c:yVal>
          <c:smooth val="0"/>
        </c:ser>
        <c:ser>
          <c:idx val="3"/>
          <c:order val="3"/>
          <c:tx>
            <c:strRef>
              <c:f>'計算'!$M$5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'計算'!$M$6:$M$40</c:f>
              <c:numCache/>
            </c:numRef>
          </c:yVal>
          <c:smooth val="0"/>
        </c:ser>
        <c:ser>
          <c:idx val="4"/>
          <c:order val="4"/>
          <c:tx>
            <c:strRef>
              <c:f>'計算'!$N$5</c:f>
              <c:strCache>
                <c:ptCount val="1"/>
                <c:pt idx="0">
                  <c:v>すべり面１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'計算'!$N$6:$N$40</c:f>
              <c:numCache/>
            </c:numRef>
          </c:yVal>
          <c:smooth val="0"/>
        </c:ser>
        <c:ser>
          <c:idx val="5"/>
          <c:order val="5"/>
          <c:tx>
            <c:strRef>
              <c:f>'計算'!$O$5</c:f>
              <c:strCache>
                <c:ptCount val="1"/>
                <c:pt idx="0">
                  <c:v>すべり面2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'計算'!$O$6:$O$40</c:f>
              <c:numCache/>
            </c:numRef>
          </c:yVal>
          <c:smooth val="0"/>
        </c:ser>
        <c:ser>
          <c:idx val="6"/>
          <c:order val="6"/>
          <c:tx>
            <c:strRef>
              <c:f>'計算'!$P$5</c:f>
              <c:strCache>
                <c:ptCount val="1"/>
                <c:pt idx="0">
                  <c:v>すべり面3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'計算'!$P$6:$P$40</c:f>
              <c:numCache/>
            </c:numRef>
          </c:yVal>
          <c:smooth val="0"/>
        </c:ser>
        <c:ser>
          <c:idx val="7"/>
          <c:order val="7"/>
          <c:tx>
            <c:strRef>
              <c:f>'計算'!$Q$5</c:f>
              <c:strCache>
                <c:ptCount val="1"/>
                <c:pt idx="0">
                  <c:v>仮想背面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'計算'!$I$6:$I$40</c:f>
              <c:numCache/>
            </c:numRef>
          </c:xVal>
          <c:yVal>
            <c:numRef>
              <c:f>'計算'!$Q$6:$Q$40</c:f>
              <c:numCache/>
            </c:numRef>
          </c:yVal>
          <c:smooth val="0"/>
        </c:ser>
        <c:ser>
          <c:idx val="8"/>
          <c:order val="8"/>
          <c:tx>
            <c:strRef>
              <c:f>'計算'!$R$5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'計算'!$R$6:$R$40</c:f>
              <c:numCache/>
            </c:numRef>
          </c:yVal>
          <c:smooth val="0"/>
        </c:ser>
        <c:ser>
          <c:idx val="9"/>
          <c:order val="9"/>
          <c:tx>
            <c:strRef>
              <c:f>'計算'!$S$5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'計算'!$I$6:$I$40</c:f>
              <c:numCache/>
            </c:numRef>
          </c:xVal>
          <c:yVal>
            <c:numRef>
              <c:f>'計算'!$S$6:$S$40</c:f>
              <c:numCache/>
            </c:numRef>
          </c:yVal>
          <c:smooth val="0"/>
        </c:ser>
        <c:ser>
          <c:idx val="10"/>
          <c:order val="10"/>
          <c:tx>
            <c:strRef>
              <c:f>'計算'!$T$5</c:f>
              <c:strCache>
                <c:ptCount val="1"/>
                <c:pt idx="0">
                  <c:v>根入れ地盤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'計算'!$I$6:$I$40</c:f>
              <c:numCache/>
            </c:numRef>
          </c:xVal>
          <c:yVal>
            <c:numRef>
              <c:f>'計算'!$T$6:$T$40</c:f>
              <c:numCache/>
            </c:numRef>
          </c:yVal>
          <c:smooth val="0"/>
        </c:ser>
        <c:axId val="3394782"/>
        <c:axId val="30553039"/>
      </c:scatterChart>
      <c:valAx>
        <c:axId val="3394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53039"/>
        <c:crosses val="autoZero"/>
        <c:crossBetween val="midCat"/>
        <c:dispUnits/>
      </c:valAx>
      <c:valAx>
        <c:axId val="30553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47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2.emf" /><Relationship Id="rId9" Type="http://schemas.openxmlformats.org/officeDocument/2006/relationships/image" Target="../media/image16.emf" /><Relationship Id="rId10" Type="http://schemas.openxmlformats.org/officeDocument/2006/relationships/image" Target="../media/image22.emf" /><Relationship Id="rId11" Type="http://schemas.openxmlformats.org/officeDocument/2006/relationships/image" Target="../media/image23.emf" /><Relationship Id="rId12" Type="http://schemas.openxmlformats.org/officeDocument/2006/relationships/image" Target="../media/image24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13.emf" /><Relationship Id="rId16" Type="http://schemas.openxmlformats.org/officeDocument/2006/relationships/image" Target="../media/image17.emf" /><Relationship Id="rId17" Type="http://schemas.openxmlformats.org/officeDocument/2006/relationships/image" Target="../media/image25.emf" /><Relationship Id="rId18" Type="http://schemas.openxmlformats.org/officeDocument/2006/relationships/image" Target="../media/image15.emf" /><Relationship Id="rId19" Type="http://schemas.openxmlformats.org/officeDocument/2006/relationships/image" Target="../media/image21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chart" Target="/xl/charts/chart2.xml" /><Relationship Id="rId23" Type="http://schemas.openxmlformats.org/officeDocument/2006/relationships/image" Target="../media/image29.emf" /><Relationship Id="rId24" Type="http://schemas.openxmlformats.org/officeDocument/2006/relationships/chart" Target="/xl/charts/chart3.xml" /><Relationship Id="rId25" Type="http://schemas.openxmlformats.org/officeDocument/2006/relationships/image" Target="../media/image28.emf" /><Relationship Id="rId26" Type="http://schemas.openxmlformats.org/officeDocument/2006/relationships/image" Target="../media/image30.emf" /><Relationship Id="rId27" Type="http://schemas.openxmlformats.org/officeDocument/2006/relationships/chart" Target="/xl/charts/chart4.xml" /><Relationship Id="rId28" Type="http://schemas.openxmlformats.org/officeDocument/2006/relationships/image" Target="../media/image1.emf" /><Relationship Id="rId29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24</xdr:row>
      <xdr:rowOff>57150</xdr:rowOff>
    </xdr:from>
    <xdr:to>
      <xdr:col>26</xdr:col>
      <xdr:colOff>466725</xdr:colOff>
      <xdr:row>25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600075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44</xdr:row>
      <xdr:rowOff>114300</xdr:rowOff>
    </xdr:from>
    <xdr:to>
      <xdr:col>6</xdr:col>
      <xdr:colOff>590550</xdr:colOff>
      <xdr:row>58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125200"/>
          <a:ext cx="41719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62</xdr:row>
      <xdr:rowOff>66675</xdr:rowOff>
    </xdr:from>
    <xdr:to>
      <xdr:col>6</xdr:col>
      <xdr:colOff>561975</xdr:colOff>
      <xdr:row>71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5535275"/>
          <a:ext cx="40005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44</xdr:row>
      <xdr:rowOff>142875</xdr:rowOff>
    </xdr:from>
    <xdr:to>
      <xdr:col>5</xdr:col>
      <xdr:colOff>180975</xdr:colOff>
      <xdr:row>45</xdr:row>
      <xdr:rowOff>85725</xdr:rowOff>
    </xdr:to>
    <xdr:sp>
      <xdr:nvSpPr>
        <xdr:cNvPr id="4" name="Oval 10"/>
        <xdr:cNvSpPr>
          <a:spLocks/>
        </xdr:cNvSpPr>
      </xdr:nvSpPr>
      <xdr:spPr>
        <a:xfrm>
          <a:off x="3076575" y="11153775"/>
          <a:ext cx="53340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63</xdr:row>
      <xdr:rowOff>57150</xdr:rowOff>
    </xdr:from>
    <xdr:to>
      <xdr:col>6</xdr:col>
      <xdr:colOff>552450</xdr:colOff>
      <xdr:row>64</xdr:row>
      <xdr:rowOff>19050</xdr:rowOff>
    </xdr:to>
    <xdr:sp>
      <xdr:nvSpPr>
        <xdr:cNvPr id="5" name="Oval 11"/>
        <xdr:cNvSpPr>
          <a:spLocks/>
        </xdr:cNvSpPr>
      </xdr:nvSpPr>
      <xdr:spPr>
        <a:xfrm>
          <a:off x="3876675" y="15773400"/>
          <a:ext cx="7905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75</xdr:row>
      <xdr:rowOff>114300</xdr:rowOff>
    </xdr:from>
    <xdr:to>
      <xdr:col>6</xdr:col>
      <xdr:colOff>76200</xdr:colOff>
      <xdr:row>81</xdr:row>
      <xdr:rowOff>28575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8802350"/>
          <a:ext cx="3467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79</xdr:row>
      <xdr:rowOff>209550</xdr:rowOff>
    </xdr:from>
    <xdr:to>
      <xdr:col>2</xdr:col>
      <xdr:colOff>57150</xdr:colOff>
      <xdr:row>81</xdr:row>
      <xdr:rowOff>66675</xdr:rowOff>
    </xdr:to>
    <xdr:sp>
      <xdr:nvSpPr>
        <xdr:cNvPr id="7" name="Oval 15"/>
        <xdr:cNvSpPr>
          <a:spLocks/>
        </xdr:cNvSpPr>
      </xdr:nvSpPr>
      <xdr:spPr>
        <a:xfrm>
          <a:off x="895350" y="19888200"/>
          <a:ext cx="533400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52</xdr:row>
      <xdr:rowOff>19050</xdr:rowOff>
    </xdr:from>
    <xdr:to>
      <xdr:col>6</xdr:col>
      <xdr:colOff>619125</xdr:colOff>
      <xdr:row>53</xdr:row>
      <xdr:rowOff>114300</xdr:rowOff>
    </xdr:to>
    <xdr:sp>
      <xdr:nvSpPr>
        <xdr:cNvPr id="8" name="Oval 16"/>
        <xdr:cNvSpPr>
          <a:spLocks/>
        </xdr:cNvSpPr>
      </xdr:nvSpPr>
      <xdr:spPr>
        <a:xfrm>
          <a:off x="3048000" y="13011150"/>
          <a:ext cx="1685925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104</xdr:row>
      <xdr:rowOff>133350</xdr:rowOff>
    </xdr:from>
    <xdr:to>
      <xdr:col>6</xdr:col>
      <xdr:colOff>9525</xdr:colOff>
      <xdr:row>113</xdr:row>
      <xdr:rowOff>190500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26003250"/>
          <a:ext cx="3133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107</xdr:row>
      <xdr:rowOff>38100</xdr:rowOff>
    </xdr:from>
    <xdr:to>
      <xdr:col>2</xdr:col>
      <xdr:colOff>352425</xdr:colOff>
      <xdr:row>108</xdr:row>
      <xdr:rowOff>133350</xdr:rowOff>
    </xdr:to>
    <xdr:sp>
      <xdr:nvSpPr>
        <xdr:cNvPr id="10" name="Oval 19"/>
        <xdr:cNvSpPr>
          <a:spLocks/>
        </xdr:cNvSpPr>
      </xdr:nvSpPr>
      <xdr:spPr>
        <a:xfrm>
          <a:off x="866775" y="26650950"/>
          <a:ext cx="857250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87</xdr:row>
      <xdr:rowOff>66675</xdr:rowOff>
    </xdr:from>
    <xdr:to>
      <xdr:col>7</xdr:col>
      <xdr:colOff>104775</xdr:colOff>
      <xdr:row>100</xdr:row>
      <xdr:rowOff>190500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1726525"/>
          <a:ext cx="41719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87</xdr:row>
      <xdr:rowOff>38100</xdr:rowOff>
    </xdr:from>
    <xdr:to>
      <xdr:col>5</xdr:col>
      <xdr:colOff>361950</xdr:colOff>
      <xdr:row>88</xdr:row>
      <xdr:rowOff>133350</xdr:rowOff>
    </xdr:to>
    <xdr:sp>
      <xdr:nvSpPr>
        <xdr:cNvPr id="12" name="Oval 22"/>
        <xdr:cNvSpPr>
          <a:spLocks/>
        </xdr:cNvSpPr>
      </xdr:nvSpPr>
      <xdr:spPr>
        <a:xfrm>
          <a:off x="3257550" y="21697950"/>
          <a:ext cx="533400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96</xdr:row>
      <xdr:rowOff>142875</xdr:rowOff>
    </xdr:from>
    <xdr:to>
      <xdr:col>7</xdr:col>
      <xdr:colOff>66675</xdr:colOff>
      <xdr:row>97</xdr:row>
      <xdr:rowOff>228600</xdr:rowOff>
    </xdr:to>
    <xdr:sp>
      <xdr:nvSpPr>
        <xdr:cNvPr id="13" name="Oval 23"/>
        <xdr:cNvSpPr>
          <a:spLocks/>
        </xdr:cNvSpPr>
      </xdr:nvSpPr>
      <xdr:spPr>
        <a:xfrm>
          <a:off x="3181350" y="24031575"/>
          <a:ext cx="1685925" cy="3333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11</xdr:col>
      <xdr:colOff>447675</xdr:colOff>
      <xdr:row>18</xdr:row>
      <xdr:rowOff>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4562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20</xdr:row>
      <xdr:rowOff>0</xdr:rowOff>
    </xdr:from>
    <xdr:to>
      <xdr:col>11</xdr:col>
      <xdr:colOff>638175</xdr:colOff>
      <xdr:row>37</xdr:row>
      <xdr:rowOff>161925</xdr:rowOff>
    </xdr:to>
    <xdr:graphicFrame>
      <xdr:nvGraphicFramePr>
        <xdr:cNvPr id="15" name="Chart 26"/>
        <xdr:cNvGraphicFramePr/>
      </xdr:nvGraphicFramePr>
      <xdr:xfrm>
        <a:off x="3829050" y="4953000"/>
        <a:ext cx="4352925" cy="4486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91</xdr:row>
      <xdr:rowOff>76200</xdr:rowOff>
    </xdr:from>
    <xdr:to>
      <xdr:col>3</xdr:col>
      <xdr:colOff>285750</xdr:colOff>
      <xdr:row>92</xdr:row>
      <xdr:rowOff>161925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61235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94</xdr:row>
      <xdr:rowOff>76200</xdr:rowOff>
    </xdr:from>
    <xdr:to>
      <xdr:col>5</xdr:col>
      <xdr:colOff>171450</xdr:colOff>
      <xdr:row>95</xdr:row>
      <xdr:rowOff>190500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3355300"/>
          <a:ext cx="2733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96</xdr:row>
      <xdr:rowOff>142875</xdr:rowOff>
    </xdr:from>
    <xdr:to>
      <xdr:col>5</xdr:col>
      <xdr:colOff>85725</xdr:colOff>
      <xdr:row>98</xdr:row>
      <xdr:rowOff>19050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23917275"/>
          <a:ext cx="2647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98</xdr:row>
      <xdr:rowOff>171450</xdr:rowOff>
    </xdr:from>
    <xdr:to>
      <xdr:col>5</xdr:col>
      <xdr:colOff>628650</xdr:colOff>
      <xdr:row>116</xdr:row>
      <xdr:rowOff>9525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24441150"/>
          <a:ext cx="3324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160</xdr:row>
      <xdr:rowOff>209550</xdr:rowOff>
    </xdr:from>
    <xdr:to>
      <xdr:col>4</xdr:col>
      <xdr:colOff>609600</xdr:colOff>
      <xdr:row>177</xdr:row>
      <xdr:rowOff>85725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9833550"/>
          <a:ext cx="330517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162</xdr:row>
      <xdr:rowOff>161925</xdr:rowOff>
    </xdr:from>
    <xdr:to>
      <xdr:col>8</xdr:col>
      <xdr:colOff>466725</xdr:colOff>
      <xdr:row>176</xdr:row>
      <xdr:rowOff>200025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40281225"/>
          <a:ext cx="25241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191</xdr:row>
      <xdr:rowOff>38100</xdr:rowOff>
    </xdr:from>
    <xdr:to>
      <xdr:col>6</xdr:col>
      <xdr:colOff>161925</xdr:colOff>
      <xdr:row>194</xdr:row>
      <xdr:rowOff>9525</xdr:rowOff>
    </xdr:to>
    <xdr:pic>
      <xdr:nvPicPr>
        <xdr:cNvPr id="7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47339250"/>
          <a:ext cx="2981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196</xdr:row>
      <xdr:rowOff>38100</xdr:rowOff>
    </xdr:from>
    <xdr:to>
      <xdr:col>4</xdr:col>
      <xdr:colOff>95250</xdr:colOff>
      <xdr:row>196</xdr:row>
      <xdr:rowOff>228600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62100" y="485775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198</xdr:row>
      <xdr:rowOff>57150</xdr:rowOff>
    </xdr:from>
    <xdr:to>
      <xdr:col>4</xdr:col>
      <xdr:colOff>590550</xdr:colOff>
      <xdr:row>199</xdr:row>
      <xdr:rowOff>209550</xdr:rowOff>
    </xdr:to>
    <xdr:pic>
      <xdr:nvPicPr>
        <xdr:cNvPr id="9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0" y="4909185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200</xdr:row>
      <xdr:rowOff>19050</xdr:rowOff>
    </xdr:from>
    <xdr:to>
      <xdr:col>5</xdr:col>
      <xdr:colOff>485775</xdr:colOff>
      <xdr:row>201</xdr:row>
      <xdr:rowOff>171450</xdr:rowOff>
    </xdr:to>
    <xdr:pic>
      <xdr:nvPicPr>
        <xdr:cNvPr id="10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49549050"/>
          <a:ext cx="2419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203</xdr:row>
      <xdr:rowOff>76200</xdr:rowOff>
    </xdr:from>
    <xdr:to>
      <xdr:col>6</xdr:col>
      <xdr:colOff>352425</xdr:colOff>
      <xdr:row>204</xdr:row>
      <xdr:rowOff>228600</xdr:rowOff>
    </xdr:to>
    <xdr:pic>
      <xdr:nvPicPr>
        <xdr:cNvPr id="11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50349150"/>
          <a:ext cx="2943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206</xdr:row>
      <xdr:rowOff>57150</xdr:rowOff>
    </xdr:from>
    <xdr:to>
      <xdr:col>4</xdr:col>
      <xdr:colOff>390525</xdr:colOff>
      <xdr:row>207</xdr:row>
      <xdr:rowOff>209550</xdr:rowOff>
    </xdr:to>
    <xdr:pic>
      <xdr:nvPicPr>
        <xdr:cNvPr id="12" name="Picture 1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00175" y="51073050"/>
          <a:ext cx="1733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186</xdr:row>
      <xdr:rowOff>47625</xdr:rowOff>
    </xdr:from>
    <xdr:to>
      <xdr:col>4</xdr:col>
      <xdr:colOff>419100</xdr:colOff>
      <xdr:row>187</xdr:row>
      <xdr:rowOff>200025</xdr:rowOff>
    </xdr:to>
    <xdr:pic>
      <xdr:nvPicPr>
        <xdr:cNvPr id="13" name="Picture 1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90675" y="461105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189</xdr:row>
      <xdr:rowOff>66675</xdr:rowOff>
    </xdr:from>
    <xdr:to>
      <xdr:col>3</xdr:col>
      <xdr:colOff>542925</xdr:colOff>
      <xdr:row>190</xdr:row>
      <xdr:rowOff>180975</xdr:rowOff>
    </xdr:to>
    <xdr:pic>
      <xdr:nvPicPr>
        <xdr:cNvPr id="14" name="Picture 1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46872525"/>
          <a:ext cx="1200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218</xdr:row>
      <xdr:rowOff>9525</xdr:rowOff>
    </xdr:from>
    <xdr:to>
      <xdr:col>6</xdr:col>
      <xdr:colOff>495300</xdr:colOff>
      <xdr:row>230</xdr:row>
      <xdr:rowOff>66675</xdr:rowOff>
    </xdr:to>
    <xdr:pic>
      <xdr:nvPicPr>
        <xdr:cNvPr id="15" name="Picture 1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0" y="53997225"/>
          <a:ext cx="35623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209</xdr:row>
      <xdr:rowOff>57150</xdr:rowOff>
    </xdr:from>
    <xdr:to>
      <xdr:col>3</xdr:col>
      <xdr:colOff>581025</xdr:colOff>
      <xdr:row>210</xdr:row>
      <xdr:rowOff>171450</xdr:rowOff>
    </xdr:to>
    <xdr:pic>
      <xdr:nvPicPr>
        <xdr:cNvPr id="16" name="Picture 1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0175" y="5181600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216</xdr:row>
      <xdr:rowOff>28575</xdr:rowOff>
    </xdr:from>
    <xdr:to>
      <xdr:col>4</xdr:col>
      <xdr:colOff>619125</xdr:colOff>
      <xdr:row>217</xdr:row>
      <xdr:rowOff>219075</xdr:rowOff>
    </xdr:to>
    <xdr:pic>
      <xdr:nvPicPr>
        <xdr:cNvPr id="17" name="Picture 1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09700" y="53520975"/>
          <a:ext cx="1952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214</xdr:row>
      <xdr:rowOff>57150</xdr:rowOff>
    </xdr:from>
    <xdr:to>
      <xdr:col>4</xdr:col>
      <xdr:colOff>466725</xdr:colOff>
      <xdr:row>215</xdr:row>
      <xdr:rowOff>209550</xdr:rowOff>
    </xdr:to>
    <xdr:pic>
      <xdr:nvPicPr>
        <xdr:cNvPr id="18" name="Picture 1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00175" y="5305425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234</xdr:row>
      <xdr:rowOff>152400</xdr:rowOff>
    </xdr:from>
    <xdr:to>
      <xdr:col>7</xdr:col>
      <xdr:colOff>209550</xdr:colOff>
      <xdr:row>250</xdr:row>
      <xdr:rowOff>95250</xdr:rowOff>
    </xdr:to>
    <xdr:pic>
      <xdr:nvPicPr>
        <xdr:cNvPr id="19" name="Picture 1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58102500"/>
          <a:ext cx="44672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256</xdr:row>
      <xdr:rowOff>66675</xdr:rowOff>
    </xdr:from>
    <xdr:to>
      <xdr:col>5</xdr:col>
      <xdr:colOff>590550</xdr:colOff>
      <xdr:row>257</xdr:row>
      <xdr:rowOff>180975</xdr:rowOff>
    </xdr:to>
    <xdr:pic>
      <xdr:nvPicPr>
        <xdr:cNvPr id="20" name="Picture 1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2025" y="63465075"/>
          <a:ext cx="3057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259</xdr:row>
      <xdr:rowOff>57150</xdr:rowOff>
    </xdr:from>
    <xdr:to>
      <xdr:col>4</xdr:col>
      <xdr:colOff>609600</xdr:colOff>
      <xdr:row>260</xdr:row>
      <xdr:rowOff>209550</xdr:rowOff>
    </xdr:to>
    <xdr:pic>
      <xdr:nvPicPr>
        <xdr:cNvPr id="21" name="Picture 1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0" y="6419850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262</xdr:row>
      <xdr:rowOff>9525</xdr:rowOff>
    </xdr:from>
    <xdr:to>
      <xdr:col>8</xdr:col>
      <xdr:colOff>590550</xdr:colOff>
      <xdr:row>274</xdr:row>
      <xdr:rowOff>28575</xdr:rowOff>
    </xdr:to>
    <xdr:graphicFrame>
      <xdr:nvGraphicFramePr>
        <xdr:cNvPr id="22" name="Chart 121"/>
        <xdr:cNvGraphicFramePr/>
      </xdr:nvGraphicFramePr>
      <xdr:xfrm>
        <a:off x="2876550" y="64893825"/>
        <a:ext cx="3200400" cy="2990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666750</xdr:colOff>
      <xdr:row>279</xdr:row>
      <xdr:rowOff>76200</xdr:rowOff>
    </xdr:from>
    <xdr:to>
      <xdr:col>7</xdr:col>
      <xdr:colOff>552450</xdr:colOff>
      <xdr:row>294</xdr:row>
      <xdr:rowOff>47625</xdr:rowOff>
    </xdr:to>
    <xdr:pic>
      <xdr:nvPicPr>
        <xdr:cNvPr id="23" name="Picture 1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0" y="69170550"/>
          <a:ext cx="46863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300</xdr:row>
      <xdr:rowOff>38100</xdr:rowOff>
    </xdr:from>
    <xdr:to>
      <xdr:col>8</xdr:col>
      <xdr:colOff>552450</xdr:colOff>
      <xdr:row>312</xdr:row>
      <xdr:rowOff>66675</xdr:rowOff>
    </xdr:to>
    <xdr:graphicFrame>
      <xdr:nvGraphicFramePr>
        <xdr:cNvPr id="24" name="Chart 124"/>
        <xdr:cNvGraphicFramePr/>
      </xdr:nvGraphicFramePr>
      <xdr:xfrm>
        <a:off x="2828925" y="74333100"/>
        <a:ext cx="3209925" cy="3000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1</xdr:col>
      <xdr:colOff>38100</xdr:colOff>
      <xdr:row>313</xdr:row>
      <xdr:rowOff>161925</xdr:rowOff>
    </xdr:from>
    <xdr:to>
      <xdr:col>6</xdr:col>
      <xdr:colOff>247650</xdr:colOff>
      <xdr:row>327</xdr:row>
      <xdr:rowOff>123825</xdr:rowOff>
    </xdr:to>
    <xdr:pic>
      <xdr:nvPicPr>
        <xdr:cNvPr id="25" name="Picture 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3900" y="77676375"/>
          <a:ext cx="36385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345</xdr:row>
      <xdr:rowOff>57150</xdr:rowOff>
    </xdr:from>
    <xdr:to>
      <xdr:col>5</xdr:col>
      <xdr:colOff>600075</xdr:colOff>
      <xdr:row>357</xdr:row>
      <xdr:rowOff>190500</xdr:rowOff>
    </xdr:to>
    <xdr:pic>
      <xdr:nvPicPr>
        <xdr:cNvPr id="26" name="Picture 1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42975" y="85496400"/>
          <a:ext cx="30861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36</xdr:row>
      <xdr:rowOff>85725</xdr:rowOff>
    </xdr:from>
    <xdr:to>
      <xdr:col>7</xdr:col>
      <xdr:colOff>76200</xdr:colOff>
      <xdr:row>54</xdr:row>
      <xdr:rowOff>0</xdr:rowOff>
    </xdr:to>
    <xdr:graphicFrame>
      <xdr:nvGraphicFramePr>
        <xdr:cNvPr id="27" name="Chart 130"/>
        <xdr:cNvGraphicFramePr/>
      </xdr:nvGraphicFramePr>
      <xdr:xfrm>
        <a:off x="523875" y="9001125"/>
        <a:ext cx="4352925" cy="4371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 editAs="oneCell">
    <xdr:from>
      <xdr:col>0</xdr:col>
      <xdr:colOff>104775</xdr:colOff>
      <xdr:row>2</xdr:row>
      <xdr:rowOff>95250</xdr:rowOff>
    </xdr:from>
    <xdr:to>
      <xdr:col>6</xdr:col>
      <xdr:colOff>428625</xdr:colOff>
      <xdr:row>19</xdr:row>
      <xdr:rowOff>209550</xdr:rowOff>
    </xdr:to>
    <xdr:pic>
      <xdr:nvPicPr>
        <xdr:cNvPr id="28" name="Picture 1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4775" y="590550"/>
          <a:ext cx="44386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415</xdr:row>
      <xdr:rowOff>95250</xdr:rowOff>
    </xdr:from>
    <xdr:to>
      <xdr:col>7</xdr:col>
      <xdr:colOff>57150</xdr:colOff>
      <xdr:row>433</xdr:row>
      <xdr:rowOff>9525</xdr:rowOff>
    </xdr:to>
    <xdr:graphicFrame>
      <xdr:nvGraphicFramePr>
        <xdr:cNvPr id="29" name="Chart 132"/>
        <xdr:cNvGraphicFramePr/>
      </xdr:nvGraphicFramePr>
      <xdr:xfrm>
        <a:off x="504825" y="102870000"/>
        <a:ext cx="4352925" cy="4371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285750</xdr:colOff>
      <xdr:row>12</xdr:row>
      <xdr:rowOff>142875</xdr:rowOff>
    </xdr:from>
    <xdr:to>
      <xdr:col>26</xdr:col>
      <xdr:colOff>609600</xdr:colOff>
      <xdr:row>45</xdr:row>
      <xdr:rowOff>57150</xdr:rowOff>
    </xdr:to>
    <xdr:graphicFrame>
      <xdr:nvGraphicFramePr>
        <xdr:cNvPr id="1" name="Chart 21"/>
        <xdr:cNvGraphicFramePr/>
      </xdr:nvGraphicFramePr>
      <xdr:xfrm>
        <a:off x="14001750" y="2200275"/>
        <a:ext cx="44386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11</xdr:row>
      <xdr:rowOff>85725</xdr:rowOff>
    </xdr:from>
    <xdr:to>
      <xdr:col>13</xdr:col>
      <xdr:colOff>409575</xdr:colOff>
      <xdr:row>36</xdr:row>
      <xdr:rowOff>161925</xdr:rowOff>
    </xdr:to>
    <xdr:graphicFrame>
      <xdr:nvGraphicFramePr>
        <xdr:cNvPr id="2" name="Chart 24"/>
        <xdr:cNvGraphicFramePr/>
      </xdr:nvGraphicFramePr>
      <xdr:xfrm>
        <a:off x="4981575" y="1971675"/>
        <a:ext cx="43434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showGridLines="0" tabSelected="1" zoomScale="80" zoomScaleNormal="80" workbookViewId="0" topLeftCell="A1">
      <selection activeCell="I39" sqref="I39"/>
    </sheetView>
  </sheetViews>
  <sheetFormatPr defaultColWidth="9.00390625" defaultRowHeight="19.5" customHeight="1"/>
  <cols>
    <col min="1" max="16384" width="9.00390625" style="24" customWidth="1"/>
  </cols>
  <sheetData>
    <row r="1" spans="1:25" ht="19.5" customHeight="1">
      <c r="A1" s="24" t="s">
        <v>85</v>
      </c>
      <c r="B1" s="25"/>
      <c r="F1" s="24" t="s">
        <v>358</v>
      </c>
      <c r="Y1" s="30" t="s">
        <v>18</v>
      </c>
    </row>
    <row r="2" spans="1:29" ht="19.5" customHeight="1">
      <c r="A2" s="25" t="s">
        <v>86</v>
      </c>
      <c r="B2" s="25" t="s">
        <v>87</v>
      </c>
      <c r="C2" s="26" t="s">
        <v>88</v>
      </c>
      <c r="D2" s="27">
        <v>5</v>
      </c>
      <c r="E2" s="24" t="s">
        <v>44</v>
      </c>
      <c r="Y2" s="30" t="s">
        <v>45</v>
      </c>
      <c r="Z2" s="30">
        <f>ROUND('計算'!K17-'計算'!J11,3)</f>
        <v>5.224</v>
      </c>
      <c r="AA2" s="30" t="s">
        <v>20</v>
      </c>
      <c r="AB2" s="30"/>
      <c r="AC2" s="30"/>
    </row>
    <row r="3" spans="1:29" ht="19.5" customHeight="1">
      <c r="A3" s="25"/>
      <c r="B3" s="25" t="s">
        <v>89</v>
      </c>
      <c r="C3" s="26" t="s">
        <v>90</v>
      </c>
      <c r="D3" s="27">
        <v>0.5</v>
      </c>
      <c r="E3" s="24" t="s">
        <v>91</v>
      </c>
      <c r="Y3" s="24" t="s">
        <v>23</v>
      </c>
      <c r="Z3" s="24">
        <f>D14*PI()/180</f>
        <v>0.6108652381980153</v>
      </c>
      <c r="AA3" s="24" t="s">
        <v>26</v>
      </c>
      <c r="AB3" s="30"/>
      <c r="AC3" s="30"/>
    </row>
    <row r="4" spans="1:29" ht="19.5" customHeight="1">
      <c r="A4" s="25"/>
      <c r="B4" s="25" t="s">
        <v>3</v>
      </c>
      <c r="C4" s="28" t="s">
        <v>92</v>
      </c>
      <c r="D4" s="27">
        <v>0.5</v>
      </c>
      <c r="Y4" s="24" t="s">
        <v>33</v>
      </c>
      <c r="Z4" s="24">
        <f>Z3*2/3</f>
        <v>0.4072434921320102</v>
      </c>
      <c r="AA4" s="24" t="s">
        <v>26</v>
      </c>
      <c r="AB4" s="30"/>
      <c r="AC4" s="30"/>
    </row>
    <row r="5" spans="1:29" ht="19.5" customHeight="1">
      <c r="A5" s="25" t="s">
        <v>96</v>
      </c>
      <c r="B5" s="25" t="s">
        <v>97</v>
      </c>
      <c r="C5" s="26" t="s">
        <v>98</v>
      </c>
      <c r="D5" s="27">
        <v>2.5</v>
      </c>
      <c r="E5" s="24" t="s">
        <v>44</v>
      </c>
      <c r="Y5" s="30" t="s">
        <v>15</v>
      </c>
      <c r="Z5" s="30">
        <f>ATAN(D4)</f>
        <v>0.4636476090008061</v>
      </c>
      <c r="AA5" s="30" t="s">
        <v>16</v>
      </c>
      <c r="AB5" s="30">
        <f>Z5*180/PI()</f>
        <v>26.56505117707799</v>
      </c>
      <c r="AC5" s="30" t="s">
        <v>233</v>
      </c>
    </row>
    <row r="6" spans="1:29" ht="19.5" customHeight="1">
      <c r="A6" s="25"/>
      <c r="B6" s="25" t="s">
        <v>99</v>
      </c>
      <c r="C6" s="26" t="s">
        <v>100</v>
      </c>
      <c r="D6" s="27">
        <v>0.2</v>
      </c>
      <c r="E6" s="24" t="s">
        <v>44</v>
      </c>
      <c r="Y6" s="30" t="s">
        <v>17</v>
      </c>
      <c r="Z6" s="30">
        <f>ATAN(('計算'!I17-'計算'!I13)/('計算'!K17-'計算'!J12))</f>
        <v>0.28122779000544507</v>
      </c>
      <c r="AA6" s="30" t="s">
        <v>16</v>
      </c>
      <c r="AB6" s="30">
        <f>Z6*180/PI()</f>
        <v>16.1131654491034</v>
      </c>
      <c r="AC6" s="30" t="s">
        <v>233</v>
      </c>
    </row>
    <row r="7" spans="1:29" ht="19.5" customHeight="1">
      <c r="A7" s="25"/>
      <c r="B7" s="25" t="s">
        <v>125</v>
      </c>
      <c r="C7" s="26" t="s">
        <v>127</v>
      </c>
      <c r="D7" s="27">
        <v>1</v>
      </c>
      <c r="E7" s="24" t="s">
        <v>44</v>
      </c>
      <c r="Y7" s="30" t="s">
        <v>27</v>
      </c>
      <c r="Z7" s="30">
        <f>D25</f>
        <v>51.95072898525092</v>
      </c>
      <c r="AA7" s="30" t="s">
        <v>233</v>
      </c>
      <c r="AB7" s="30">
        <f>Z7/180*PI()</f>
        <v>0.9067112696038813</v>
      </c>
      <c r="AC7" s="30" t="s">
        <v>26</v>
      </c>
    </row>
    <row r="8" spans="1:29" ht="19.5" customHeight="1">
      <c r="A8" s="25"/>
      <c r="B8" s="25" t="s">
        <v>126</v>
      </c>
      <c r="C8" s="26" t="s">
        <v>128</v>
      </c>
      <c r="D8" s="27">
        <v>0.5</v>
      </c>
      <c r="E8" s="24" t="s">
        <v>44</v>
      </c>
      <c r="Y8" s="30" t="s">
        <v>28</v>
      </c>
      <c r="Z8" s="30">
        <f>D26</f>
        <v>63</v>
      </c>
      <c r="AA8" s="30" t="s">
        <v>233</v>
      </c>
      <c r="AB8" s="30">
        <f>Z8/180*PI()</f>
        <v>1.0995574287564276</v>
      </c>
      <c r="AC8" s="30" t="s">
        <v>26</v>
      </c>
    </row>
    <row r="9" spans="1:29" ht="19.5" customHeight="1">
      <c r="A9" s="25"/>
      <c r="B9" s="25" t="s">
        <v>7</v>
      </c>
      <c r="C9" s="26" t="s">
        <v>82</v>
      </c>
      <c r="D9" s="27">
        <v>3</v>
      </c>
      <c r="E9" s="24" t="s">
        <v>44</v>
      </c>
      <c r="Y9" s="30" t="s">
        <v>29</v>
      </c>
      <c r="Z9" s="30">
        <f>ROUND(COS(AB8-Z6)*COS(Z5)/(COS(Z5-AB8)*COS(Z6))*Z2,3)</f>
        <v>4.132</v>
      </c>
      <c r="AA9" s="30" t="s">
        <v>20</v>
      </c>
      <c r="AB9" s="30"/>
      <c r="AC9" s="30"/>
    </row>
    <row r="10" spans="1:29" ht="19.5" customHeight="1">
      <c r="A10" s="25"/>
      <c r="B10" s="25" t="s">
        <v>101</v>
      </c>
      <c r="C10" s="28" t="s">
        <v>102</v>
      </c>
      <c r="D10" s="27">
        <v>0.5</v>
      </c>
      <c r="Y10" s="30" t="s">
        <v>48</v>
      </c>
      <c r="Z10" s="30">
        <f>ROUND(Z2*(1/TAN(AB7)-TAN(Z6))*D11,2)</f>
        <v>25.8</v>
      </c>
      <c r="AA10" s="30" t="s">
        <v>49</v>
      </c>
      <c r="AB10" s="30"/>
      <c r="AC10" s="30"/>
    </row>
    <row r="11" spans="1:29" ht="19.5" customHeight="1">
      <c r="A11" s="25" t="s">
        <v>103</v>
      </c>
      <c r="B11" s="25" t="s">
        <v>104</v>
      </c>
      <c r="C11" s="26" t="s">
        <v>105</v>
      </c>
      <c r="D11" s="27">
        <v>10</v>
      </c>
      <c r="E11" s="24" t="s">
        <v>106</v>
      </c>
      <c r="Y11" s="30" t="s">
        <v>30</v>
      </c>
      <c r="Z11" s="30">
        <f>ROUND(COS(AB7+Z6)/(2*SIN(AB7)*COS(Z6))*D13*Z2^2+Z10,2)</f>
        <v>160.56</v>
      </c>
      <c r="AA11" s="30" t="s">
        <v>32</v>
      </c>
      <c r="AB11" s="30"/>
      <c r="AC11" s="30"/>
    </row>
    <row r="12" spans="1:29" ht="19.5" customHeight="1">
      <c r="A12" s="25" t="s">
        <v>107</v>
      </c>
      <c r="B12" s="25" t="s">
        <v>108</v>
      </c>
      <c r="C12" s="26" t="s">
        <v>109</v>
      </c>
      <c r="D12" s="29">
        <v>0</v>
      </c>
      <c r="E12" s="86">
        <f>IF(D12&gt;0,"地震時は計算できません","")</f>
      </c>
      <c r="Y12" s="30" t="s">
        <v>31</v>
      </c>
      <c r="Z12" s="30">
        <f>ROUND(COS(AB8-Z6)*COS(Z5-AB8)/(2*SIN(Z5-Z6)*SIN(AB8)^2)*D13*(Z2-Z9)^2,2)</f>
        <v>45.53</v>
      </c>
      <c r="AA12" s="30" t="s">
        <v>32</v>
      </c>
      <c r="AB12" s="30"/>
      <c r="AC12" s="30"/>
    </row>
    <row r="13" spans="1:29" ht="19.5" customHeight="1">
      <c r="A13" s="25" t="s">
        <v>110</v>
      </c>
      <c r="B13" s="25" t="s">
        <v>94</v>
      </c>
      <c r="C13" s="26" t="s">
        <v>111</v>
      </c>
      <c r="D13" s="27">
        <v>20</v>
      </c>
      <c r="E13" s="24" t="s">
        <v>95</v>
      </c>
      <c r="Y13" s="30" t="s">
        <v>34</v>
      </c>
      <c r="Z13" s="30">
        <f>ROUND(COS(Z3+Z5)^2/(COS(Z5)^2*COS(Z4-Z5)*(1+(SIN(Z3+Z4)*SIN(Z3)/COS(Z4-Z5)/COS(Z5))^0.5)^2),3)</f>
        <v>0.094</v>
      </c>
      <c r="AA13" s="30"/>
      <c r="AB13" s="30"/>
      <c r="AC13" s="30"/>
    </row>
    <row r="14" spans="1:29" ht="19.5" customHeight="1">
      <c r="A14" s="25"/>
      <c r="B14" s="25" t="s">
        <v>112</v>
      </c>
      <c r="C14" s="26" t="s">
        <v>113</v>
      </c>
      <c r="D14" s="27">
        <v>35</v>
      </c>
      <c r="E14" s="24" t="s">
        <v>114</v>
      </c>
      <c r="Y14" s="30" t="s">
        <v>35</v>
      </c>
      <c r="Z14" s="30">
        <f>ROUND(0.5*D13*Z9^2*Z13,2)</f>
        <v>16.05</v>
      </c>
      <c r="AA14" s="30" t="s">
        <v>32</v>
      </c>
      <c r="AB14" s="30"/>
      <c r="AC14" s="30"/>
    </row>
    <row r="15" spans="1:29" ht="19.5" customHeight="1">
      <c r="A15" s="25"/>
      <c r="B15" s="25" t="s">
        <v>115</v>
      </c>
      <c r="C15" s="26" t="s">
        <v>116</v>
      </c>
      <c r="D15" s="27">
        <v>23.3</v>
      </c>
      <c r="E15" s="24" t="s">
        <v>114</v>
      </c>
      <c r="Y15" s="30" t="s">
        <v>36</v>
      </c>
      <c r="Z15" s="30">
        <f>ROUND(((Z11+Z12)*SIN(AB8-Z5)+Z14*COS(AB8-Z3+Z4-Z5))/SIN(AB7+AB8-2*Z3),2)</f>
        <v>193.88</v>
      </c>
      <c r="AA15" s="30" t="s">
        <v>32</v>
      </c>
      <c r="AB15" s="30"/>
      <c r="AC15" s="30"/>
    </row>
    <row r="16" spans="1:29" ht="19.5" customHeight="1">
      <c r="A16" s="25" t="s">
        <v>173</v>
      </c>
      <c r="B16" s="25" t="s">
        <v>174</v>
      </c>
      <c r="C16" s="26" t="s">
        <v>175</v>
      </c>
      <c r="D16" s="40">
        <v>1.2</v>
      </c>
      <c r="E16" s="24" t="s">
        <v>176</v>
      </c>
      <c r="Y16" s="30" t="s">
        <v>52</v>
      </c>
      <c r="Z16" s="30">
        <f>ATAN((Z15*COS(AB7-Z3)-Z11)/Z15/SIN(AB7-Z3))</f>
        <v>0.41488913152113277</v>
      </c>
      <c r="AA16" s="30" t="s">
        <v>16</v>
      </c>
      <c r="AB16" s="30">
        <f>ROUND(Z16*180/PI(),2)</f>
        <v>23.77</v>
      </c>
      <c r="AC16" s="30" t="s">
        <v>233</v>
      </c>
    </row>
    <row r="17" spans="1:29" ht="19.5" customHeight="1">
      <c r="A17" s="25"/>
      <c r="B17" s="25" t="s">
        <v>93</v>
      </c>
      <c r="C17" s="26" t="s">
        <v>111</v>
      </c>
      <c r="D17" s="40">
        <v>19</v>
      </c>
      <c r="E17" s="24" t="s">
        <v>95</v>
      </c>
      <c r="Y17" s="30" t="s">
        <v>51</v>
      </c>
      <c r="Z17" s="30">
        <f>ROUND(Z15*SIN(AB7-Z3)/COS(Z16),2)</f>
        <v>61.77</v>
      </c>
      <c r="AA17" s="30" t="s">
        <v>32</v>
      </c>
      <c r="AB17" s="30"/>
      <c r="AC17" s="30"/>
    </row>
    <row r="18" spans="1:29" ht="19.5" customHeight="1">
      <c r="A18" s="25"/>
      <c r="B18" s="25" t="s">
        <v>112</v>
      </c>
      <c r="C18" s="26" t="s">
        <v>113</v>
      </c>
      <c r="D18" s="40">
        <v>30</v>
      </c>
      <c r="E18" s="24" t="s">
        <v>177</v>
      </c>
      <c r="Y18" s="30" t="s">
        <v>53</v>
      </c>
      <c r="Z18" s="24">
        <f>ROUND(D27,2)</f>
        <v>56.53</v>
      </c>
      <c r="AA18" s="30" t="s">
        <v>32</v>
      </c>
      <c r="AB18" s="30"/>
      <c r="AC18" s="30"/>
    </row>
    <row r="19" spans="1:29" ht="19.5" customHeight="1">
      <c r="A19" s="25"/>
      <c r="B19" s="25" t="s">
        <v>178</v>
      </c>
      <c r="C19" s="26" t="s">
        <v>179</v>
      </c>
      <c r="D19" s="40">
        <v>10</v>
      </c>
      <c r="E19" s="24" t="s">
        <v>180</v>
      </c>
      <c r="Y19" s="30" t="s">
        <v>54</v>
      </c>
      <c r="Z19" s="30">
        <f>2*Z17/(D13*Z2^2)</f>
        <v>0.2263451873670584</v>
      </c>
      <c r="AA19" s="30"/>
      <c r="AB19" s="30"/>
      <c r="AC19" s="30"/>
    </row>
    <row r="20" spans="2:29" ht="19.5" customHeight="1">
      <c r="B20" s="89" t="s">
        <v>181</v>
      </c>
      <c r="C20" s="90"/>
      <c r="D20" s="40">
        <v>0.5</v>
      </c>
      <c r="F20" s="24" t="s">
        <v>359</v>
      </c>
      <c r="Y20" s="30" t="s">
        <v>66</v>
      </c>
      <c r="Z20" s="30">
        <f>ROUND(Z17*SIN(-1*Z16),2)</f>
        <v>-24.9</v>
      </c>
      <c r="AA20" s="30" t="s">
        <v>32</v>
      </c>
      <c r="AB20" s="30"/>
      <c r="AC20" s="30"/>
    </row>
    <row r="21" spans="1:29" ht="19.5" customHeight="1">
      <c r="A21" s="25" t="s">
        <v>117</v>
      </c>
      <c r="B21" s="25" t="s">
        <v>118</v>
      </c>
      <c r="C21" s="26" t="s">
        <v>119</v>
      </c>
      <c r="D21" s="27">
        <v>0.6</v>
      </c>
      <c r="Y21" s="30" t="s">
        <v>67</v>
      </c>
      <c r="Z21" s="30">
        <f>ROUND(D27,2)</f>
        <v>56.53</v>
      </c>
      <c r="AA21" s="30" t="s">
        <v>32</v>
      </c>
      <c r="AB21" s="30"/>
      <c r="AC21" s="30"/>
    </row>
    <row r="22" spans="1:29" ht="19.5" customHeight="1">
      <c r="A22" s="25"/>
      <c r="B22" s="25" t="s">
        <v>120</v>
      </c>
      <c r="C22" s="26" t="s">
        <v>121</v>
      </c>
      <c r="D22" s="27">
        <v>600</v>
      </c>
      <c r="E22" s="24" t="s">
        <v>122</v>
      </c>
      <c r="Y22" s="30" t="s">
        <v>68</v>
      </c>
      <c r="Z22" s="30">
        <f>ROUND(Z2/3*(3*D11+D13*Z2)/(2*D11+D13*Z2)+D2+D5-Z2,2)</f>
        <v>4.16</v>
      </c>
      <c r="AA22" s="30" t="s">
        <v>20</v>
      </c>
      <c r="AB22" s="30"/>
      <c r="AC22" s="30"/>
    </row>
    <row r="23" spans="1:29" ht="19.5" customHeight="1">
      <c r="A23" s="25" t="s">
        <v>137</v>
      </c>
      <c r="B23" s="25" t="s">
        <v>94</v>
      </c>
      <c r="C23" s="26" t="s">
        <v>124</v>
      </c>
      <c r="D23" s="27">
        <v>23</v>
      </c>
      <c r="E23" s="24" t="s">
        <v>95</v>
      </c>
      <c r="Y23" s="30" t="s">
        <v>69</v>
      </c>
      <c r="Z23" s="30">
        <f>ROUND(D9+Z2/3*(3*D11+D13*Z2)/(2*D11+D13*Z2)*TAN(Z6),2)</f>
        <v>3.54</v>
      </c>
      <c r="AA23" s="30" t="s">
        <v>20</v>
      </c>
      <c r="AB23" s="30"/>
      <c r="AC23" s="30"/>
    </row>
    <row r="24" spans="1:2" ht="19.5" customHeight="1">
      <c r="A24" s="24" t="s">
        <v>352</v>
      </c>
      <c r="B24" s="25"/>
    </row>
    <row r="25" spans="1:5" ht="19.5" customHeight="1">
      <c r="A25" s="28" t="s">
        <v>140</v>
      </c>
      <c r="B25" s="24" t="s">
        <v>142</v>
      </c>
      <c r="C25" s="26" t="s">
        <v>27</v>
      </c>
      <c r="D25" s="88">
        <v>51.95072898525092</v>
      </c>
      <c r="E25" s="24" t="s">
        <v>138</v>
      </c>
    </row>
    <row r="26" spans="1:5" ht="19.5" customHeight="1">
      <c r="A26" s="25"/>
      <c r="B26" s="24" t="s">
        <v>141</v>
      </c>
      <c r="C26" s="26" t="s">
        <v>28</v>
      </c>
      <c r="D26" s="84">
        <v>63</v>
      </c>
      <c r="E26" s="24" t="s">
        <v>138</v>
      </c>
    </row>
    <row r="27" spans="1:5" ht="19.5" customHeight="1">
      <c r="A27" s="25"/>
      <c r="B27" s="24" t="s">
        <v>139</v>
      </c>
      <c r="C27" s="26" t="s">
        <v>351</v>
      </c>
      <c r="D27" s="87">
        <f>Z15*SIN(AB7-Z3)</f>
        <v>56.525564835975004</v>
      </c>
      <c r="E27" s="24" t="s">
        <v>32</v>
      </c>
    </row>
    <row r="28" ht="19.5" customHeight="1">
      <c r="A28" s="86" t="s">
        <v>357</v>
      </c>
    </row>
    <row r="29" ht="19.5" customHeight="1">
      <c r="A29" s="24" t="s">
        <v>123</v>
      </c>
    </row>
    <row r="30" spans="1:3" ht="19.5" customHeight="1">
      <c r="A30" s="24" t="s">
        <v>360</v>
      </c>
      <c r="B30" s="24" t="s">
        <v>362</v>
      </c>
      <c r="C30" s="24" t="str">
        <f>'出力'!C382</f>
        <v>ea=B/6=0.5m&gt;|e|=0.38m   (OK)</v>
      </c>
    </row>
    <row r="31" spans="1:3" ht="19.5" customHeight="1">
      <c r="A31" s="24" t="s">
        <v>361</v>
      </c>
      <c r="B31" s="24" t="s">
        <v>363</v>
      </c>
      <c r="C31" s="24" t="str">
        <f>'出力'!S402</f>
        <v>Fs=1.57&gt;1.5   (OK)</v>
      </c>
    </row>
    <row r="32" spans="1:2" ht="19.5" customHeight="1">
      <c r="A32" s="24" t="s">
        <v>84</v>
      </c>
      <c r="B32" s="24" t="str">
        <f>'出力'!S416&amp;'出力'!T416&amp;'出力'!U416&amp;'出力'!V416&amp;'出力'!W416&amp;'出力'!Y416</f>
        <v>qmax=155.1kN/m2&lt;qa=600kN/m2   (OK)</v>
      </c>
    </row>
    <row r="35" spans="1:5" ht="19.5" customHeight="1">
      <c r="A35" s="107"/>
      <c r="B35" s="107"/>
      <c r="C35" s="107"/>
      <c r="D35" s="107"/>
      <c r="E35" s="107"/>
    </row>
    <row r="36" spans="1:5" ht="19.5" customHeight="1">
      <c r="A36" s="108"/>
      <c r="B36" s="109"/>
      <c r="C36" s="110"/>
      <c r="D36" s="110"/>
      <c r="E36" s="110"/>
    </row>
    <row r="37" spans="1:5" ht="28.5" customHeight="1">
      <c r="A37" s="111"/>
      <c r="B37" s="112"/>
      <c r="C37" s="112"/>
      <c r="D37" s="112"/>
      <c r="E37" s="112"/>
    </row>
    <row r="38" spans="1:5" ht="19.5" customHeight="1">
      <c r="A38" s="113"/>
      <c r="B38" s="114"/>
      <c r="C38" s="115"/>
      <c r="D38" s="116"/>
      <c r="E38" s="116"/>
    </row>
    <row r="39" spans="1:5" ht="19.5" customHeight="1">
      <c r="A39" s="113"/>
      <c r="B39" s="114"/>
      <c r="C39" s="115"/>
      <c r="D39" s="116"/>
      <c r="E39" s="116"/>
    </row>
    <row r="41" ht="19.5" customHeight="1">
      <c r="A41" s="24" t="s">
        <v>364</v>
      </c>
    </row>
    <row r="42" ht="19.5" customHeight="1">
      <c r="A42" s="24" t="s">
        <v>365</v>
      </c>
    </row>
    <row r="43" ht="19.5" customHeight="1">
      <c r="A43" s="24" t="s">
        <v>368</v>
      </c>
    </row>
    <row r="44" ht="19.5" customHeight="1">
      <c r="A44" s="24" t="s">
        <v>369</v>
      </c>
    </row>
    <row r="59" spans="3:4" ht="19.5" customHeight="1">
      <c r="C59" s="24" t="s">
        <v>366</v>
      </c>
      <c r="D59" s="24" t="s">
        <v>367</v>
      </c>
    </row>
    <row r="61" ht="19.5" customHeight="1">
      <c r="A61" s="24" t="s">
        <v>371</v>
      </c>
    </row>
    <row r="62" ht="19.5" customHeight="1">
      <c r="A62" s="24" t="s">
        <v>372</v>
      </c>
    </row>
    <row r="72" ht="19.5" customHeight="1">
      <c r="C72" s="24" t="s">
        <v>370</v>
      </c>
    </row>
    <row r="74" ht="19.5" customHeight="1">
      <c r="A74" s="24" t="s">
        <v>373</v>
      </c>
    </row>
    <row r="75" ht="19.5" customHeight="1">
      <c r="A75" s="24" t="s">
        <v>374</v>
      </c>
    </row>
    <row r="82" ht="19.5" customHeight="1">
      <c r="C82" s="24" t="s">
        <v>375</v>
      </c>
    </row>
    <row r="85" ht="19.5" customHeight="1">
      <c r="A85" s="24" t="s">
        <v>376</v>
      </c>
    </row>
    <row r="86" ht="19.5" customHeight="1">
      <c r="A86" s="24" t="s">
        <v>377</v>
      </c>
    </row>
    <row r="87" ht="19.5" customHeight="1">
      <c r="A87" s="24" t="s">
        <v>378</v>
      </c>
    </row>
    <row r="102" spans="3:4" ht="19.5" customHeight="1">
      <c r="C102" s="24" t="s">
        <v>379</v>
      </c>
      <c r="D102" s="24" t="s">
        <v>367</v>
      </c>
    </row>
    <row r="104" ht="19.5" customHeight="1">
      <c r="A104" s="24" t="s">
        <v>380</v>
      </c>
    </row>
    <row r="115" spans="3:4" ht="19.5" customHeight="1">
      <c r="C115" s="24" t="s">
        <v>381</v>
      </c>
      <c r="D115" s="24" t="s">
        <v>382</v>
      </c>
    </row>
  </sheetData>
  <mergeCells count="3">
    <mergeCell ref="B20:C20"/>
    <mergeCell ref="A35:E35"/>
    <mergeCell ref="A37:E37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1"/>
  <sheetViews>
    <sheetView workbookViewId="0" topLeftCell="A372">
      <selection activeCell="T402" sqref="T402"/>
    </sheetView>
  </sheetViews>
  <sheetFormatPr defaultColWidth="9.00390625" defaultRowHeight="19.5" customHeight="1"/>
  <cols>
    <col min="1" max="16384" width="9.00390625" style="30" customWidth="1"/>
  </cols>
  <sheetData>
    <row r="1" ht="19.5" customHeight="1">
      <c r="A1" s="30" t="s">
        <v>143</v>
      </c>
    </row>
    <row r="2" ht="19.5" customHeight="1">
      <c r="A2" s="31" t="s">
        <v>166</v>
      </c>
    </row>
    <row r="22" spans="1:2" ht="19.5" customHeight="1">
      <c r="A22" s="31" t="s">
        <v>167</v>
      </c>
      <c r="B22" s="31"/>
    </row>
    <row r="23" spans="1:12" ht="19.5" customHeight="1">
      <c r="A23" s="31"/>
      <c r="B23" s="32" t="s">
        <v>144</v>
      </c>
      <c r="C23" s="33" t="str">
        <f>J23&amp;K23&amp;L23</f>
        <v>H1=5m</v>
      </c>
      <c r="J23" s="30" t="s">
        <v>145</v>
      </c>
      <c r="K23" s="30">
        <f>'入力'!D2</f>
        <v>5</v>
      </c>
      <c r="L23" s="30" t="s">
        <v>148</v>
      </c>
    </row>
    <row r="24" spans="1:12" ht="19.5" customHeight="1">
      <c r="A24" s="31"/>
      <c r="B24" s="32" t="s">
        <v>89</v>
      </c>
      <c r="C24" s="33" t="str">
        <f>J24&amp;K24&amp;L24</f>
        <v>t=0.5m</v>
      </c>
      <c r="J24" s="30" t="s">
        <v>146</v>
      </c>
      <c r="K24" s="30">
        <f>'入力'!D3</f>
        <v>0.5</v>
      </c>
      <c r="L24" s="30" t="s">
        <v>148</v>
      </c>
    </row>
    <row r="25" spans="1:11" ht="19.5" customHeight="1">
      <c r="A25" s="31"/>
      <c r="B25" s="32" t="s">
        <v>3</v>
      </c>
      <c r="C25" s="33" t="str">
        <f>"1 : n1= 1 : "&amp;K25</f>
        <v>1 : n1= 1 : 0.5</v>
      </c>
      <c r="J25" s="30" t="s">
        <v>147</v>
      </c>
      <c r="K25" s="30">
        <f>'入力'!D4</f>
        <v>0.5</v>
      </c>
    </row>
    <row r="26" spans="1:12" ht="19.5" customHeight="1">
      <c r="A26" s="31"/>
      <c r="B26" s="31" t="str">
        <f>"単位体積重量  "&amp;J26&amp;K26&amp;L26</f>
        <v>単位体積重量  γc=23kN/m3</v>
      </c>
      <c r="J26" s="30" t="s">
        <v>124</v>
      </c>
      <c r="K26" s="30">
        <f>'入力'!D23</f>
        <v>23</v>
      </c>
      <c r="L26" s="30" t="s">
        <v>149</v>
      </c>
    </row>
    <row r="27" spans="1:2" ht="19.5" customHeight="1">
      <c r="A27" s="31" t="s">
        <v>168</v>
      </c>
      <c r="B27" s="31"/>
    </row>
    <row r="28" spans="1:12" ht="19.5" customHeight="1">
      <c r="A28" s="31"/>
      <c r="B28" s="32" t="s">
        <v>97</v>
      </c>
      <c r="C28" s="33" t="str">
        <f aca="true" t="shared" si="0" ref="C28:C33">J28&amp;K28&amp;L28</f>
        <v>H2=2.5m</v>
      </c>
      <c r="J28" s="34" t="s">
        <v>98</v>
      </c>
      <c r="K28" s="30">
        <f>'入力'!D5</f>
        <v>2.5</v>
      </c>
      <c r="L28" s="30" t="s">
        <v>148</v>
      </c>
    </row>
    <row r="29" spans="1:12" ht="19.5" customHeight="1">
      <c r="A29" s="31"/>
      <c r="B29" s="32" t="s">
        <v>99</v>
      </c>
      <c r="C29" s="33" t="str">
        <f t="shared" si="0"/>
        <v>bs=0.2m</v>
      </c>
      <c r="J29" s="34" t="s">
        <v>100</v>
      </c>
      <c r="K29" s="30">
        <f>'入力'!D6</f>
        <v>0.2</v>
      </c>
      <c r="L29" s="30" t="s">
        <v>148</v>
      </c>
    </row>
    <row r="30" spans="2:12" ht="19.5" customHeight="1">
      <c r="B30" s="32" t="s">
        <v>125</v>
      </c>
      <c r="C30" s="33" t="str">
        <f t="shared" si="0"/>
        <v>tb=1m</v>
      </c>
      <c r="J30" s="34" t="s">
        <v>127</v>
      </c>
      <c r="K30" s="30">
        <f>'入力'!D7</f>
        <v>1</v>
      </c>
      <c r="L30" s="30" t="s">
        <v>148</v>
      </c>
    </row>
    <row r="31" spans="2:12" ht="19.5" customHeight="1">
      <c r="B31" s="32" t="s">
        <v>126</v>
      </c>
      <c r="C31" s="33" t="str">
        <f t="shared" si="0"/>
        <v>lb=0.5m</v>
      </c>
      <c r="J31" s="34" t="s">
        <v>128</v>
      </c>
      <c r="K31" s="30">
        <f>'入力'!D8</f>
        <v>0.5</v>
      </c>
      <c r="L31" s="30" t="s">
        <v>148</v>
      </c>
    </row>
    <row r="32" spans="2:12" ht="19.5" customHeight="1">
      <c r="B32" s="32" t="s">
        <v>7</v>
      </c>
      <c r="C32" s="33" t="str">
        <f t="shared" si="0"/>
        <v>B=3m</v>
      </c>
      <c r="J32" s="34" t="s">
        <v>82</v>
      </c>
      <c r="K32" s="30">
        <f>'入力'!D9</f>
        <v>3</v>
      </c>
      <c r="L32" s="30" t="s">
        <v>148</v>
      </c>
    </row>
    <row r="33" spans="2:11" ht="19.5" customHeight="1">
      <c r="B33" s="32" t="s">
        <v>101</v>
      </c>
      <c r="C33" s="33" t="str">
        <f t="shared" si="0"/>
        <v>１：n2=１：0.5</v>
      </c>
      <c r="J33" s="35" t="s">
        <v>102</v>
      </c>
      <c r="K33" s="30">
        <f>'入力'!D10</f>
        <v>0.5</v>
      </c>
    </row>
    <row r="34" spans="2:12" ht="19.5" customHeight="1">
      <c r="B34" s="31" t="str">
        <f>"単位体積重量  "&amp;J34&amp;K34&amp;L34</f>
        <v>単位体積重量  γc=23kN/m3</v>
      </c>
      <c r="J34" s="30" t="s">
        <v>124</v>
      </c>
      <c r="K34" s="30">
        <f>K26</f>
        <v>23</v>
      </c>
      <c r="L34" s="30" t="s">
        <v>149</v>
      </c>
    </row>
    <row r="56" spans="2:4" ht="19.5" customHeight="1">
      <c r="B56" s="31" t="s">
        <v>150</v>
      </c>
      <c r="C56" s="34"/>
      <c r="D56" s="34"/>
    </row>
    <row r="57" spans="2:4" ht="19.5" customHeight="1">
      <c r="B57" s="36" t="s">
        <v>151</v>
      </c>
      <c r="C57" s="37" t="s">
        <v>152</v>
      </c>
      <c r="D57" s="38" t="s">
        <v>153</v>
      </c>
    </row>
    <row r="58" spans="2:4" ht="19.5" customHeight="1">
      <c r="B58" s="44">
        <f>'計算'!B167</f>
        <v>0</v>
      </c>
      <c r="C58" s="45">
        <f>'計算'!C167</f>
        <v>0</v>
      </c>
      <c r="D58" s="53">
        <f>'計算'!D167</f>
        <v>0</v>
      </c>
    </row>
    <row r="59" spans="2:4" ht="19.5" customHeight="1">
      <c r="B59" s="44">
        <f>'計算'!B168</f>
        <v>1</v>
      </c>
      <c r="C59" s="45">
        <f>'計算'!C168</f>
        <v>0</v>
      </c>
      <c r="D59" s="53">
        <f>'計算'!D168</f>
        <v>1</v>
      </c>
    </row>
    <row r="60" spans="2:4" ht="19.5" customHeight="1">
      <c r="B60" s="44">
        <f>'計算'!B169</f>
        <v>2</v>
      </c>
      <c r="C60" s="45">
        <f>'計算'!C169</f>
        <v>0.5</v>
      </c>
      <c r="D60" s="53">
        <f>'計算'!D169</f>
        <v>1</v>
      </c>
    </row>
    <row r="61" spans="2:4" ht="19.5" customHeight="1">
      <c r="B61" s="44">
        <f>'計算'!B170</f>
        <v>3</v>
      </c>
      <c r="C61" s="45">
        <f>'計算'!C170</f>
        <v>1.25</v>
      </c>
      <c r="D61" s="53">
        <f>'計算'!D170</f>
        <v>2.5</v>
      </c>
    </row>
    <row r="62" spans="2:4" ht="19.5" customHeight="1">
      <c r="B62" s="44">
        <f>'計算'!B171</f>
        <v>4</v>
      </c>
      <c r="C62" s="45">
        <f>'計算'!C171</f>
        <v>1.45</v>
      </c>
      <c r="D62" s="53">
        <f>'計算'!D171</f>
        <v>2.5</v>
      </c>
    </row>
    <row r="63" spans="2:4" ht="19.5" customHeight="1">
      <c r="B63" s="44">
        <f>'計算'!B172</f>
        <v>5</v>
      </c>
      <c r="C63" s="45">
        <f>'計算'!C172</f>
        <v>3.95</v>
      </c>
      <c r="D63" s="53">
        <f>'計算'!D172</f>
        <v>7.5</v>
      </c>
    </row>
    <row r="64" spans="2:4" ht="19.5" customHeight="1">
      <c r="B64" s="44">
        <f>'計算'!B173</f>
        <v>6</v>
      </c>
      <c r="C64" s="45">
        <f>'計算'!C173</f>
        <v>4.509016994374948</v>
      </c>
      <c r="D64" s="53">
        <f>'計算'!D173</f>
        <v>7.5</v>
      </c>
    </row>
    <row r="65" spans="2:4" ht="19.5" customHeight="1">
      <c r="B65" s="44">
        <f>'計算'!B174</f>
        <v>7</v>
      </c>
      <c r="C65" s="45">
        <f>'計算'!C174</f>
        <v>1.8972135954999578</v>
      </c>
      <c r="D65" s="53">
        <f>'計算'!D174</f>
        <v>2.276393202250021</v>
      </c>
    </row>
    <row r="66" spans="2:4" ht="19.5" customHeight="1">
      <c r="B66" s="44">
        <f>'計算'!B175</f>
        <v>8</v>
      </c>
      <c r="C66" s="45">
        <f>'計算'!C175</f>
        <v>3</v>
      </c>
      <c r="D66" s="53">
        <f>'計算'!D175</f>
        <v>2.276393202250021</v>
      </c>
    </row>
    <row r="67" spans="2:4" ht="19.5" customHeight="1">
      <c r="B67" s="44">
        <f>'計算'!B176</f>
        <v>9</v>
      </c>
      <c r="C67" s="45">
        <f>'計算'!C176</f>
        <v>3</v>
      </c>
      <c r="D67" s="53">
        <f>'計算'!D176</f>
        <v>0</v>
      </c>
    </row>
    <row r="68" spans="2:4" ht="19.5" customHeight="1">
      <c r="B68" s="54">
        <v>10</v>
      </c>
      <c r="C68" s="55">
        <f>'計算'!C177</f>
        <v>0</v>
      </c>
      <c r="D68" s="56">
        <f>'計算'!D177</f>
        <v>0</v>
      </c>
    </row>
    <row r="70" ht="19.5" customHeight="1">
      <c r="A70" s="30" t="s">
        <v>169</v>
      </c>
    </row>
    <row r="71" spans="1:12" ht="19.5" customHeight="1">
      <c r="A71" s="32"/>
      <c r="B71" s="31" t="str">
        <f>"自動車荷重 "&amp;J71&amp;K71&amp;L71</f>
        <v>自動車荷重 q=10kN/m2</v>
      </c>
      <c r="J71" s="30" t="s">
        <v>154</v>
      </c>
      <c r="K71" s="30">
        <f>'入力'!D11</f>
        <v>10</v>
      </c>
      <c r="L71" s="30" t="s">
        <v>155</v>
      </c>
    </row>
    <row r="72" spans="1:2" ht="19.5" customHeight="1">
      <c r="A72" s="30" t="s">
        <v>170</v>
      </c>
      <c r="B72" s="31"/>
    </row>
    <row r="73" spans="1:11" ht="19.5" customHeight="1">
      <c r="A73" s="32"/>
      <c r="B73" s="31" t="str">
        <f>"設計水平震度　"&amp;J73&amp;K73</f>
        <v>設計水平震度　kH=0</v>
      </c>
      <c r="J73" s="30" t="s">
        <v>156</v>
      </c>
      <c r="K73" s="30">
        <f>'入力'!D12</f>
        <v>0</v>
      </c>
    </row>
    <row r="74" spans="1:2" ht="19.5" customHeight="1">
      <c r="A74" s="30" t="s">
        <v>171</v>
      </c>
      <c r="B74" s="31"/>
    </row>
    <row r="75" spans="1:12" ht="19.5" customHeight="1">
      <c r="A75" s="32"/>
      <c r="B75" s="31" t="str">
        <f>"単位体積重量  "&amp;J75&amp;K75&amp;L75</f>
        <v>単位体積重量  γ=20kN/m3</v>
      </c>
      <c r="J75" s="30" t="s">
        <v>157</v>
      </c>
      <c r="K75" s="30">
        <f>'入力'!D13</f>
        <v>20</v>
      </c>
      <c r="L75" s="30" t="s">
        <v>158</v>
      </c>
    </row>
    <row r="76" spans="1:12" ht="19.5" customHeight="1">
      <c r="A76" s="32"/>
      <c r="B76" s="31" t="str">
        <f>"内部摩擦角  "&amp;J76&amp;K76&amp;L76</f>
        <v>内部摩擦角  φ=35度</v>
      </c>
      <c r="J76" s="30" t="s">
        <v>159</v>
      </c>
      <c r="K76" s="30">
        <f>'入力'!D14</f>
        <v>35</v>
      </c>
      <c r="L76" s="30" t="s">
        <v>160</v>
      </c>
    </row>
    <row r="77" spans="1:12" ht="19.5" customHeight="1">
      <c r="A77" s="32"/>
      <c r="B77" s="31" t="str">
        <f>"壁面摩擦角  "&amp;J77&amp;K77&amp;L77</f>
        <v>壁面摩擦角  δ=23.3度</v>
      </c>
      <c r="J77" s="30" t="s">
        <v>161</v>
      </c>
      <c r="K77" s="30">
        <f>'入力'!D15</f>
        <v>23.3</v>
      </c>
      <c r="L77" s="30" t="s">
        <v>160</v>
      </c>
    </row>
    <row r="78" ht="19.5" customHeight="1">
      <c r="A78" s="31" t="s">
        <v>172</v>
      </c>
    </row>
    <row r="79" spans="2:12" ht="19.5" customHeight="1">
      <c r="B79" s="39" t="str">
        <f>"根入れ深さ "&amp;J79&amp;K79&amp;L79</f>
        <v>根入れ深さ Df=1.2m</v>
      </c>
      <c r="D79" s="39"/>
      <c r="J79" s="30" t="str">
        <f>'入力'!C16</f>
        <v>Df=</v>
      </c>
      <c r="K79" s="30">
        <f>'入力'!D16</f>
        <v>1.2</v>
      </c>
      <c r="L79" s="30" t="str">
        <f>'入力'!E16</f>
        <v>m</v>
      </c>
    </row>
    <row r="80" spans="2:12" ht="19.5" customHeight="1">
      <c r="B80" s="39" t="str">
        <f>"単位重量"&amp;J80&amp;K80&amp;L80</f>
        <v>単位重量γ=19kN/m3</v>
      </c>
      <c r="D80" s="39"/>
      <c r="J80" s="30" t="str">
        <f>'入力'!C17</f>
        <v>γ=</v>
      </c>
      <c r="K80" s="30">
        <f>'入力'!D17</f>
        <v>19</v>
      </c>
      <c r="L80" s="30" t="str">
        <f>'入力'!E17</f>
        <v>kN/m3</v>
      </c>
    </row>
    <row r="81" spans="2:12" ht="19.5" customHeight="1">
      <c r="B81" s="39" t="str">
        <f>"内部摩擦角"&amp;J81&amp;K81&amp;L81</f>
        <v>内部摩擦角φ=30度</v>
      </c>
      <c r="D81" s="39"/>
      <c r="J81" s="30" t="str">
        <f>'入力'!C18</f>
        <v>φ=</v>
      </c>
      <c r="K81" s="30">
        <f>'入力'!D18</f>
        <v>30</v>
      </c>
      <c r="L81" s="30" t="str">
        <f>'入力'!E18</f>
        <v>度</v>
      </c>
    </row>
    <row r="82" spans="2:12" ht="19.5" customHeight="1">
      <c r="B82" s="39" t="str">
        <f>"粘着力"&amp;J82&amp;K82&amp;L82</f>
        <v>粘着力c=10kN/m2</v>
      </c>
      <c r="D82" s="39"/>
      <c r="J82" s="30" t="str">
        <f>'入力'!C19</f>
        <v>c=</v>
      </c>
      <c r="K82" s="30">
        <f>'入力'!D19</f>
        <v>10</v>
      </c>
      <c r="L82" s="30" t="str">
        <f>'入力'!E19</f>
        <v>kN/m2</v>
      </c>
    </row>
    <row r="83" spans="2:11" ht="19.5" customHeight="1">
      <c r="B83" s="39" t="str">
        <f>"受働土圧有効係数"&amp;J83&amp;K83</f>
        <v>受働土圧有効係数α=0.5</v>
      </c>
      <c r="C83" s="39"/>
      <c r="D83" s="39"/>
      <c r="J83" s="30" t="s">
        <v>182</v>
      </c>
      <c r="K83" s="30">
        <f>'入力'!D20</f>
        <v>0.5</v>
      </c>
    </row>
    <row r="84" ht="19.5" customHeight="1">
      <c r="A84" s="31" t="s">
        <v>162</v>
      </c>
    </row>
    <row r="85" spans="1:11" ht="19.5" customHeight="1">
      <c r="A85" s="31"/>
      <c r="B85" s="31" t="str">
        <f>"摩擦係数  "&amp;J85&amp;K85</f>
        <v>摩擦係数  μ=0.6</v>
      </c>
      <c r="J85" s="30" t="s">
        <v>163</v>
      </c>
      <c r="K85" s="30">
        <f>'入力'!D21</f>
        <v>0.6</v>
      </c>
    </row>
    <row r="86" spans="1:12" ht="19.5" customHeight="1">
      <c r="A86" s="31"/>
      <c r="B86" s="31" t="str">
        <f>"許容支持力度 "&amp;J86&amp;K86&amp;L86</f>
        <v>許容支持力度 qa=600kN/m2</v>
      </c>
      <c r="J86" s="30" t="s">
        <v>164</v>
      </c>
      <c r="K86" s="30">
        <f>'入力'!D22</f>
        <v>600</v>
      </c>
      <c r="L86" s="30" t="s">
        <v>165</v>
      </c>
    </row>
    <row r="88" ht="19.5" customHeight="1">
      <c r="A88" s="30" t="s">
        <v>183</v>
      </c>
    </row>
    <row r="89" ht="19.5" customHeight="1">
      <c r="A89" s="30" t="s">
        <v>184</v>
      </c>
    </row>
    <row r="90" ht="19.5" customHeight="1">
      <c r="B90" s="30" t="s">
        <v>185</v>
      </c>
    </row>
    <row r="91" ht="19.5" customHeight="1">
      <c r="B91" s="30" t="s">
        <v>186</v>
      </c>
    </row>
    <row r="94" ht="19.5" customHeight="1">
      <c r="B94" s="30" t="s">
        <v>187</v>
      </c>
    </row>
    <row r="118" ht="19.5" customHeight="1">
      <c r="A118" s="30" t="s">
        <v>188</v>
      </c>
    </row>
    <row r="119" spans="2:7" ht="19.5" customHeight="1">
      <c r="B119" s="41" t="s">
        <v>59</v>
      </c>
      <c r="C119" s="42" t="s">
        <v>189</v>
      </c>
      <c r="D119" s="42" t="s">
        <v>190</v>
      </c>
      <c r="E119" s="42" t="s">
        <v>191</v>
      </c>
      <c r="F119" s="42" t="s">
        <v>192</v>
      </c>
      <c r="G119" s="43" t="s">
        <v>193</v>
      </c>
    </row>
    <row r="120" spans="2:7" ht="19.5" customHeight="1">
      <c r="B120" s="44">
        <v>4</v>
      </c>
      <c r="C120" s="45">
        <f>C62</f>
        <v>1.45</v>
      </c>
      <c r="D120" s="45">
        <f>D62</f>
        <v>2.5</v>
      </c>
      <c r="E120" s="46">
        <f>ROUND((C121*D120-C120*D121)/2,2)</f>
        <v>-0.5</v>
      </c>
      <c r="F120" s="46">
        <f>ROUND(-1/2*(D121-D120)*(C120^2+1/3*(C121-C120)*(C121+2*C120)),2)</f>
        <v>-19.53</v>
      </c>
      <c r="G120" s="47">
        <f>ROUND(1/2*(C121-C120)*(D120^2+1/3*(D121-D120)*(D121+2*D120)),2)</f>
        <v>33.85</v>
      </c>
    </row>
    <row r="121" spans="2:7" ht="19.5" customHeight="1">
      <c r="B121" s="44">
        <v>5</v>
      </c>
      <c r="C121" s="45">
        <f aca="true" t="shared" si="1" ref="C121:D123">C63</f>
        <v>3.95</v>
      </c>
      <c r="D121" s="45">
        <f t="shared" si="1"/>
        <v>7.5</v>
      </c>
      <c r="E121" s="46">
        <f>ROUND((C122*D121-C121*D122)/2,2)</f>
        <v>2.1</v>
      </c>
      <c r="F121" s="46">
        <f>ROUND(-1/2*(D122-D121)*(C121^2+1/3*(C122-C121)*(C122+2*C121)),2)</f>
        <v>0</v>
      </c>
      <c r="G121" s="47">
        <f>ROUND(1/2*(C122-C121)*(D121^2+1/3*(D122-D121)*(D122+2*D121)),2)</f>
        <v>15.72</v>
      </c>
    </row>
    <row r="122" spans="2:7" ht="19.5" customHeight="1">
      <c r="B122" s="44">
        <v>6</v>
      </c>
      <c r="C122" s="45">
        <f t="shared" si="1"/>
        <v>4.509016994374948</v>
      </c>
      <c r="D122" s="45">
        <f t="shared" si="1"/>
        <v>7.5</v>
      </c>
      <c r="E122" s="46">
        <f>ROUND((C123*D122-C122*D123)/2,2)</f>
        <v>1.98</v>
      </c>
      <c r="F122" s="46">
        <f>ROUND(-1/2*(D123-D122)*(C122^2+1/3*(C123-C122)*(C123+2*C122)),2)</f>
        <v>28.28</v>
      </c>
      <c r="G122" s="47">
        <f>ROUND(1/2*(C123-C122)*(D122^2+1/3*(D123-D122)*(D123+2*D122)),2)</f>
        <v>-34.17</v>
      </c>
    </row>
    <row r="123" spans="2:7" ht="19.5" customHeight="1">
      <c r="B123" s="44">
        <v>7</v>
      </c>
      <c r="C123" s="45">
        <f t="shared" si="1"/>
        <v>1.8972135954999578</v>
      </c>
      <c r="D123" s="45">
        <f t="shared" si="1"/>
        <v>2.276393202250021</v>
      </c>
      <c r="E123" s="46">
        <f>ROUND((C124*D123-C123*D124)/2,2)</f>
        <v>-0.72</v>
      </c>
      <c r="F123" s="46">
        <f>ROUND(-1/2*(D124-D123)*(C123^2+1/3*(C124-C123)*(C124+2*C123)),2)</f>
        <v>-0.32</v>
      </c>
      <c r="G123" s="47">
        <f>ROUND(1/2*(C124-C123)*(D123^2+1/3*(D124-D123)*(D124+2*D123)),2)</f>
        <v>-1.28</v>
      </c>
    </row>
    <row r="124" spans="2:7" ht="19.5" customHeight="1">
      <c r="B124" s="44">
        <v>4</v>
      </c>
      <c r="C124" s="45">
        <f>C120</f>
        <v>1.45</v>
      </c>
      <c r="D124" s="45">
        <f>D120</f>
        <v>2.5</v>
      </c>
      <c r="E124" s="46">
        <v>0</v>
      </c>
      <c r="F124" s="46">
        <v>0</v>
      </c>
      <c r="G124" s="47">
        <v>0</v>
      </c>
    </row>
    <row r="125" spans="2:7" ht="19.5" customHeight="1">
      <c r="B125" s="41" t="s">
        <v>62</v>
      </c>
      <c r="C125" s="48" t="s">
        <v>194</v>
      </c>
      <c r="D125" s="48" t="s">
        <v>194</v>
      </c>
      <c r="E125" s="49">
        <f>SUM(E120:E124)</f>
        <v>2.8600000000000003</v>
      </c>
      <c r="F125" s="49">
        <f>SUM(F120:F124)</f>
        <v>8.43</v>
      </c>
      <c r="G125" s="50">
        <f>SUM(G120:G124)</f>
        <v>14.12</v>
      </c>
    </row>
    <row r="126" spans="3:4" ht="19.5" customHeight="1">
      <c r="C126" s="30" t="s">
        <v>195</v>
      </c>
      <c r="D126" s="30" t="str">
        <f>K127&amp;L127&amp;M127</f>
        <v>Ac1=2.86m2</v>
      </c>
    </row>
    <row r="127" spans="3:13" ht="19.5" customHeight="1">
      <c r="C127" s="30" t="s">
        <v>196</v>
      </c>
      <c r="D127" s="30" t="str">
        <f>"Wc1=γc1×Ac1="&amp;K26&amp;"×"&amp;E125&amp;"="&amp;L128&amp;M128</f>
        <v>Wc1=γc1×Ac1=23×2.86=65.78kN/m</v>
      </c>
      <c r="K127" s="30" t="s">
        <v>198</v>
      </c>
      <c r="L127" s="51">
        <f>E125</f>
        <v>2.8600000000000003</v>
      </c>
      <c r="M127" s="30" t="s">
        <v>199</v>
      </c>
    </row>
    <row r="128" spans="3:13" ht="19.5" customHeight="1">
      <c r="C128" s="30" t="s">
        <v>197</v>
      </c>
      <c r="D128" s="30" t="str">
        <f>"xc1=Gx/Ac1="&amp;F125&amp;"/"&amp;E125&amp;"="&amp;L129&amp;M129</f>
        <v>xc1=Gx/Ac1=8.43/2.86=2.95m</v>
      </c>
      <c r="K128" s="30" t="s">
        <v>200</v>
      </c>
      <c r="L128" s="30">
        <f>L127*K26</f>
        <v>65.78</v>
      </c>
      <c r="M128" s="30" t="s">
        <v>201</v>
      </c>
    </row>
    <row r="129" spans="4:13" ht="19.5" customHeight="1">
      <c r="D129" s="30" t="str">
        <f>"yc1=Gy/Ac1="&amp;G125&amp;"/"&amp;E125&amp;"="&amp;L130&amp;M130</f>
        <v>yc1=Gy/Ac1=14.12/2.86=4.94m</v>
      </c>
      <c r="K129" s="30" t="s">
        <v>202</v>
      </c>
      <c r="L129" s="30">
        <f>ROUND(F125/E125,2)</f>
        <v>2.95</v>
      </c>
      <c r="M129" s="30" t="s">
        <v>43</v>
      </c>
    </row>
    <row r="130" spans="11:13" ht="19.5" customHeight="1">
      <c r="K130" s="30" t="s">
        <v>203</v>
      </c>
      <c r="L130" s="30">
        <f>ROUND(G125/E125,2)</f>
        <v>4.94</v>
      </c>
      <c r="M130" s="30" t="s">
        <v>43</v>
      </c>
    </row>
    <row r="131" ht="19.5" customHeight="1">
      <c r="A131" s="30" t="s">
        <v>204</v>
      </c>
    </row>
    <row r="132" spans="2:7" ht="19.5" customHeight="1">
      <c r="B132" s="41" t="s">
        <v>59</v>
      </c>
      <c r="C132" s="42" t="s">
        <v>189</v>
      </c>
      <c r="D132" s="42" t="s">
        <v>190</v>
      </c>
      <c r="E132" s="42" t="s">
        <v>191</v>
      </c>
      <c r="F132" s="42" t="s">
        <v>192</v>
      </c>
      <c r="G132" s="43" t="s">
        <v>193</v>
      </c>
    </row>
    <row r="133" spans="2:7" ht="19.5" customHeight="1">
      <c r="B133" s="44">
        <v>0</v>
      </c>
      <c r="C133" s="45">
        <f>C58</f>
        <v>0</v>
      </c>
      <c r="D133" s="45">
        <f>D58</f>
        <v>0</v>
      </c>
      <c r="E133" s="46">
        <f>ROUND((C134*D133-C133*D134)/2,2)</f>
        <v>0</v>
      </c>
      <c r="F133" s="46">
        <f>ROUND(-1/2*(D134-D133)*(C133^2+1/3*(C134-C133)*(C134+2*C133)),2)</f>
        <v>0</v>
      </c>
      <c r="G133" s="47">
        <f>ROUND(1/2*(C134-C133)*(D133^2+1/3*(D134-D133)*(D134+2*D133)),2)</f>
        <v>0</v>
      </c>
    </row>
    <row r="134" spans="2:7" ht="19.5" customHeight="1">
      <c r="B134" s="44">
        <f>B133+1</f>
        <v>1</v>
      </c>
      <c r="C134" s="45">
        <f aca="true" t="shared" si="2" ref="C134:D137">C59</f>
        <v>0</v>
      </c>
      <c r="D134" s="45">
        <f t="shared" si="2"/>
        <v>1</v>
      </c>
      <c r="E134" s="46">
        <f aca="true" t="shared" si="3" ref="E134:E140">ROUND((C135*D134-C134*D135)/2,2)</f>
        <v>0.25</v>
      </c>
      <c r="F134" s="46">
        <f aca="true" t="shared" si="4" ref="F134:F140">ROUND(-1/2*(D135-D134)*(C134^2+1/3*(C135-C134)*(C135+2*C134)),2)</f>
        <v>0</v>
      </c>
      <c r="G134" s="47">
        <f aca="true" t="shared" si="5" ref="G134:G140">ROUND(1/2*(C135-C134)*(D134^2+1/3*(D135-D134)*(D135+2*D134)),2)</f>
        <v>0.25</v>
      </c>
    </row>
    <row r="135" spans="2:7" ht="19.5" customHeight="1">
      <c r="B135" s="44">
        <v>2</v>
      </c>
      <c r="C135" s="45">
        <f t="shared" si="2"/>
        <v>0.5</v>
      </c>
      <c r="D135" s="45">
        <f t="shared" si="2"/>
        <v>1</v>
      </c>
      <c r="E135" s="46">
        <f t="shared" si="3"/>
        <v>0</v>
      </c>
      <c r="F135" s="46">
        <f t="shared" si="4"/>
        <v>-0.61</v>
      </c>
      <c r="G135" s="47">
        <f t="shared" si="5"/>
        <v>1.22</v>
      </c>
    </row>
    <row r="136" spans="2:7" ht="19.5" customHeight="1">
      <c r="B136" s="44">
        <v>3</v>
      </c>
      <c r="C136" s="45">
        <f t="shared" si="2"/>
        <v>1.25</v>
      </c>
      <c r="D136" s="45">
        <f t="shared" si="2"/>
        <v>2.5</v>
      </c>
      <c r="E136" s="46">
        <f t="shared" si="3"/>
        <v>0.25</v>
      </c>
      <c r="F136" s="46">
        <f t="shared" si="4"/>
        <v>0</v>
      </c>
      <c r="G136" s="47">
        <f t="shared" si="5"/>
        <v>0.63</v>
      </c>
    </row>
    <row r="137" spans="2:7" ht="19.5" customHeight="1">
      <c r="B137" s="44">
        <v>4</v>
      </c>
      <c r="C137" s="45">
        <f t="shared" si="2"/>
        <v>1.45</v>
      </c>
      <c r="D137" s="45">
        <f t="shared" si="2"/>
        <v>2.5</v>
      </c>
      <c r="E137" s="46">
        <f t="shared" si="3"/>
        <v>0.72</v>
      </c>
      <c r="F137" s="46">
        <f t="shared" si="4"/>
        <v>0.32</v>
      </c>
      <c r="G137" s="47">
        <f t="shared" si="5"/>
        <v>1.28</v>
      </c>
    </row>
    <row r="138" spans="2:7" ht="19.5" customHeight="1">
      <c r="B138" s="44">
        <v>7</v>
      </c>
      <c r="C138" s="45">
        <f aca="true" t="shared" si="6" ref="C138:D140">C65</f>
        <v>1.8972135954999578</v>
      </c>
      <c r="D138" s="45">
        <f t="shared" si="6"/>
        <v>2.276393202250021</v>
      </c>
      <c r="E138" s="46">
        <f t="shared" si="3"/>
        <v>1.26</v>
      </c>
      <c r="F138" s="46">
        <f t="shared" si="4"/>
        <v>0</v>
      </c>
      <c r="G138" s="47">
        <f t="shared" si="5"/>
        <v>2.86</v>
      </c>
    </row>
    <row r="139" spans="2:7" ht="19.5" customHeight="1">
      <c r="B139" s="44">
        <v>8</v>
      </c>
      <c r="C139" s="45">
        <f t="shared" si="6"/>
        <v>3</v>
      </c>
      <c r="D139" s="45">
        <f t="shared" si="6"/>
        <v>2.276393202250021</v>
      </c>
      <c r="E139" s="46">
        <f t="shared" si="3"/>
        <v>3.41</v>
      </c>
      <c r="F139" s="46">
        <f t="shared" si="4"/>
        <v>10.24</v>
      </c>
      <c r="G139" s="47">
        <f t="shared" si="5"/>
        <v>0</v>
      </c>
    </row>
    <row r="140" spans="2:7" ht="19.5" customHeight="1">
      <c r="B140" s="44">
        <v>9</v>
      </c>
      <c r="C140" s="45">
        <f t="shared" si="6"/>
        <v>3</v>
      </c>
      <c r="D140" s="45">
        <f t="shared" si="6"/>
        <v>0</v>
      </c>
      <c r="E140" s="46">
        <f t="shared" si="3"/>
        <v>0</v>
      </c>
      <c r="F140" s="46">
        <f t="shared" si="4"/>
        <v>0</v>
      </c>
      <c r="G140" s="47">
        <f t="shared" si="5"/>
        <v>0</v>
      </c>
    </row>
    <row r="141" spans="2:7" ht="19.5" customHeight="1">
      <c r="B141" s="44">
        <v>0</v>
      </c>
      <c r="C141" s="45">
        <v>0</v>
      </c>
      <c r="D141" s="45">
        <v>0</v>
      </c>
      <c r="E141" s="46">
        <v>0</v>
      </c>
      <c r="F141" s="46">
        <v>0</v>
      </c>
      <c r="G141" s="47">
        <v>0</v>
      </c>
    </row>
    <row r="142" spans="2:7" ht="19.5" customHeight="1">
      <c r="B142" s="41" t="s">
        <v>62</v>
      </c>
      <c r="C142" s="48" t="s">
        <v>194</v>
      </c>
      <c r="D142" s="48" t="s">
        <v>194</v>
      </c>
      <c r="E142" s="49">
        <f>SUM(E133:E141)</f>
        <v>5.890000000000001</v>
      </c>
      <c r="F142" s="49">
        <f>SUM(F133:F141)</f>
        <v>9.950000000000001</v>
      </c>
      <c r="G142" s="50">
        <f>SUM(G133:G141)</f>
        <v>6.24</v>
      </c>
    </row>
    <row r="143" spans="3:13" ht="19.5" customHeight="1">
      <c r="C143" s="30" t="s">
        <v>195</v>
      </c>
      <c r="D143" s="30" t="str">
        <f>K143&amp;L143&amp;M143</f>
        <v>Ac2=5.89m2</v>
      </c>
      <c r="K143" s="30" t="s">
        <v>205</v>
      </c>
      <c r="L143" s="30">
        <f>E142</f>
        <v>5.890000000000001</v>
      </c>
      <c r="M143" s="30" t="s">
        <v>199</v>
      </c>
    </row>
    <row r="144" spans="3:13" ht="19.5" customHeight="1">
      <c r="C144" s="30" t="s">
        <v>196</v>
      </c>
      <c r="D144" s="30" t="str">
        <f>"Wc2=γc2×Ac2="&amp;K26&amp;"×"&amp;L143&amp;"="&amp;L144&amp;M144</f>
        <v>Wc2=γc2×Ac2=23×5.89=135.47kN</v>
      </c>
      <c r="K144" s="30" t="s">
        <v>206</v>
      </c>
      <c r="L144" s="30">
        <f>ROUND(L143*K26,2)</f>
        <v>135.47</v>
      </c>
      <c r="M144" s="30" t="s">
        <v>207</v>
      </c>
    </row>
    <row r="145" spans="3:13" ht="19.5" customHeight="1">
      <c r="C145" s="30" t="s">
        <v>197</v>
      </c>
      <c r="D145" s="30" t="str">
        <f>"xc2=Gx/Ac2="&amp;F142&amp;"/"&amp;E142&amp;"="&amp;L145&amp;M145</f>
        <v>xc2=Gx/Ac2=9.95/5.89=1.69m</v>
      </c>
      <c r="K145" s="30" t="s">
        <v>208</v>
      </c>
      <c r="L145" s="30">
        <f>ROUND(F142/L143-C133,2)</f>
        <v>1.69</v>
      </c>
      <c r="M145" s="30" t="s">
        <v>43</v>
      </c>
    </row>
    <row r="146" spans="4:13" ht="19.5" customHeight="1">
      <c r="D146" s="30" t="str">
        <f>"yc2=Gy/Ac2="&amp;G142&amp;"/"&amp;E142&amp;"="&amp;L146&amp;M146</f>
        <v>yc2=Gy/Ac2=6.24/5.89=1.06m</v>
      </c>
      <c r="K146" s="30" t="s">
        <v>209</v>
      </c>
      <c r="L146" s="30">
        <f>ROUND(G142/E142-D133,2)</f>
        <v>1.06</v>
      </c>
      <c r="M146" s="30" t="s">
        <v>43</v>
      </c>
    </row>
    <row r="148" ht="19.5" customHeight="1">
      <c r="A148" s="30" t="s">
        <v>210</v>
      </c>
    </row>
    <row r="149" spans="2:7" ht="19.5" customHeight="1">
      <c r="B149" s="41" t="s">
        <v>59</v>
      </c>
      <c r="C149" s="42" t="s">
        <v>189</v>
      </c>
      <c r="D149" s="42" t="s">
        <v>190</v>
      </c>
      <c r="E149" s="42" t="s">
        <v>191</v>
      </c>
      <c r="F149" s="42" t="s">
        <v>192</v>
      </c>
      <c r="G149" s="43" t="s">
        <v>193</v>
      </c>
    </row>
    <row r="150" spans="2:7" ht="19.5" customHeight="1">
      <c r="B150" s="44">
        <v>7</v>
      </c>
      <c r="C150" s="45">
        <f>C65</f>
        <v>1.8972135954999578</v>
      </c>
      <c r="D150" s="45">
        <f>D65</f>
        <v>2.276393202250021</v>
      </c>
      <c r="E150" s="46">
        <f>ROUND((C151*D150-C150*D151)/2,2)</f>
        <v>-1.98</v>
      </c>
      <c r="F150" s="46">
        <f>ROUND(-1/2*(D151-D150)*(C150^2+1/3*(C151-C150)*(C151+2*C150)),2)</f>
        <v>-28.28</v>
      </c>
      <c r="G150" s="47">
        <f>ROUND(1/2*(C151-C150)*(D150^2+1/3*(D151-D150)*(D151+2*D150)),2)</f>
        <v>34.17</v>
      </c>
    </row>
    <row r="151" spans="2:7" ht="19.5" customHeight="1">
      <c r="B151" s="44">
        <v>6</v>
      </c>
      <c r="C151" s="45">
        <f>C64</f>
        <v>4.509016994374948</v>
      </c>
      <c r="D151" s="45">
        <f>D64</f>
        <v>7.5</v>
      </c>
      <c r="E151" s="46">
        <f>ROUND((C152*D151-C151*D152)/2,2)</f>
        <v>6.12</v>
      </c>
      <c r="F151" s="46">
        <f>ROUND(-1/2*(D152-D151)*(C151^2+1/3*(C152-C151)*(C152+2*C151)),2)</f>
        <v>37.31</v>
      </c>
      <c r="G151" s="47">
        <f>ROUND(1/2*(C152-C151)*(D151^2+1/3*(D152-D151)*(D152+2*D151)),2)</f>
        <v>-19.74</v>
      </c>
    </row>
    <row r="152" spans="2:7" ht="19.5" customHeight="1">
      <c r="B152" s="44">
        <v>8</v>
      </c>
      <c r="C152" s="45">
        <f>C66</f>
        <v>3</v>
      </c>
      <c r="D152" s="45">
        <f>D66</f>
        <v>2.276393202250021</v>
      </c>
      <c r="E152" s="46">
        <f>ROUND((C153*D152-C152*D153)/2,2)</f>
        <v>-1.26</v>
      </c>
      <c r="F152" s="46">
        <f>ROUND(-1/2*(D153-D152)*(C152^2+1/3*(C153-C152)*(C153+2*C152)),2)</f>
        <v>0</v>
      </c>
      <c r="G152" s="47">
        <f>ROUND(1/2*(C153-C152)*(D152^2+1/3*(D153-D152)*(D153+2*D152)),2)</f>
        <v>-2.86</v>
      </c>
    </row>
    <row r="153" spans="2:7" ht="19.5" customHeight="1">
      <c r="B153" s="44">
        <v>7</v>
      </c>
      <c r="C153" s="45">
        <f>C150</f>
        <v>1.8972135954999578</v>
      </c>
      <c r="D153" s="45">
        <f>D150</f>
        <v>2.276393202250021</v>
      </c>
      <c r="E153" s="46">
        <v>0</v>
      </c>
      <c r="F153" s="46">
        <v>0</v>
      </c>
      <c r="G153" s="47">
        <v>0</v>
      </c>
    </row>
    <row r="154" spans="2:7" ht="19.5" customHeight="1">
      <c r="B154" s="41" t="s">
        <v>62</v>
      </c>
      <c r="C154" s="48" t="s">
        <v>194</v>
      </c>
      <c r="D154" s="48" t="s">
        <v>194</v>
      </c>
      <c r="E154" s="49">
        <f>SUM(E150:E153)</f>
        <v>2.880000000000001</v>
      </c>
      <c r="F154" s="49">
        <f>SUM(F150:F153)</f>
        <v>9.030000000000001</v>
      </c>
      <c r="G154" s="50">
        <f>SUM(G150:G153)</f>
        <v>11.570000000000004</v>
      </c>
    </row>
    <row r="155" spans="3:13" ht="19.5" customHeight="1">
      <c r="C155" s="30" t="s">
        <v>195</v>
      </c>
      <c r="D155" s="30" t="str">
        <f>K155&amp;L155&amp;M155</f>
        <v>As=2.88m2</v>
      </c>
      <c r="K155" s="30" t="s">
        <v>211</v>
      </c>
      <c r="L155" s="51">
        <f>E154</f>
        <v>2.880000000000001</v>
      </c>
      <c r="M155" s="30" t="s">
        <v>199</v>
      </c>
    </row>
    <row r="156" spans="3:13" ht="19.5" customHeight="1">
      <c r="C156" s="30" t="s">
        <v>196</v>
      </c>
      <c r="D156" s="30" t="str">
        <f>"Ws=γ×As="&amp;K75&amp;"×"&amp;E154&amp;"="&amp;L156&amp;M156</f>
        <v>Ws=γ×As=20×2.88=57.6kN/m</v>
      </c>
      <c r="K156" s="30" t="s">
        <v>212</v>
      </c>
      <c r="L156" s="30">
        <f>L155*K75</f>
        <v>57.600000000000016</v>
      </c>
      <c r="M156" s="30" t="s">
        <v>201</v>
      </c>
    </row>
    <row r="157" spans="3:13" ht="19.5" customHeight="1">
      <c r="C157" s="30" t="s">
        <v>197</v>
      </c>
      <c r="D157" s="30" t="str">
        <f>"xs=Gx/As="&amp;F154&amp;"/"&amp;E154&amp;"="&amp;L157&amp;M157</f>
        <v>xs=Gx/As=9.03/2.88=3.14m</v>
      </c>
      <c r="K157" s="30" t="s">
        <v>213</v>
      </c>
      <c r="L157" s="30">
        <f>ROUND(F154/E154,2)</f>
        <v>3.14</v>
      </c>
      <c r="M157" s="30" t="s">
        <v>43</v>
      </c>
    </row>
    <row r="158" spans="4:13" ht="19.5" customHeight="1">
      <c r="D158" s="30" t="str">
        <f>"ys=Gy/As="&amp;G154&amp;"/"&amp;E154&amp;"="&amp;L158&amp;M158</f>
        <v>ys=Gy/As=11.57/2.88=4.02m</v>
      </c>
      <c r="K158" s="30" t="s">
        <v>214</v>
      </c>
      <c r="L158" s="30">
        <f>ROUND(G154/E154,2)</f>
        <v>4.02</v>
      </c>
      <c r="M158" s="30" t="s">
        <v>43</v>
      </c>
    </row>
    <row r="160" ht="19.5" customHeight="1">
      <c r="A160" s="30" t="s">
        <v>216</v>
      </c>
    </row>
    <row r="161" ht="19.5" customHeight="1">
      <c r="B161" s="30" t="s">
        <v>215</v>
      </c>
    </row>
    <row r="179" spans="2:14" ht="19.5" customHeight="1">
      <c r="B179" s="58" t="s">
        <v>219</v>
      </c>
      <c r="D179" s="30" t="str">
        <f>"α1=atan(n1)=atan("&amp;K25&amp;")="&amp;M179&amp;N179</f>
        <v>α1=atan(n1)=atan(0.5)=26.57度</v>
      </c>
      <c r="J179" s="30" t="s">
        <v>220</v>
      </c>
      <c r="K179" s="30">
        <f>ATAN(K25)</f>
        <v>0.4636476090008061</v>
      </c>
      <c r="L179" s="30" t="s">
        <v>26</v>
      </c>
      <c r="M179" s="30">
        <f>ROUND(K179*180/PI(),2)</f>
        <v>26.57</v>
      </c>
      <c r="N179" s="30" t="s">
        <v>138</v>
      </c>
    </row>
    <row r="180" spans="2:4" ht="19.5" customHeight="1">
      <c r="B180" s="30" t="s">
        <v>231</v>
      </c>
      <c r="D180" s="52" t="str">
        <f>"ε="&amp;ROUND('入力'!AB6,3)&amp;"度"</f>
        <v>ε=16.113度</v>
      </c>
    </row>
    <row r="181" spans="2:12" ht="19.5" customHeight="1">
      <c r="B181" s="30" t="s">
        <v>384</v>
      </c>
      <c r="D181" s="30" t="str">
        <f>J181&amp;K181&amp;L181</f>
        <v>φ=35度</v>
      </c>
      <c r="J181" s="30" t="s">
        <v>23</v>
      </c>
      <c r="K181" s="30">
        <f>'入力'!D14</f>
        <v>35</v>
      </c>
      <c r="L181" s="30" t="s">
        <v>138</v>
      </c>
    </row>
    <row r="182" spans="2:13" ht="19.5" customHeight="1">
      <c r="B182" s="30" t="s">
        <v>385</v>
      </c>
      <c r="D182" s="30" t="str">
        <f>J182&amp;K182&amp;L182&amp;M182</f>
        <v>δc=23.33度(土とコンクリート)</v>
      </c>
      <c r="J182" s="30" t="s">
        <v>33</v>
      </c>
      <c r="K182" s="30">
        <f>ROUND(K181*2/3,2)</f>
        <v>23.33</v>
      </c>
      <c r="L182" s="30" t="s">
        <v>138</v>
      </c>
      <c r="M182" s="30" t="s">
        <v>386</v>
      </c>
    </row>
    <row r="183" spans="2:12" ht="19.5" customHeight="1">
      <c r="B183" s="30" t="s">
        <v>217</v>
      </c>
      <c r="D183" s="30" t="str">
        <f>"HA=H1+t・sinα="&amp;K23&amp;"+"&amp;K24&amp;"×sin("&amp;M179&amp;")="&amp;K183&amp;L183</f>
        <v>HA=H1+t・sinα=5+0.5×sin(26.57)=5.22m</v>
      </c>
      <c r="J183" s="30" t="s">
        <v>218</v>
      </c>
      <c r="K183" s="30">
        <f>ROUND(K23+K24*SIN(K179),2)</f>
        <v>5.22</v>
      </c>
      <c r="L183" s="30" t="s">
        <v>20</v>
      </c>
    </row>
    <row r="184" spans="2:7" ht="19.5" customHeight="1">
      <c r="B184" s="30" t="s">
        <v>227</v>
      </c>
      <c r="D184" s="52" t="s">
        <v>228</v>
      </c>
      <c r="E184" s="52" t="s">
        <v>27</v>
      </c>
      <c r="F184" s="30">
        <f>'入力'!D25</f>
        <v>51.95072898525092</v>
      </c>
      <c r="G184" s="30" t="s">
        <v>138</v>
      </c>
    </row>
    <row r="185" spans="4:7" ht="19.5" customHeight="1">
      <c r="D185" s="52" t="s">
        <v>229</v>
      </c>
      <c r="E185" s="52" t="s">
        <v>28</v>
      </c>
      <c r="F185" s="30">
        <f>'入力'!D26</f>
        <v>63</v>
      </c>
      <c r="G185" s="30" t="s">
        <v>138</v>
      </c>
    </row>
    <row r="186" ht="19.5" customHeight="1">
      <c r="B186" s="30" t="s">
        <v>221</v>
      </c>
    </row>
    <row r="187" spans="6:7" ht="19.5" customHeight="1">
      <c r="F187" s="91" t="str">
        <f>'入力'!Z9&amp;'入力'!AA9</f>
        <v>4.132m</v>
      </c>
      <c r="G187" s="91"/>
    </row>
    <row r="188" spans="5:7" ht="19.5" customHeight="1">
      <c r="E188" s="52"/>
      <c r="F188" s="91"/>
      <c r="G188" s="91"/>
    </row>
    <row r="189" ht="19.5" customHeight="1">
      <c r="B189" s="30" t="s">
        <v>223</v>
      </c>
    </row>
    <row r="190" spans="5:6" ht="19.5" customHeight="1">
      <c r="E190" s="91" t="str">
        <f>'入力'!Z14&amp;'入力'!AA14</f>
        <v>16.05kN/m</v>
      </c>
      <c r="F190" s="91"/>
    </row>
    <row r="191" spans="5:6" ht="19.5" customHeight="1">
      <c r="E191" s="91"/>
      <c r="F191" s="91"/>
    </row>
    <row r="192" spans="7:8" ht="19.5" customHeight="1">
      <c r="G192" s="106" t="s">
        <v>230</v>
      </c>
      <c r="H192" s="106">
        <f>'入力'!Z13</f>
        <v>0.094</v>
      </c>
    </row>
    <row r="193" spans="7:8" ht="19.5" customHeight="1">
      <c r="G193" s="91"/>
      <c r="H193" s="106"/>
    </row>
    <row r="196" ht="19.5" customHeight="1">
      <c r="B196" s="30" t="s">
        <v>232</v>
      </c>
    </row>
    <row r="197" spans="5:7" ht="19.5" customHeight="1">
      <c r="E197" s="52" t="s">
        <v>230</v>
      </c>
      <c r="F197" s="30">
        <f>ROUND(K183*(1/TAN('入力'!AB7)-TAN('入力'!Z6)),3)</f>
        <v>2.578</v>
      </c>
      <c r="G197" s="30" t="s">
        <v>20</v>
      </c>
    </row>
    <row r="198" ht="19.5" customHeight="1">
      <c r="B198" s="30" t="s">
        <v>222</v>
      </c>
    </row>
    <row r="199" spans="6:7" ht="19.5" customHeight="1">
      <c r="F199" s="91" t="str">
        <f>'入力'!Z11&amp;'入力'!AA11</f>
        <v>160.56kN/m</v>
      </c>
      <c r="G199" s="91"/>
    </row>
    <row r="200" spans="6:7" ht="19.5" customHeight="1">
      <c r="F200" s="91"/>
      <c r="G200" s="91"/>
    </row>
    <row r="201" spans="7:8" ht="19.5" customHeight="1">
      <c r="G201" s="91" t="str">
        <f>'入力'!Z12&amp;'入力'!AA12</f>
        <v>45.53kN/m</v>
      </c>
      <c r="H201" s="91"/>
    </row>
    <row r="202" spans="7:8" ht="19.5" customHeight="1">
      <c r="G202" s="91"/>
      <c r="H202" s="91"/>
    </row>
    <row r="203" ht="19.5" customHeight="1">
      <c r="B203" s="30" t="s">
        <v>224</v>
      </c>
    </row>
    <row r="204" spans="8:9" ht="19.5" customHeight="1">
      <c r="H204" s="91" t="str">
        <f>'入力'!Z15&amp;'入力'!AA15</f>
        <v>193.88kN/m</v>
      </c>
      <c r="I204" s="91"/>
    </row>
    <row r="205" spans="8:9" ht="19.5" customHeight="1">
      <c r="H205" s="91"/>
      <c r="I205" s="91"/>
    </row>
    <row r="206" ht="19.5" customHeight="1">
      <c r="B206" s="30" t="s">
        <v>225</v>
      </c>
    </row>
    <row r="207" spans="6:7" ht="19.5" customHeight="1">
      <c r="F207" s="91" t="str">
        <f>'入力'!AB16&amp;'入力'!AC16</f>
        <v>23.77度</v>
      </c>
      <c r="G207" s="91"/>
    </row>
    <row r="208" spans="6:7" ht="19.5" customHeight="1">
      <c r="F208" s="91"/>
      <c r="G208" s="91"/>
    </row>
    <row r="209" ht="19.5" customHeight="1">
      <c r="B209" s="30" t="s">
        <v>226</v>
      </c>
    </row>
    <row r="210" spans="5:6" ht="19.5" customHeight="1">
      <c r="E210" s="91" t="str">
        <f>'入力'!Z17&amp;'入力'!AA17</f>
        <v>61.77kN/m</v>
      </c>
      <c r="F210" s="91"/>
    </row>
    <row r="211" spans="5:6" ht="19.5" customHeight="1">
      <c r="E211" s="91"/>
      <c r="F211" s="91"/>
    </row>
    <row r="212" spans="2:6" ht="19.5" customHeight="1">
      <c r="B212" s="30" t="s">
        <v>235</v>
      </c>
      <c r="D212" s="30" t="s">
        <v>237</v>
      </c>
      <c r="F212" s="30" t="str">
        <f>'入力'!Z20&amp;'入力'!AA20</f>
        <v>-24.9kN/m</v>
      </c>
    </row>
    <row r="213" spans="2:6" ht="19.5" customHeight="1">
      <c r="B213" s="30" t="s">
        <v>236</v>
      </c>
      <c r="D213" s="30" t="s">
        <v>251</v>
      </c>
      <c r="F213" s="30" t="str">
        <f>'入力'!Z21&amp;'入力'!AA21</f>
        <v>56.53kN/m</v>
      </c>
    </row>
    <row r="214" ht="19.5" customHeight="1">
      <c r="B214" s="30" t="s">
        <v>234</v>
      </c>
    </row>
    <row r="215" ht="19.5" customHeight="1">
      <c r="F215" s="91" t="str">
        <f>'入力'!Z23&amp;'入力'!AA23</f>
        <v>3.54m</v>
      </c>
    </row>
    <row r="216" ht="19.5" customHeight="1">
      <c r="F216" s="91"/>
    </row>
    <row r="217" ht="19.5" customHeight="1">
      <c r="F217" s="91" t="str">
        <f>'入力'!Z22&amp;'入力'!AA22</f>
        <v>4.16m</v>
      </c>
    </row>
    <row r="218" ht="19.5" customHeight="1">
      <c r="F218" s="91"/>
    </row>
    <row r="233" ht="19.5" customHeight="1">
      <c r="A233" s="30" t="s">
        <v>238</v>
      </c>
    </row>
    <row r="234" ht="19.5" customHeight="1">
      <c r="A234" s="30" t="s">
        <v>252</v>
      </c>
    </row>
    <row r="235" ht="19.5" customHeight="1">
      <c r="B235" s="30" t="s">
        <v>239</v>
      </c>
    </row>
    <row r="252" spans="2:6" ht="19.5" customHeight="1">
      <c r="B252" s="30" t="s">
        <v>243</v>
      </c>
      <c r="D252" s="30" t="s">
        <v>19</v>
      </c>
      <c r="E252" s="52">
        <f>K23+K28</f>
        <v>7.5</v>
      </c>
      <c r="F252" s="30" t="s">
        <v>20</v>
      </c>
    </row>
    <row r="253" spans="2:12" ht="19.5" customHeight="1">
      <c r="B253" s="30" t="s">
        <v>384</v>
      </c>
      <c r="D253" s="30" t="str">
        <f>J253&amp;K253&amp;L253</f>
        <v>φ=35度</v>
      </c>
      <c r="J253" s="30" t="s">
        <v>23</v>
      </c>
      <c r="K253" s="30">
        <f>'入力'!D14</f>
        <v>35</v>
      </c>
      <c r="L253" s="30" t="s">
        <v>138</v>
      </c>
    </row>
    <row r="254" spans="2:13" ht="19.5" customHeight="1">
      <c r="B254" s="30" t="s">
        <v>385</v>
      </c>
      <c r="D254" s="30" t="str">
        <f>J254&amp;K254&amp;L254&amp;M254</f>
        <v>δc=23.33度(土とコンクリート)</v>
      </c>
      <c r="J254" s="30" t="s">
        <v>33</v>
      </c>
      <c r="K254" s="30">
        <f>ROUND(K253*2/3,2)</f>
        <v>23.33</v>
      </c>
      <c r="L254" s="30" t="s">
        <v>138</v>
      </c>
      <c r="M254" s="30" t="s">
        <v>386</v>
      </c>
    </row>
    <row r="255" spans="2:6" ht="19.5" customHeight="1">
      <c r="B255" s="30" t="s">
        <v>240</v>
      </c>
      <c r="D255" s="30" t="s">
        <v>241</v>
      </c>
      <c r="E255" s="52">
        <f>'計算'!$B$97</f>
        <v>57</v>
      </c>
      <c r="F255" s="30" t="s">
        <v>138</v>
      </c>
    </row>
    <row r="256" ht="19.5" customHeight="1">
      <c r="B256" s="30" t="s">
        <v>242</v>
      </c>
    </row>
    <row r="257" spans="7:8" ht="19.5" customHeight="1">
      <c r="G257" s="91" t="str">
        <f>ROUND('計算'!$D$97,2)&amp;"kN/m"</f>
        <v>320.07kN/m</v>
      </c>
      <c r="H257" s="91"/>
    </row>
    <row r="258" spans="7:8" ht="19.5" customHeight="1">
      <c r="G258" s="91"/>
      <c r="H258" s="91"/>
    </row>
    <row r="259" ht="19.5" customHeight="1">
      <c r="B259" s="30" t="s">
        <v>244</v>
      </c>
    </row>
    <row r="260" spans="6:7" ht="19.5" customHeight="1">
      <c r="F260" s="91" t="str">
        <f>'計算'!A97&amp;"kN/m"</f>
        <v>76.84kN/m</v>
      </c>
      <c r="G260" s="91"/>
    </row>
    <row r="261" spans="6:7" ht="19.5" customHeight="1">
      <c r="F261" s="91"/>
      <c r="G261" s="91"/>
    </row>
    <row r="263" spans="2:4" ht="19.5" customHeight="1">
      <c r="B263" s="41" t="s">
        <v>245</v>
      </c>
      <c r="C263" s="42" t="s">
        <v>246</v>
      </c>
      <c r="D263" s="43" t="s">
        <v>50</v>
      </c>
    </row>
    <row r="264" spans="2:4" ht="19.5" customHeight="1">
      <c r="B264" s="44">
        <f>'計算'!B97-5</f>
        <v>52</v>
      </c>
      <c r="C264" s="61">
        <f>VLOOKUP($B264,'計算'!$B$56:$E$95,3,FALSE)</f>
        <v>404.14</v>
      </c>
      <c r="D264" s="62">
        <f>VLOOKUP($B264,'計算'!$B$56:$E$95,4,FALSE)</f>
        <v>71.82</v>
      </c>
    </row>
    <row r="265" spans="2:4" ht="19.5" customHeight="1">
      <c r="B265" s="44">
        <f>B264+1</f>
        <v>53</v>
      </c>
      <c r="C265" s="61">
        <f>VLOOKUP($B265,'計算'!$B$56:$E$95,3,FALSE)</f>
        <v>386.46</v>
      </c>
      <c r="D265" s="62">
        <f>VLOOKUP($B265,'計算'!$B$56:$E$95,4,FALSE)</f>
        <v>73.67</v>
      </c>
    </row>
    <row r="266" spans="2:4" ht="19.5" customHeight="1">
      <c r="B266" s="44">
        <f aca="true" t="shared" si="7" ref="B266:B274">B265+1</f>
        <v>54</v>
      </c>
      <c r="C266" s="61">
        <f>VLOOKUP($B266,'計算'!$B$56:$E$95,3,FALSE)</f>
        <v>369.24</v>
      </c>
      <c r="D266" s="62">
        <f>VLOOKUP($B266,'計算'!$B$56:$E$95,4,FALSE)</f>
        <v>75.08</v>
      </c>
    </row>
    <row r="267" spans="2:4" ht="19.5" customHeight="1">
      <c r="B267" s="44">
        <f t="shared" si="7"/>
        <v>55</v>
      </c>
      <c r="C267" s="61">
        <f>VLOOKUP($B267,'計算'!$B$56:$E$95,3,FALSE)</f>
        <v>352.45</v>
      </c>
      <c r="D267" s="62">
        <f>VLOOKUP($B267,'計算'!$B$56:$E$95,4,FALSE)</f>
        <v>76.07</v>
      </c>
    </row>
    <row r="268" spans="2:4" ht="19.5" customHeight="1">
      <c r="B268" s="44">
        <f t="shared" si="7"/>
        <v>56</v>
      </c>
      <c r="C268" s="61">
        <f>VLOOKUP($B268,'計算'!$B$56:$E$95,3,FALSE)</f>
        <v>336.07</v>
      </c>
      <c r="D268" s="62">
        <f>VLOOKUP($B268,'計算'!$B$56:$E$95,4,FALSE)</f>
        <v>76.65</v>
      </c>
    </row>
    <row r="269" spans="2:4" ht="19.5" customHeight="1">
      <c r="B269" s="44">
        <f t="shared" si="7"/>
        <v>57</v>
      </c>
      <c r="C269" s="61">
        <f>VLOOKUP($B269,'計算'!$B$56:$E$95,3,FALSE)</f>
        <v>320.07</v>
      </c>
      <c r="D269" s="62">
        <f>VLOOKUP($B269,'計算'!$B$56:$E$95,4,FALSE)</f>
        <v>76.84</v>
      </c>
    </row>
    <row r="270" spans="2:4" ht="19.5" customHeight="1">
      <c r="B270" s="44">
        <f t="shared" si="7"/>
        <v>58</v>
      </c>
      <c r="C270" s="61">
        <f>VLOOKUP($B270,'計算'!$B$56:$E$95,3,FALSE)</f>
        <v>304.43</v>
      </c>
      <c r="D270" s="62">
        <f>VLOOKUP($B270,'計算'!$B$56:$E$95,4,FALSE)</f>
        <v>76.64</v>
      </c>
    </row>
    <row r="271" spans="2:4" ht="19.5" customHeight="1">
      <c r="B271" s="44">
        <f t="shared" si="7"/>
        <v>59</v>
      </c>
      <c r="C271" s="61">
        <f>VLOOKUP($B271,'計算'!$B$56:$E$95,3,FALSE)</f>
        <v>289.12</v>
      </c>
      <c r="D271" s="62">
        <f>VLOOKUP($B271,'計算'!$B$56:$E$95,4,FALSE)</f>
        <v>76.09</v>
      </c>
    </row>
    <row r="272" spans="2:4" ht="19.5" customHeight="1">
      <c r="B272" s="44">
        <f t="shared" si="7"/>
        <v>60</v>
      </c>
      <c r="C272" s="61">
        <f>VLOOKUP($B272,'計算'!$B$56:$E$95,3,FALSE)</f>
        <v>274.13</v>
      </c>
      <c r="D272" s="62">
        <f>VLOOKUP($B272,'計算'!$B$56:$E$95,4,FALSE)</f>
        <v>75.17</v>
      </c>
    </row>
    <row r="273" spans="2:4" ht="19.5" customHeight="1">
      <c r="B273" s="44">
        <f t="shared" si="7"/>
        <v>61</v>
      </c>
      <c r="C273" s="61">
        <f>VLOOKUP($B273,'計算'!$B$56:$E$95,3,FALSE)</f>
        <v>259.44</v>
      </c>
      <c r="D273" s="62">
        <f>VLOOKUP($B273,'計算'!$B$56:$E$95,4,FALSE)</f>
        <v>73.92</v>
      </c>
    </row>
    <row r="274" spans="2:4" ht="19.5" customHeight="1">
      <c r="B274" s="54">
        <f t="shared" si="7"/>
        <v>62</v>
      </c>
      <c r="C274" s="63">
        <f>VLOOKUP($B274,'計算'!$B$56:$E$95,3,FALSE)</f>
        <v>245.04</v>
      </c>
      <c r="D274" s="64">
        <f>VLOOKUP($B274,'計算'!$B$56:$E$95,4,FALSE)</f>
        <v>72.33</v>
      </c>
    </row>
    <row r="276" spans="2:7" ht="19.5" customHeight="1">
      <c r="B276" s="30" t="s">
        <v>247</v>
      </c>
      <c r="E276" s="30" t="s">
        <v>249</v>
      </c>
      <c r="G276" s="30" t="str">
        <f>'計算'!C159&amp;'計算'!D159</f>
        <v>30.43kN/m</v>
      </c>
    </row>
    <row r="277" spans="2:7" ht="19.5" customHeight="1">
      <c r="B277" s="30" t="s">
        <v>248</v>
      </c>
      <c r="E277" s="30" t="s">
        <v>250</v>
      </c>
      <c r="G277" s="30" t="str">
        <f>'計算'!C160&amp;'計算'!D160</f>
        <v>70.56kN/m</v>
      </c>
    </row>
    <row r="279" ht="19.5" customHeight="1">
      <c r="A279" s="30" t="s">
        <v>253</v>
      </c>
    </row>
    <row r="296" spans="2:6" ht="19.5" customHeight="1">
      <c r="B296" s="30" t="s">
        <v>243</v>
      </c>
      <c r="D296" s="30" t="s">
        <v>254</v>
      </c>
      <c r="E296" s="52">
        <f>'計算'!C103</f>
        <v>6.362</v>
      </c>
      <c r="F296" s="30" t="s">
        <v>20</v>
      </c>
    </row>
    <row r="297" spans="2:5" ht="19.5" customHeight="1">
      <c r="B297" s="30" t="s">
        <v>384</v>
      </c>
      <c r="D297" s="30" t="str">
        <f>D253</f>
        <v>φ=35度</v>
      </c>
      <c r="E297" s="52"/>
    </row>
    <row r="298" spans="2:5" ht="19.5" customHeight="1">
      <c r="B298" s="30" t="s">
        <v>385</v>
      </c>
      <c r="D298" s="30" t="str">
        <f>D254</f>
        <v>δc=23.33度(土とコンクリート)</v>
      </c>
      <c r="E298" s="52"/>
    </row>
    <row r="299" spans="2:6" ht="19.5" customHeight="1">
      <c r="B299" s="30" t="s">
        <v>240</v>
      </c>
      <c r="D299" s="30" t="s">
        <v>255</v>
      </c>
      <c r="E299" s="52">
        <f>'計算'!B147</f>
        <v>56</v>
      </c>
      <c r="F299" s="30" t="s">
        <v>138</v>
      </c>
    </row>
    <row r="300" spans="2:6" ht="19.5" customHeight="1">
      <c r="B300" s="30" t="s">
        <v>256</v>
      </c>
      <c r="D300" s="30" t="s">
        <v>73</v>
      </c>
      <c r="E300" s="52">
        <f>D307</f>
        <v>35.73</v>
      </c>
      <c r="F300" s="30" t="s">
        <v>49</v>
      </c>
    </row>
    <row r="301" spans="2:5" ht="19.5" customHeight="1">
      <c r="B301" s="41" t="s">
        <v>257</v>
      </c>
      <c r="C301" s="42" t="s">
        <v>258</v>
      </c>
      <c r="D301" s="43" t="s">
        <v>259</v>
      </c>
      <c r="E301" s="65"/>
    </row>
    <row r="302" spans="2:5" ht="19.5" customHeight="1">
      <c r="B302" s="44">
        <f>E299-5</f>
        <v>51</v>
      </c>
      <c r="C302" s="61">
        <f>VLOOKUP($B302,'計算'!$B$106:$E$145,3,FALSE)</f>
        <v>285.35</v>
      </c>
      <c r="D302" s="62">
        <f>VLOOKUP($B302,'計算'!$B$106:$E$145,4,FALSE)</f>
        <v>31.43</v>
      </c>
      <c r="E302" s="65"/>
    </row>
    <row r="303" spans="2:5" ht="19.5" customHeight="1">
      <c r="B303" s="44">
        <f>B302+1</f>
        <v>52</v>
      </c>
      <c r="C303" s="61">
        <f>VLOOKUP($B303,'計算'!$B$106:$E$145,3,FALSE)</f>
        <v>272</v>
      </c>
      <c r="D303" s="62">
        <f>VLOOKUP($B303,'計算'!$B$106:$E$145,4,FALSE)</f>
        <v>32.95</v>
      </c>
      <c r="E303" s="65"/>
    </row>
    <row r="304" spans="2:5" ht="19.5" customHeight="1">
      <c r="B304" s="44">
        <f aca="true" t="shared" si="8" ref="B304:B312">B303+1</f>
        <v>53</v>
      </c>
      <c r="C304" s="61">
        <f>VLOOKUP($B304,'計算'!$B$106:$E$145,3,FALSE)</f>
        <v>259.01</v>
      </c>
      <c r="D304" s="62">
        <f>VLOOKUP($B304,'計算'!$B$106:$E$145,4,FALSE)</f>
        <v>34.12</v>
      </c>
      <c r="E304" s="65"/>
    </row>
    <row r="305" spans="2:5" ht="19.5" customHeight="1">
      <c r="B305" s="44">
        <f t="shared" si="8"/>
        <v>54</v>
      </c>
      <c r="C305" s="61">
        <f>VLOOKUP($B305,'計算'!$B$106:$E$145,3,FALSE)</f>
        <v>246.36</v>
      </c>
      <c r="D305" s="62">
        <f>VLOOKUP($B305,'計算'!$B$106:$E$145,4,FALSE)</f>
        <v>34.96</v>
      </c>
      <c r="E305" s="65"/>
    </row>
    <row r="306" spans="2:5" ht="19.5" customHeight="1">
      <c r="B306" s="44">
        <f t="shared" si="8"/>
        <v>55</v>
      </c>
      <c r="C306" s="61">
        <f>VLOOKUP($B306,'計算'!$B$106:$E$145,3,FALSE)</f>
        <v>234.03</v>
      </c>
      <c r="D306" s="62">
        <f>VLOOKUP($B306,'計算'!$B$106:$E$145,4,FALSE)</f>
        <v>35.5</v>
      </c>
      <c r="E306" s="65"/>
    </row>
    <row r="307" spans="2:5" ht="19.5" customHeight="1">
      <c r="B307" s="44">
        <f t="shared" si="8"/>
        <v>56</v>
      </c>
      <c r="C307" s="61">
        <f>VLOOKUP($B307,'計算'!$B$106:$E$145,3,FALSE)</f>
        <v>221.99</v>
      </c>
      <c r="D307" s="62">
        <f>VLOOKUP($B307,'計算'!$B$106:$E$145,4,FALSE)</f>
        <v>35.73</v>
      </c>
      <c r="E307" s="65"/>
    </row>
    <row r="308" spans="2:5" ht="19.5" customHeight="1">
      <c r="B308" s="44">
        <f t="shared" si="8"/>
        <v>57</v>
      </c>
      <c r="C308" s="61">
        <f>VLOOKUP($B308,'計算'!$B$106:$E$145,3,FALSE)</f>
        <v>210.24</v>
      </c>
      <c r="D308" s="62">
        <f>VLOOKUP($B308,'計算'!$B$106:$E$145,4,FALSE)</f>
        <v>35.68</v>
      </c>
      <c r="E308" s="65"/>
    </row>
    <row r="309" spans="2:5" ht="19.5" customHeight="1">
      <c r="B309" s="44">
        <f t="shared" si="8"/>
        <v>58</v>
      </c>
      <c r="C309" s="61">
        <f>VLOOKUP($B309,'計算'!$B$106:$E$145,3,FALSE)</f>
        <v>198.74</v>
      </c>
      <c r="D309" s="62">
        <f>VLOOKUP($B309,'計算'!$B$106:$E$145,4,FALSE)</f>
        <v>35.35</v>
      </c>
      <c r="E309" s="65"/>
    </row>
    <row r="310" spans="2:5" ht="19.5" customHeight="1">
      <c r="B310" s="44">
        <f t="shared" si="8"/>
        <v>59</v>
      </c>
      <c r="C310" s="61">
        <f>VLOOKUP($B310,'計算'!$B$106:$E$145,3,FALSE)</f>
        <v>187.5</v>
      </c>
      <c r="D310" s="62">
        <f>VLOOKUP($B310,'計算'!$B$106:$E$145,4,FALSE)</f>
        <v>34.75</v>
      </c>
      <c r="E310" s="65"/>
    </row>
    <row r="311" spans="2:5" ht="19.5" customHeight="1">
      <c r="B311" s="44">
        <f t="shared" si="8"/>
        <v>60</v>
      </c>
      <c r="C311" s="61">
        <f>VLOOKUP($B311,'計算'!$B$106:$E$145,3,FALSE)</f>
        <v>176.49</v>
      </c>
      <c r="D311" s="62">
        <f>VLOOKUP($B311,'計算'!$B$106:$E$145,4,FALSE)</f>
        <v>33.89</v>
      </c>
      <c r="E311" s="65"/>
    </row>
    <row r="312" spans="2:5" ht="19.5" customHeight="1">
      <c r="B312" s="54">
        <f t="shared" si="8"/>
        <v>61</v>
      </c>
      <c r="C312" s="63">
        <f>VLOOKUP($B312,'計算'!$B$106:$E$145,3,FALSE)</f>
        <v>165.69</v>
      </c>
      <c r="D312" s="64">
        <f>VLOOKUP($B312,'計算'!$B$106:$E$145,4,FALSE)</f>
        <v>32.78</v>
      </c>
      <c r="E312" s="65"/>
    </row>
    <row r="314" ht="19.5" customHeight="1">
      <c r="A314" s="30" t="s">
        <v>260</v>
      </c>
    </row>
    <row r="329" spans="2:4" ht="19.5" customHeight="1">
      <c r="B329" s="98" t="s">
        <v>261</v>
      </c>
      <c r="C329" s="97" t="str">
        <f>"4PA2'-PA2"</f>
        <v>4PA2'-PA2</v>
      </c>
      <c r="D329" s="97"/>
    </row>
    <row r="330" spans="2:14" ht="19.5" customHeight="1">
      <c r="B330" s="98"/>
      <c r="C330" s="92" t="s">
        <v>273</v>
      </c>
      <c r="D330" s="92"/>
      <c r="L330" s="30" t="s">
        <v>274</v>
      </c>
      <c r="M330" s="30">
        <f>'計算'!C149</f>
        <v>76.84</v>
      </c>
      <c r="N330" s="30" t="s">
        <v>49</v>
      </c>
    </row>
    <row r="331" spans="2:14" ht="19.5" customHeight="1">
      <c r="B331" s="98" t="s">
        <v>262</v>
      </c>
      <c r="C331" s="97" t="str">
        <f>"4×"&amp;M331&amp;"-"&amp;M330</f>
        <v>4×35.73-76.84</v>
      </c>
      <c r="D331" s="97"/>
      <c r="E331" s="91" t="str">
        <f>"="&amp;M333&amp;N333</f>
        <v>=28.98kN/m2</v>
      </c>
      <c r="F331" s="91"/>
      <c r="L331" s="30" t="s">
        <v>73</v>
      </c>
      <c r="M331" s="30">
        <f>'計算'!C150</f>
        <v>35.73</v>
      </c>
      <c r="N331" s="30" t="s">
        <v>49</v>
      </c>
    </row>
    <row r="332" spans="2:14" ht="19.5" customHeight="1">
      <c r="B332" s="98"/>
      <c r="C332" s="92">
        <f>M332</f>
        <v>2.276</v>
      </c>
      <c r="D332" s="92"/>
      <c r="E332" s="91"/>
      <c r="F332" s="91"/>
      <c r="L332" s="30" t="s">
        <v>275</v>
      </c>
      <c r="M332" s="30">
        <f>'計算'!C53-'入力'!Z2</f>
        <v>2.276</v>
      </c>
      <c r="N332" s="30" t="s">
        <v>20</v>
      </c>
    </row>
    <row r="333" spans="2:14" ht="19.5" customHeight="1">
      <c r="B333" s="98" t="s">
        <v>264</v>
      </c>
      <c r="C333" s="60" t="s">
        <v>265</v>
      </c>
      <c r="D333" s="91" t="str">
        <f>" -p1"</f>
        <v> -p1</v>
      </c>
      <c r="F333" s="65"/>
      <c r="G333" s="65"/>
      <c r="L333" s="30" t="s">
        <v>261</v>
      </c>
      <c r="M333" s="30">
        <f>'計算'!C153</f>
        <v>28.98</v>
      </c>
      <c r="N333" s="30" t="s">
        <v>263</v>
      </c>
    </row>
    <row r="334" spans="2:7" ht="19.5" customHeight="1">
      <c r="B334" s="98"/>
      <c r="C334" s="59" t="s">
        <v>276</v>
      </c>
      <c r="D334" s="91"/>
      <c r="F334" s="65"/>
      <c r="G334" s="65"/>
    </row>
    <row r="335" spans="2:14" ht="19.5" customHeight="1">
      <c r="B335" s="98" t="s">
        <v>262</v>
      </c>
      <c r="C335" s="60" t="str">
        <f>"2×"&amp;M330</f>
        <v>2×76.84</v>
      </c>
      <c r="D335" s="104" t="str">
        <f>"-"&amp;M333&amp;"="&amp;M335&amp;N335</f>
        <v>-28.98=38.42kN/m2</v>
      </c>
      <c r="E335" s="105"/>
      <c r="F335" s="65"/>
      <c r="G335" s="65"/>
      <c r="L335" s="30" t="s">
        <v>264</v>
      </c>
      <c r="M335" s="30">
        <f>'計算'!C154</f>
        <v>38.42</v>
      </c>
      <c r="N335" s="30" t="s">
        <v>263</v>
      </c>
    </row>
    <row r="336" spans="2:7" ht="19.5" customHeight="1">
      <c r="B336" s="98"/>
      <c r="C336" s="59">
        <f>C332</f>
        <v>2.276</v>
      </c>
      <c r="D336" s="105"/>
      <c r="E336" s="105"/>
      <c r="F336" s="65"/>
      <c r="G336" s="65"/>
    </row>
    <row r="337" spans="2:7" ht="19.5" customHeight="1">
      <c r="B337" s="30" t="s">
        <v>266</v>
      </c>
      <c r="C337" s="66"/>
      <c r="D337" s="58"/>
      <c r="E337" s="58"/>
      <c r="F337" s="65"/>
      <c r="G337" s="65"/>
    </row>
    <row r="338" spans="2:7" ht="19.5" customHeight="1">
      <c r="B338" s="98" t="s">
        <v>267</v>
      </c>
      <c r="C338" s="97" t="str">
        <f>"HB×(2×p1+p2)"</f>
        <v>HB×(2×p1+p2)</v>
      </c>
      <c r="D338" s="97"/>
      <c r="E338" s="65"/>
      <c r="F338" s="65"/>
      <c r="G338" s="65"/>
    </row>
    <row r="339" spans="2:5" ht="19.5" customHeight="1">
      <c r="B339" s="98"/>
      <c r="C339" s="92" t="s">
        <v>268</v>
      </c>
      <c r="D339" s="92"/>
      <c r="E339" s="65"/>
    </row>
    <row r="340" spans="2:7" ht="19.5" customHeight="1">
      <c r="B340" s="98" t="s">
        <v>267</v>
      </c>
      <c r="C340" s="97" t="str">
        <f>M332&amp;"×(2×"&amp;M333&amp;"+"&amp;M335&amp;")"</f>
        <v>2.276×(2×28.98+38.42)</v>
      </c>
      <c r="D340" s="97"/>
      <c r="E340" s="94"/>
      <c r="F340" s="91" t="str">
        <f>"="&amp;M343&amp;N343</f>
        <v>=1.09m</v>
      </c>
      <c r="G340" s="91"/>
    </row>
    <row r="341" spans="2:14" ht="19.5" customHeight="1">
      <c r="B341" s="98"/>
      <c r="C341" s="92" t="str">
        <f>"3×("&amp;M333&amp;"+"&amp;M335&amp;")"</f>
        <v>3×(28.98+38.42)</v>
      </c>
      <c r="D341" s="92"/>
      <c r="E341" s="96"/>
      <c r="F341" s="91"/>
      <c r="G341" s="91"/>
      <c r="L341" s="30" t="s">
        <v>270</v>
      </c>
      <c r="M341" s="67">
        <f>'入力'!D9</f>
        <v>3</v>
      </c>
      <c r="N341" s="30" t="s">
        <v>271</v>
      </c>
    </row>
    <row r="342" spans="2:14" ht="19.5" customHeight="1">
      <c r="B342" s="57" t="s">
        <v>272</v>
      </c>
      <c r="C342" s="58" t="str">
        <f>"B="&amp;M342&amp;N342</f>
        <v>B=3m</v>
      </c>
      <c r="L342" s="30" t="s">
        <v>78</v>
      </c>
      <c r="M342" s="30">
        <f>'計算'!C156</f>
        <v>3</v>
      </c>
      <c r="N342" s="30" t="s">
        <v>271</v>
      </c>
    </row>
    <row r="343" spans="12:14" ht="19.5" customHeight="1">
      <c r="L343" s="30" t="s">
        <v>79</v>
      </c>
      <c r="M343" s="30">
        <f>'計算'!C157</f>
        <v>1.09</v>
      </c>
      <c r="N343" s="30" t="s">
        <v>271</v>
      </c>
    </row>
    <row r="344" spans="1:12" ht="19.5" customHeight="1">
      <c r="A344" s="30" t="s">
        <v>356</v>
      </c>
      <c r="L344" s="30" t="str">
        <f>M341&amp;"-"&amp;T29&amp;"×"&amp;M343&amp;"="&amp;M342&amp;N342</f>
        <v>3-×1.09=3m</v>
      </c>
    </row>
    <row r="345" ht="19.5" customHeight="1">
      <c r="A345" s="30" t="s">
        <v>355</v>
      </c>
    </row>
    <row r="359" spans="2:8" ht="19.5" customHeight="1">
      <c r="B359" s="102" t="s">
        <v>277</v>
      </c>
      <c r="C359" s="73" t="s">
        <v>278</v>
      </c>
      <c r="D359" s="73" t="s">
        <v>279</v>
      </c>
      <c r="E359" s="73" t="s">
        <v>280</v>
      </c>
      <c r="F359" s="73" t="s">
        <v>281</v>
      </c>
      <c r="G359" s="73" t="s">
        <v>282</v>
      </c>
      <c r="H359" s="74" t="s">
        <v>283</v>
      </c>
    </row>
    <row r="360" spans="2:8" ht="19.5" customHeight="1">
      <c r="B360" s="103"/>
      <c r="C360" s="63" t="s">
        <v>284</v>
      </c>
      <c r="D360" s="63" t="s">
        <v>284</v>
      </c>
      <c r="E360" s="63" t="s">
        <v>285</v>
      </c>
      <c r="F360" s="63" t="s">
        <v>285</v>
      </c>
      <c r="G360" s="63" t="s">
        <v>286</v>
      </c>
      <c r="H360" s="64" t="s">
        <v>286</v>
      </c>
    </row>
    <row r="361" spans="2:8" ht="19.5" customHeight="1">
      <c r="B361" s="44" t="s">
        <v>10</v>
      </c>
      <c r="C361" s="46">
        <f>L128</f>
        <v>65.78</v>
      </c>
      <c r="D361" s="46">
        <v>0</v>
      </c>
      <c r="E361" s="46">
        <f>L129</f>
        <v>2.95</v>
      </c>
      <c r="F361" s="46">
        <f>L130</f>
        <v>4.94</v>
      </c>
      <c r="G361" s="46">
        <f aca="true" t="shared" si="9" ref="G361:H365">ROUND(C361*E361,2)</f>
        <v>194.05</v>
      </c>
      <c r="H361" s="47">
        <f t="shared" si="9"/>
        <v>0</v>
      </c>
    </row>
    <row r="362" spans="2:8" ht="19.5" customHeight="1">
      <c r="B362" s="44" t="s">
        <v>290</v>
      </c>
      <c r="C362" s="46">
        <f>L144</f>
        <v>135.47</v>
      </c>
      <c r="D362" s="46">
        <v>0</v>
      </c>
      <c r="E362" s="46">
        <f>L145</f>
        <v>1.69</v>
      </c>
      <c r="F362" s="46">
        <f>L146</f>
        <v>1.06</v>
      </c>
      <c r="G362" s="46">
        <f t="shared" si="9"/>
        <v>228.94</v>
      </c>
      <c r="H362" s="47">
        <f t="shared" si="9"/>
        <v>0</v>
      </c>
    </row>
    <row r="363" spans="2:8" ht="19.5" customHeight="1">
      <c r="B363" s="44" t="s">
        <v>289</v>
      </c>
      <c r="C363" s="46">
        <f>L156</f>
        <v>57.600000000000016</v>
      </c>
      <c r="D363" s="46">
        <v>0</v>
      </c>
      <c r="E363" s="46">
        <f>L157</f>
        <v>3.14</v>
      </c>
      <c r="F363" s="46">
        <f>L158</f>
        <v>4.02</v>
      </c>
      <c r="G363" s="46">
        <f>ROUND(C363*E363,2)</f>
        <v>180.86</v>
      </c>
      <c r="H363" s="47">
        <f>ROUND(D363*F363,2)</f>
        <v>0</v>
      </c>
    </row>
    <row r="364" spans="2:8" ht="19.5" customHeight="1">
      <c r="B364" s="44" t="s">
        <v>65</v>
      </c>
      <c r="C364" s="46">
        <f>'入力'!Z20</f>
        <v>-24.9</v>
      </c>
      <c r="D364" s="46">
        <f>'入力'!Z21</f>
        <v>56.53</v>
      </c>
      <c r="E364" s="46">
        <f>'入力'!Z23</f>
        <v>3.54</v>
      </c>
      <c r="F364" s="46">
        <f>'入力'!Z22</f>
        <v>4.16</v>
      </c>
      <c r="G364" s="46">
        <f>ROUND(C364*E364,2)</f>
        <v>-88.15</v>
      </c>
      <c r="H364" s="47">
        <f>ROUND(D364*F364,2)</f>
        <v>235.16</v>
      </c>
    </row>
    <row r="365" spans="2:8" ht="19.5" customHeight="1">
      <c r="B365" s="44" t="s">
        <v>291</v>
      </c>
      <c r="C365" s="46">
        <f>'計算'!C159</f>
        <v>30.43</v>
      </c>
      <c r="D365" s="46">
        <f>'計算'!C160</f>
        <v>70.56</v>
      </c>
      <c r="E365" s="46">
        <f>'計算'!C156</f>
        <v>3</v>
      </c>
      <c r="F365" s="46">
        <f>'計算'!C157</f>
        <v>1.09</v>
      </c>
      <c r="G365" s="46">
        <f t="shared" si="9"/>
        <v>91.29</v>
      </c>
      <c r="H365" s="47">
        <f t="shared" si="9"/>
        <v>76.91</v>
      </c>
    </row>
    <row r="366" spans="2:8" ht="19.5" customHeight="1">
      <c r="B366" s="41" t="s">
        <v>287</v>
      </c>
      <c r="C366" s="49">
        <f>SUM(C361:C365)</f>
        <v>264.38</v>
      </c>
      <c r="D366" s="49">
        <f>SUM(D361:D365)</f>
        <v>127.09</v>
      </c>
      <c r="E366" s="49" t="s">
        <v>288</v>
      </c>
      <c r="F366" s="49" t="s">
        <v>288</v>
      </c>
      <c r="G366" s="49">
        <f>SUM(G361:G365)</f>
        <v>606.99</v>
      </c>
      <c r="H366" s="50">
        <f>SUM(H361:H365)</f>
        <v>312.07</v>
      </c>
    </row>
    <row r="367" spans="2:8" ht="19.5" customHeight="1">
      <c r="B367" s="66" t="s">
        <v>353</v>
      </c>
      <c r="C367" s="85" t="str">
        <f>"∑V="&amp;C366&amp;"kN/m"</f>
        <v>∑V=264.38kN/m</v>
      </c>
      <c r="D367" s="75"/>
      <c r="E367" s="75"/>
      <c r="F367" s="75"/>
      <c r="G367" s="75"/>
      <c r="H367" s="75"/>
    </row>
    <row r="368" spans="2:8" ht="19.5" customHeight="1">
      <c r="B368" s="66" t="s">
        <v>354</v>
      </c>
      <c r="C368" s="85" t="str">
        <f>"∑H="&amp;D366&amp;"kN/m"</f>
        <v>∑H=127.09kN/m</v>
      </c>
      <c r="D368" s="75"/>
      <c r="E368" s="75"/>
      <c r="F368" s="75"/>
      <c r="G368" s="75"/>
      <c r="H368" s="75"/>
    </row>
    <row r="369" spans="2:3" ht="19.5" customHeight="1">
      <c r="B369" s="30" t="s">
        <v>292</v>
      </c>
      <c r="C369" s="30" t="str">
        <f>S372&amp;T372&amp;U372</f>
        <v>B=3m</v>
      </c>
    </row>
    <row r="370" ht="19.5" customHeight="1">
      <c r="B370" s="30" t="s">
        <v>293</v>
      </c>
    </row>
    <row r="371" spans="2:4" ht="19.5" customHeight="1">
      <c r="B371" s="98" t="str">
        <f>"d=   "</f>
        <v>d=   </v>
      </c>
      <c r="C371" s="97" t="str">
        <f>"Σ(V・x)-Σ(H・y)"</f>
        <v>Σ(V・x)-Σ(H・y)</v>
      </c>
      <c r="D371" s="97"/>
    </row>
    <row r="372" spans="2:21" ht="19.5" customHeight="1">
      <c r="B372" s="98"/>
      <c r="C372" s="92" t="s">
        <v>294</v>
      </c>
      <c r="D372" s="92"/>
      <c r="S372" s="30" t="s">
        <v>269</v>
      </c>
      <c r="T372" s="30">
        <f>K32</f>
        <v>3</v>
      </c>
      <c r="U372" s="30" t="s">
        <v>44</v>
      </c>
    </row>
    <row r="373" spans="2:5" ht="19.5" customHeight="1">
      <c r="B373" s="98" t="str">
        <f>"=   "</f>
        <v>=   </v>
      </c>
      <c r="C373" s="97" t="str">
        <f>G366&amp;"-"&amp;H366</f>
        <v>606.99-312.07</v>
      </c>
      <c r="D373" s="97"/>
      <c r="E373" s="101" t="str">
        <f>"  ="&amp;T375&amp;U375</f>
        <v>  =1.12m</v>
      </c>
    </row>
    <row r="374" spans="2:5" ht="19.5" customHeight="1">
      <c r="B374" s="98"/>
      <c r="C374" s="99">
        <f>C366</f>
        <v>264.38</v>
      </c>
      <c r="D374" s="92"/>
      <c r="E374" s="101"/>
    </row>
    <row r="375" spans="2:21" ht="19.5" customHeight="1">
      <c r="B375" s="30" t="s">
        <v>297</v>
      </c>
      <c r="S375" s="30" t="s">
        <v>295</v>
      </c>
      <c r="T375" s="30">
        <f>ROUND((G366-H366)/C366,2)</f>
        <v>1.12</v>
      </c>
      <c r="U375" s="30" t="s">
        <v>296</v>
      </c>
    </row>
    <row r="376" spans="2:4" ht="19.5" customHeight="1">
      <c r="B376" s="98" t="str">
        <f>"e=   "</f>
        <v>e=   </v>
      </c>
      <c r="C376" s="60" t="s">
        <v>300</v>
      </c>
      <c r="D376" s="100" t="str">
        <f>" －d "</f>
        <v> －d </v>
      </c>
    </row>
    <row r="377" spans="2:4" ht="19.5" customHeight="1">
      <c r="B377" s="98"/>
      <c r="C377" s="59">
        <v>2</v>
      </c>
      <c r="D377" s="91"/>
    </row>
    <row r="378" spans="2:21" ht="19.5" customHeight="1">
      <c r="B378" s="98" t="str">
        <f>"=   "</f>
        <v>=   </v>
      </c>
      <c r="C378" s="60">
        <f>T372</f>
        <v>3</v>
      </c>
      <c r="D378" s="91" t="str">
        <f>" － "&amp;T375&amp;" = "&amp;T378&amp;U378</f>
        <v> － 1.12 = 0.38m</v>
      </c>
      <c r="E378" s="91"/>
      <c r="S378" s="30" t="s">
        <v>298</v>
      </c>
      <c r="T378" s="30">
        <f>ROUND(T372/2-T375,2)</f>
        <v>0.38</v>
      </c>
      <c r="U378" s="30" t="s">
        <v>299</v>
      </c>
    </row>
    <row r="379" spans="2:21" ht="19.5" customHeight="1">
      <c r="B379" s="98"/>
      <c r="C379" s="59">
        <v>2</v>
      </c>
      <c r="D379" s="91"/>
      <c r="E379" s="91"/>
      <c r="S379" s="30" t="s">
        <v>301</v>
      </c>
      <c r="T379" s="30">
        <f>T372/6</f>
        <v>0.5</v>
      </c>
      <c r="U379" s="30" t="s">
        <v>299</v>
      </c>
    </row>
    <row r="380" ht="19.5" customHeight="1">
      <c r="A380" s="30" t="s">
        <v>304</v>
      </c>
    </row>
    <row r="381" spans="2:26" ht="19.5" customHeight="1">
      <c r="B381" s="30" t="s">
        <v>305</v>
      </c>
      <c r="S381" s="30" t="s">
        <v>302</v>
      </c>
      <c r="T381" s="30">
        <f>ABS(T378)</f>
        <v>0.38</v>
      </c>
      <c r="U381" s="30" t="s">
        <v>299</v>
      </c>
      <c r="V381" s="52" t="str">
        <f>IF(T381&lt;X381,"&lt;","&gt;")</f>
        <v>&lt;</v>
      </c>
      <c r="W381" s="30" t="s">
        <v>303</v>
      </c>
      <c r="X381" s="30">
        <f>ROUND(T372/T383,2)</f>
        <v>0.5</v>
      </c>
      <c r="Z381" s="52" t="str">
        <f>IF(T381&lt;X381,"OK","NG")</f>
        <v>OK</v>
      </c>
    </row>
    <row r="382" ht="19.5" customHeight="1">
      <c r="C382" s="30" t="str">
        <f>"ea=B/"&amp;T383&amp;"="&amp;T385&amp;U385&amp;V385&amp;W385&amp;X385</f>
        <v>ea=B/6=0.5m&gt;|e|=0.38m   (OK)</v>
      </c>
    </row>
    <row r="383" spans="19:20" ht="19.5" customHeight="1">
      <c r="S383" s="30" t="str">
        <f>IF(T$41=0,"常時","地震時")</f>
        <v>常時</v>
      </c>
      <c r="T383" s="30">
        <f>IF(T$41=0,6,3)</f>
        <v>6</v>
      </c>
    </row>
    <row r="384" ht="19.5" customHeight="1">
      <c r="A384" s="30" t="s">
        <v>308</v>
      </c>
    </row>
    <row r="385" spans="2:24" ht="19.5" customHeight="1">
      <c r="B385" s="30" t="str">
        <f>"根入れ深さ  "&amp;S388&amp;T388&amp;U388</f>
        <v>根入れ深さ  Df=1.2m</v>
      </c>
      <c r="S385" s="30" t="s">
        <v>306</v>
      </c>
      <c r="T385" s="30">
        <f>ROUND(T372/T383,2)</f>
        <v>0.5</v>
      </c>
      <c r="U385" s="30" t="s">
        <v>307</v>
      </c>
      <c r="V385" s="30" t="str">
        <f>IF(T385&gt;T381,"&gt;","&lt;")</f>
        <v>&gt;</v>
      </c>
      <c r="W385" s="30" t="str">
        <f>S381&amp;T381&amp;U381</f>
        <v>|e|=0.38m</v>
      </c>
      <c r="X385" s="30" t="str">
        <f>IF(T381&lt;T385,"   (OK)","   (NG)")</f>
        <v>   (OK)</v>
      </c>
    </row>
    <row r="386" spans="2:7" ht="19.5" customHeight="1">
      <c r="B386" s="30" t="str">
        <f>"根入れ地盤   "&amp;S389&amp;T389&amp;U389</f>
        <v>根入れ地盤   γ=19kN/m3</v>
      </c>
      <c r="E386" s="30" t="str">
        <f>S394&amp;T394&amp;U394</f>
        <v>φ=30度</v>
      </c>
      <c r="G386" s="30" t="str">
        <f>S390&amp;T390&amp;U390</f>
        <v>c=10kN/m2</v>
      </c>
    </row>
    <row r="387" spans="2:20" ht="19.5" customHeight="1">
      <c r="B387" s="30" t="str">
        <f>"擁壁底面と支持地盤の摩擦係数"&amp;S399&amp;T399</f>
        <v>擁壁底面と支持地盤の摩擦係数μ=0.6</v>
      </c>
      <c r="S387" s="30" t="str">
        <f>IF(T$41=0,"常時","地震時")</f>
        <v>常時</v>
      </c>
      <c r="T387" s="30">
        <f>IF(T$41=0,1.5,1.2)</f>
        <v>1.5</v>
      </c>
    </row>
    <row r="388" spans="2:21" ht="19.5" customHeight="1">
      <c r="B388" s="30" t="s">
        <v>315</v>
      </c>
      <c r="S388" s="30" t="s">
        <v>309</v>
      </c>
      <c r="T388" s="30">
        <f>'入力'!$D$16</f>
        <v>1.2</v>
      </c>
      <c r="U388" s="30" t="s">
        <v>310</v>
      </c>
    </row>
    <row r="389" spans="2:21" ht="19.5" customHeight="1">
      <c r="B389" s="57" t="str">
        <f>"KP=  "</f>
        <v>KP=  </v>
      </c>
      <c r="C389" s="30" t="str">
        <f>"tan(45+φ/2)^2 = tan(45+"&amp;T394&amp;"/2)^2 = "&amp;T395</f>
        <v>tan(45+φ/2)^2 = tan(45+30/2)^2 = 3</v>
      </c>
      <c r="S389" s="30" t="s">
        <v>311</v>
      </c>
      <c r="T389" s="30">
        <f>'入力'!$D$17</f>
        <v>19</v>
      </c>
      <c r="U389" s="30" t="s">
        <v>312</v>
      </c>
    </row>
    <row r="390" spans="2:21" ht="19.5" customHeight="1">
      <c r="B390" s="30" t="s">
        <v>316</v>
      </c>
      <c r="S390" s="30" t="s">
        <v>313</v>
      </c>
      <c r="T390" s="30">
        <f>'入力'!$D$19</f>
        <v>10</v>
      </c>
      <c r="U390" s="30" t="s">
        <v>314</v>
      </c>
    </row>
    <row r="391" spans="2:3" ht="19.5" customHeight="1">
      <c r="B391" s="57" t="str">
        <f>"Pp=  "</f>
        <v>Pp=  </v>
      </c>
      <c r="C391" s="30" t="s">
        <v>317</v>
      </c>
    </row>
    <row r="392" spans="2:3" ht="19.5" customHeight="1">
      <c r="B392" s="57" t="str">
        <f>"=  "</f>
        <v>=  </v>
      </c>
      <c r="C392" s="30" t="str">
        <f>"1/2×"&amp;T389&amp;"×"&amp;T388&amp;"^2×"&amp;T395&amp;"+2×"&amp;T390&amp;"×"&amp;T388&amp;"×"&amp;T395&amp;"^0.5="&amp;T396&amp;U396</f>
        <v>1/2×19×1.2^2×3+2×10×1.2×3^0.5=82.61kN/m</v>
      </c>
    </row>
    <row r="393" ht="19.5" customHeight="1">
      <c r="B393" s="30" t="str">
        <f>"受働土圧の有効係数 "&amp;S398&amp;T398</f>
        <v>受働土圧の有効係数 α=0.5</v>
      </c>
    </row>
    <row r="394" spans="2:23" ht="19.5" customHeight="1">
      <c r="B394" s="30" t="s">
        <v>324</v>
      </c>
      <c r="S394" s="30" t="s">
        <v>318</v>
      </c>
      <c r="T394" s="30">
        <f>'入力'!$D$18</f>
        <v>30</v>
      </c>
      <c r="U394" s="30" t="s">
        <v>319</v>
      </c>
      <c r="V394" s="30">
        <f>ROUND(T394*PI()/180,4)</f>
        <v>0.5236</v>
      </c>
      <c r="W394" s="30" t="s">
        <v>320</v>
      </c>
    </row>
    <row r="395" spans="2:20" ht="19.5" customHeight="1">
      <c r="B395" s="98" t="str">
        <f>"Fs= "</f>
        <v>Fs= </v>
      </c>
      <c r="C395" s="97" t="s">
        <v>325</v>
      </c>
      <c r="D395" s="97"/>
      <c r="S395" s="30" t="s">
        <v>321</v>
      </c>
      <c r="T395" s="30">
        <f>ROUND(TAN((45+T394/2)*PI()/180)^2,3)</f>
        <v>3</v>
      </c>
    </row>
    <row r="396" spans="2:21" ht="19.5" customHeight="1">
      <c r="B396" s="98"/>
      <c r="C396" s="92" t="s">
        <v>327</v>
      </c>
      <c r="D396" s="92"/>
      <c r="S396" s="30" t="s">
        <v>322</v>
      </c>
      <c r="T396" s="30">
        <f>ROUND(0.5*T389*T388^2*T395+2*T390*T388*T395^0.5,2)</f>
        <v>82.61</v>
      </c>
      <c r="U396" s="30" t="s">
        <v>323</v>
      </c>
    </row>
    <row r="397" spans="2:8" ht="19.5" customHeight="1">
      <c r="B397" s="98" t="str">
        <f>"= "</f>
        <v>= </v>
      </c>
      <c r="C397" s="97" t="str">
        <f>T399&amp;"×"&amp;C366&amp;"+"&amp;T398&amp;"×"&amp;T396</f>
        <v>0.6×264.38+0.5×82.61</v>
      </c>
      <c r="D397" s="97"/>
      <c r="E397" s="94"/>
      <c r="F397" s="91" t="str">
        <f>" ="&amp;T401&amp;U401&amp;W401&amp;Y401</f>
        <v> =1.57&gt;1.5   (OK)</v>
      </c>
      <c r="G397" s="91"/>
      <c r="H397" s="91"/>
    </row>
    <row r="398" spans="2:20" ht="19.5" customHeight="1">
      <c r="B398" s="98"/>
      <c r="C398" s="99">
        <f>D366</f>
        <v>127.09</v>
      </c>
      <c r="D398" s="92"/>
      <c r="E398" s="96"/>
      <c r="F398" s="91"/>
      <c r="G398" s="91"/>
      <c r="H398" s="91"/>
      <c r="S398" s="30" t="s">
        <v>326</v>
      </c>
      <c r="T398" s="30">
        <f>'入力'!$D$20</f>
        <v>0.5</v>
      </c>
    </row>
    <row r="399" spans="2:20" ht="19.5" customHeight="1">
      <c r="B399" s="57"/>
      <c r="C399" s="57"/>
      <c r="D399" s="75"/>
      <c r="S399" s="30" t="s">
        <v>328</v>
      </c>
      <c r="T399" s="30">
        <f>'入力'!$D$21</f>
        <v>0.6</v>
      </c>
    </row>
    <row r="400" ht="19.5" customHeight="1">
      <c r="A400" s="30" t="s">
        <v>331</v>
      </c>
    </row>
    <row r="401" spans="2:25" ht="19.5" customHeight="1">
      <c r="B401" s="30" t="str">
        <f>IF(K402=1,K403,K404)</f>
        <v>合力が底面の核内なので地盤反力は台形分布する</v>
      </c>
      <c r="S401" s="30" t="s">
        <v>329</v>
      </c>
      <c r="T401" s="30">
        <f>ROUND((C366*T399+T398*T396)/D366,2)</f>
        <v>1.57</v>
      </c>
      <c r="U401" s="52" t="str">
        <f>IF(T401&lt;W401,"&lt;","&gt;")</f>
        <v>&gt;</v>
      </c>
      <c r="V401" s="30" t="s">
        <v>330</v>
      </c>
      <c r="W401" s="30">
        <f>IF('入力'!$D$12=0,1.5,1.2)</f>
        <v>1.5</v>
      </c>
      <c r="Y401" s="52" t="str">
        <f>IF(T401&lt;W401,"   (NG)","   (OK)")</f>
        <v>   (OK)</v>
      </c>
    </row>
    <row r="402" spans="2:19" ht="19.5" customHeight="1">
      <c r="B402" s="30" t="s">
        <v>336</v>
      </c>
      <c r="K402" s="30">
        <f>IF(T378&lt;=T379,1,2)</f>
        <v>1</v>
      </c>
      <c r="L402" s="30" t="str">
        <f>IF(T378&lt;=T379,"台形分布","三角形分布")</f>
        <v>台形分布</v>
      </c>
      <c r="S402" s="30" t="str">
        <f>S401&amp;T401&amp;U401&amp;W401&amp;Y401</f>
        <v>Fs=1.57&gt;1.5   (OK)</v>
      </c>
    </row>
    <row r="403" spans="2:11" ht="19.5" customHeight="1">
      <c r="B403" s="98" t="str">
        <f>"q1= "</f>
        <v>q1= </v>
      </c>
      <c r="C403" s="97" t="str">
        <f>IF(K402=1,K405,K410)</f>
        <v>∑V(B+6e)</v>
      </c>
      <c r="D403" s="97"/>
      <c r="K403" s="30" t="s">
        <v>332</v>
      </c>
    </row>
    <row r="404" spans="2:21" ht="19.5" customHeight="1">
      <c r="B404" s="98"/>
      <c r="C404" s="92" t="str">
        <f>IF(K402=1,K406,K411)</f>
        <v>B^2</v>
      </c>
      <c r="D404" s="92"/>
      <c r="K404" s="30" t="s">
        <v>333</v>
      </c>
      <c r="S404" s="30" t="s">
        <v>334</v>
      </c>
      <c r="T404" s="30">
        <f>ROUND(C366/T372*(1+6*T378/T372),2)</f>
        <v>155.1</v>
      </c>
      <c r="U404" s="30" t="s">
        <v>335</v>
      </c>
    </row>
    <row r="405" spans="2:12" ht="19.5" customHeight="1">
      <c r="B405" s="98" t="str">
        <f>"= "</f>
        <v>= </v>
      </c>
      <c r="C405" s="97" t="str">
        <f>IF(K402=1,K407,K412)</f>
        <v>264.38×(3+6×0.38)</v>
      </c>
      <c r="D405" s="97"/>
      <c r="E405" s="97"/>
      <c r="F405" s="91" t="str">
        <f>IF(K402=1,N407,M412)</f>
        <v>= 155.1kN/m2</v>
      </c>
      <c r="G405" s="91"/>
      <c r="H405" s="91"/>
      <c r="K405" s="93" t="s">
        <v>337</v>
      </c>
      <c r="L405" s="94"/>
    </row>
    <row r="406" spans="2:12" ht="19.5" customHeight="1">
      <c r="B406" s="91"/>
      <c r="C406" s="92" t="str">
        <f>IF(K402=1,K408,K413)</f>
        <v>3^2</v>
      </c>
      <c r="D406" s="92"/>
      <c r="E406" s="92"/>
      <c r="F406" s="91"/>
      <c r="G406" s="91"/>
      <c r="H406" s="91"/>
      <c r="K406" s="95" t="s">
        <v>338</v>
      </c>
      <c r="L406" s="96"/>
    </row>
    <row r="407" spans="11:16" ht="19.5" customHeight="1">
      <c r="K407" s="97" t="str">
        <f>C366&amp;"×("&amp;T372&amp;"+6×"&amp;T378&amp;")"</f>
        <v>264.38×(3+6×0.38)</v>
      </c>
      <c r="L407" s="94"/>
      <c r="M407" s="94"/>
      <c r="N407" s="91" t="str">
        <f>"= "&amp;T404&amp;U404</f>
        <v>= 155.1kN/m2</v>
      </c>
      <c r="O407" s="91"/>
      <c r="P407" s="91"/>
    </row>
    <row r="408" spans="2:19" ht="19.5" customHeight="1">
      <c r="B408" s="30" t="s">
        <v>342</v>
      </c>
      <c r="K408" s="92" t="str">
        <f>T372&amp;"^2"</f>
        <v>3^2</v>
      </c>
      <c r="L408" s="92"/>
      <c r="M408" s="92"/>
      <c r="N408" s="91"/>
      <c r="O408" s="91"/>
      <c r="P408" s="91"/>
      <c r="S408" s="30" t="str">
        <f>"q1="&amp;C$365&amp;"/"&amp;T$387&amp;"×(1+6×"&amp;T$396&amp;"/"&amp;$T372&amp;")="&amp;T404&amp;U404</f>
        <v>q1=30.43/1.5×(1+6×82.61/3)=155.1kN/m2</v>
      </c>
    </row>
    <row r="409" spans="2:4" ht="19.5" customHeight="1">
      <c r="B409" s="98" t="str">
        <f>IF(K402=1,"q2= ","q2=0")</f>
        <v>q2= </v>
      </c>
      <c r="C409" s="97" t="str">
        <f>IF(K402=1,K415,"")</f>
        <v>∑V(B-6e)</v>
      </c>
      <c r="D409" s="97"/>
    </row>
    <row r="410" spans="2:21" ht="19.5" customHeight="1">
      <c r="B410" s="98"/>
      <c r="C410" s="92" t="str">
        <f>IF(K402=1,K416," ")</f>
        <v>B^2</v>
      </c>
      <c r="D410" s="92"/>
      <c r="K410" s="71" t="s">
        <v>339</v>
      </c>
      <c r="S410" s="30" t="s">
        <v>340</v>
      </c>
      <c r="T410" s="30">
        <f>ROUND(C366/T372*(1-6*T378/T372),2)</f>
        <v>21.15</v>
      </c>
      <c r="U410" s="30" t="s">
        <v>341</v>
      </c>
    </row>
    <row r="411" spans="2:11" ht="19.5" customHeight="1">
      <c r="B411" s="98" t="str">
        <f>"= "</f>
        <v>= </v>
      </c>
      <c r="C411" s="97" t="str">
        <f>IF(K402=1,K417,"")</f>
        <v>264.38×(3-6×0.38)</v>
      </c>
      <c r="D411" s="97"/>
      <c r="E411" s="97"/>
      <c r="F411" s="91" t="str">
        <f>IF(K402=1,N416,"")</f>
        <v>= 21.15kN/m2</v>
      </c>
      <c r="G411" s="91"/>
      <c r="H411" s="91"/>
      <c r="K411" s="72" t="s">
        <v>343</v>
      </c>
    </row>
    <row r="412" spans="2:17" ht="19.5" customHeight="1">
      <c r="B412" s="91"/>
      <c r="C412" s="92" t="str">
        <f>IF(K402=1,K418,"")</f>
        <v>3^2</v>
      </c>
      <c r="D412" s="92"/>
      <c r="E412" s="92"/>
      <c r="F412" s="91"/>
      <c r="G412" s="91"/>
      <c r="H412" s="91"/>
      <c r="K412" s="94" t="str">
        <f>"2×"&amp;C366</f>
        <v>2×264.38</v>
      </c>
      <c r="L412" s="94"/>
      <c r="M412" s="91" t="str">
        <f>"="&amp;P412&amp;Q412</f>
        <v>=157.4kN/m2</v>
      </c>
      <c r="N412" s="91"/>
      <c r="O412" s="91"/>
      <c r="P412" s="30">
        <f>ROUND(2*C366/3/T375,1)</f>
        <v>157.4</v>
      </c>
      <c r="Q412" s="30" t="s">
        <v>180</v>
      </c>
    </row>
    <row r="413" spans="11:19" ht="19.5" customHeight="1">
      <c r="K413" s="96" t="str">
        <f>"3×"&amp;T375</f>
        <v>3×1.12</v>
      </c>
      <c r="L413" s="96"/>
      <c r="M413" s="91"/>
      <c r="N413" s="91"/>
      <c r="O413" s="91"/>
      <c r="S413" s="30" t="str">
        <f>"q2="&amp;C$365&amp;"/"&amp;T$387&amp;"×(1-6×"&amp;T$396&amp;"/"&amp;$S376&amp;")="&amp;T410&amp;U410</f>
        <v>q2=30.43/1.5×(1-6×82.61/)=21.15kN/m2</v>
      </c>
    </row>
    <row r="414" ht="19.5" customHeight="1">
      <c r="B414" s="30" t="s">
        <v>347</v>
      </c>
    </row>
    <row r="415" spans="3:12" ht="19.5" customHeight="1">
      <c r="C415" s="30" t="str">
        <f>IF(K402=1,K420,K421)</f>
        <v>qmax=155.1kN/m2&lt;qa=600kN/m2   (OK)</v>
      </c>
      <c r="K415" s="93" t="s">
        <v>344</v>
      </c>
      <c r="L415" s="94"/>
    </row>
    <row r="416" spans="11:25" ht="19.5" customHeight="1">
      <c r="K416" s="95" t="s">
        <v>345</v>
      </c>
      <c r="L416" s="96"/>
      <c r="N416" s="91" t="str">
        <f>"= "&amp;T410&amp;U410</f>
        <v>= 21.15kN/m2</v>
      </c>
      <c r="O416" s="91"/>
      <c r="P416" s="91"/>
      <c r="S416" s="30" t="s">
        <v>346</v>
      </c>
      <c r="T416" s="30">
        <f>MAX(T404,T410)</f>
        <v>155.1</v>
      </c>
      <c r="U416" s="30" t="s">
        <v>180</v>
      </c>
      <c r="V416" s="30" t="str">
        <f>IF(T416&lt;T417,"&lt;","&gt;")</f>
        <v>&lt;</v>
      </c>
      <c r="W416" s="30" t="str">
        <f>S417&amp;T417&amp;U417</f>
        <v>qa=600kN/m2</v>
      </c>
      <c r="Y416" s="52" t="str">
        <f>IF(T416&gt;T417,"   (NG)","   (OK)")</f>
        <v>   (OK)</v>
      </c>
    </row>
    <row r="417" spans="11:21" ht="19.5" customHeight="1">
      <c r="K417" s="97" t="str">
        <f>C366&amp;"×("&amp;T372&amp;"-6×"&amp;T378&amp;")"</f>
        <v>264.38×(3-6×0.38)</v>
      </c>
      <c r="L417" s="94"/>
      <c r="M417" s="94"/>
      <c r="N417" s="91"/>
      <c r="O417" s="91"/>
      <c r="P417" s="91"/>
      <c r="S417" s="30" t="s">
        <v>348</v>
      </c>
      <c r="T417" s="30">
        <f>'入力'!$D$22</f>
        <v>600</v>
      </c>
      <c r="U417" s="30" t="s">
        <v>341</v>
      </c>
    </row>
    <row r="418" spans="11:13" ht="19.5" customHeight="1">
      <c r="K418" s="92" t="str">
        <f>T372&amp;"^2"</f>
        <v>3^2</v>
      </c>
      <c r="L418" s="92"/>
      <c r="M418" s="92"/>
    </row>
    <row r="419" ht="19.5" customHeight="1">
      <c r="S419" s="30" t="s">
        <v>349</v>
      </c>
    </row>
    <row r="420" ht="19.5" customHeight="1">
      <c r="K420" s="30" t="str">
        <f>"qmax="&amp;T416&amp;U416&amp;V416&amp;W416&amp;Y416</f>
        <v>qmax=155.1kN/m2&lt;qa=600kN/m2   (OK)</v>
      </c>
    </row>
    <row r="421" spans="11:25" ht="19.5" customHeight="1">
      <c r="K421" s="30" t="str">
        <f>"qmax="&amp;T421&amp;U421&amp;V421&amp;W421&amp;Y421</f>
        <v>qmax=157.4kN/m2&lt;qa=600kN/m2   (OK)</v>
      </c>
      <c r="S421" s="30" t="s">
        <v>350</v>
      </c>
      <c r="T421" s="30">
        <f>P412</f>
        <v>157.4</v>
      </c>
      <c r="U421" s="30" t="s">
        <v>341</v>
      </c>
      <c r="V421" s="30" t="str">
        <f>IF(T421&lt;T417,"&lt;","&gt;")</f>
        <v>&lt;</v>
      </c>
      <c r="W421" s="30" t="str">
        <f>W416</f>
        <v>qa=600kN/m2</v>
      </c>
      <c r="Y421" s="52" t="str">
        <f>IF(T421&gt;T417,"   (NG)","   (OK)")</f>
        <v>   (OK)</v>
      </c>
    </row>
  </sheetData>
  <mergeCells count="77">
    <mergeCell ref="B331:B332"/>
    <mergeCell ref="C331:D331"/>
    <mergeCell ref="E331:F332"/>
    <mergeCell ref="C332:D332"/>
    <mergeCell ref="H204:I205"/>
    <mergeCell ref="F207:G208"/>
    <mergeCell ref="E210:F211"/>
    <mergeCell ref="F187:G188"/>
    <mergeCell ref="E190:F191"/>
    <mergeCell ref="F199:G200"/>
    <mergeCell ref="G201:H202"/>
    <mergeCell ref="G192:G193"/>
    <mergeCell ref="H192:H193"/>
    <mergeCell ref="F215:F216"/>
    <mergeCell ref="G257:H258"/>
    <mergeCell ref="F260:G261"/>
    <mergeCell ref="B329:B330"/>
    <mergeCell ref="C329:D329"/>
    <mergeCell ref="C330:D330"/>
    <mergeCell ref="F217:F218"/>
    <mergeCell ref="B333:B334"/>
    <mergeCell ref="D333:D334"/>
    <mergeCell ref="B335:B336"/>
    <mergeCell ref="D335:E336"/>
    <mergeCell ref="B338:B339"/>
    <mergeCell ref="C338:D338"/>
    <mergeCell ref="C339:D339"/>
    <mergeCell ref="B340:B341"/>
    <mergeCell ref="C340:E340"/>
    <mergeCell ref="F340:G341"/>
    <mergeCell ref="C341:E341"/>
    <mergeCell ref="B359:B360"/>
    <mergeCell ref="B371:B372"/>
    <mergeCell ref="C371:D371"/>
    <mergeCell ref="C372:D372"/>
    <mergeCell ref="B373:B374"/>
    <mergeCell ref="C373:D373"/>
    <mergeCell ref="E373:E374"/>
    <mergeCell ref="C374:D374"/>
    <mergeCell ref="B376:B377"/>
    <mergeCell ref="D376:D377"/>
    <mergeCell ref="B378:B379"/>
    <mergeCell ref="D378:E379"/>
    <mergeCell ref="B395:B396"/>
    <mergeCell ref="C395:D395"/>
    <mergeCell ref="C396:D396"/>
    <mergeCell ref="B397:B398"/>
    <mergeCell ref="C397:E397"/>
    <mergeCell ref="F397:H398"/>
    <mergeCell ref="C398:E398"/>
    <mergeCell ref="K405:L405"/>
    <mergeCell ref="B403:B404"/>
    <mergeCell ref="C403:D403"/>
    <mergeCell ref="B405:B406"/>
    <mergeCell ref="K406:L406"/>
    <mergeCell ref="C404:D404"/>
    <mergeCell ref="K407:M407"/>
    <mergeCell ref="N407:P408"/>
    <mergeCell ref="C405:E405"/>
    <mergeCell ref="F405:H406"/>
    <mergeCell ref="K408:M408"/>
    <mergeCell ref="C406:E406"/>
    <mergeCell ref="B409:B410"/>
    <mergeCell ref="C409:D409"/>
    <mergeCell ref="K412:L412"/>
    <mergeCell ref="M412:O413"/>
    <mergeCell ref="C410:D410"/>
    <mergeCell ref="K413:L413"/>
    <mergeCell ref="B411:B412"/>
    <mergeCell ref="C411:E411"/>
    <mergeCell ref="F411:H412"/>
    <mergeCell ref="C412:E412"/>
    <mergeCell ref="K418:M418"/>
    <mergeCell ref="K415:L415"/>
    <mergeCell ref="K416:L416"/>
    <mergeCell ref="N416:P417"/>
    <mergeCell ref="K417:M4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4" manualBreakCount="14">
    <brk id="35" max="8" man="1"/>
    <brk id="69" max="8" man="1"/>
    <brk id="87" max="8" man="1"/>
    <brk id="117" max="8" man="1"/>
    <brk id="147" max="8" man="1"/>
    <brk id="159" max="8" man="1"/>
    <brk id="195" max="255" man="1"/>
    <brk id="232" max="8" man="1"/>
    <brk id="258" max="8" man="1"/>
    <brk id="295" max="255" man="1"/>
    <brk id="332" max="8" man="1"/>
    <brk id="343" max="8" man="1"/>
    <brk id="379" max="8" man="1"/>
    <brk id="39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1"/>
  <sheetViews>
    <sheetView workbookViewId="0" topLeftCell="D10">
      <selection activeCell="F44" sqref="F44"/>
    </sheetView>
  </sheetViews>
  <sheetFormatPr defaultColWidth="9.00390625" defaultRowHeight="13.5"/>
  <sheetData>
    <row r="1" spans="2:5" ht="13.5">
      <c r="B1" t="s">
        <v>13</v>
      </c>
      <c r="C1" t="s">
        <v>46</v>
      </c>
      <c r="D1">
        <f>'入力'!D11</f>
        <v>10</v>
      </c>
      <c r="E1" t="s">
        <v>47</v>
      </c>
    </row>
    <row r="2" spans="2:5" ht="13.5">
      <c r="B2" t="s">
        <v>21</v>
      </c>
      <c r="C2" t="s">
        <v>22</v>
      </c>
      <c r="D2">
        <f>'入力'!D13</f>
        <v>20</v>
      </c>
      <c r="E2" t="s">
        <v>25</v>
      </c>
    </row>
    <row r="3" spans="3:19" ht="13.5">
      <c r="C3" t="s">
        <v>23</v>
      </c>
      <c r="D3">
        <f>'入力'!D14</f>
        <v>35</v>
      </c>
      <c r="E3" t="s">
        <v>24</v>
      </c>
      <c r="F3">
        <f>D3/180*PI()</f>
        <v>0.6108652381980153</v>
      </c>
      <c r="G3" t="s">
        <v>26</v>
      </c>
      <c r="Q3" t="s">
        <v>136</v>
      </c>
      <c r="R3">
        <v>100</v>
      </c>
      <c r="S3">
        <v>100</v>
      </c>
    </row>
    <row r="4" spans="3:7" ht="13.5">
      <c r="C4" t="s">
        <v>33</v>
      </c>
      <c r="D4">
        <f>D3*2/3</f>
        <v>23.333333333333332</v>
      </c>
      <c r="E4" t="s">
        <v>24</v>
      </c>
      <c r="F4">
        <f>D4/180*PI()</f>
        <v>0.4072434921320102</v>
      </c>
      <c r="G4" t="s">
        <v>26</v>
      </c>
    </row>
    <row r="5" spans="2:20" ht="13.5">
      <c r="B5" t="s">
        <v>0</v>
      </c>
      <c r="H5" s="76"/>
      <c r="I5" s="77" t="s">
        <v>9</v>
      </c>
      <c r="J5" s="77" t="s">
        <v>11</v>
      </c>
      <c r="K5" s="77" t="s">
        <v>10</v>
      </c>
      <c r="L5" s="77" t="s">
        <v>12</v>
      </c>
      <c r="M5" s="77" t="s">
        <v>13</v>
      </c>
      <c r="N5" s="77" t="s">
        <v>55</v>
      </c>
      <c r="O5" s="77" t="s">
        <v>56</v>
      </c>
      <c r="P5" s="77" t="s">
        <v>57</v>
      </c>
      <c r="Q5" s="77" t="s">
        <v>58</v>
      </c>
      <c r="R5" s="77" t="s">
        <v>135</v>
      </c>
      <c r="S5" s="77" t="s">
        <v>84</v>
      </c>
      <c r="T5" s="78" t="s">
        <v>383</v>
      </c>
    </row>
    <row r="6" spans="2:20" ht="13.5">
      <c r="B6" t="s">
        <v>1</v>
      </c>
      <c r="C6" t="s">
        <v>129</v>
      </c>
      <c r="D6">
        <f>'入力'!D2</f>
        <v>5</v>
      </c>
      <c r="H6" s="79">
        <v>0</v>
      </c>
      <c r="I6" s="20">
        <v>0</v>
      </c>
      <c r="J6" s="20">
        <v>0</v>
      </c>
      <c r="K6" s="20"/>
      <c r="L6" s="20"/>
      <c r="M6" s="20"/>
      <c r="N6" s="20"/>
      <c r="O6" s="20"/>
      <c r="P6" s="20"/>
      <c r="Q6" s="20"/>
      <c r="R6" s="20"/>
      <c r="S6" s="20"/>
      <c r="T6" s="80"/>
    </row>
    <row r="7" spans="2:20" ht="13.5">
      <c r="B7" t="s">
        <v>2</v>
      </c>
      <c r="C7" t="s">
        <v>130</v>
      </c>
      <c r="D7">
        <f>'入力'!D3</f>
        <v>0.5</v>
      </c>
      <c r="H7" s="79">
        <v>1</v>
      </c>
      <c r="I7" s="20">
        <v>0</v>
      </c>
      <c r="J7" s="20">
        <f>D12</f>
        <v>1</v>
      </c>
      <c r="K7" s="20"/>
      <c r="L7" s="20"/>
      <c r="M7" s="20"/>
      <c r="N7" s="20"/>
      <c r="O7" s="20"/>
      <c r="P7" s="20"/>
      <c r="Q7" s="20"/>
      <c r="R7" s="20"/>
      <c r="S7" s="20"/>
      <c r="T7" s="80"/>
    </row>
    <row r="8" spans="2:20" ht="13.5">
      <c r="B8" t="s">
        <v>3</v>
      </c>
      <c r="C8" t="s">
        <v>131</v>
      </c>
      <c r="D8">
        <f>'入力'!D4</f>
        <v>0.5</v>
      </c>
      <c r="H8" s="79">
        <v>2</v>
      </c>
      <c r="I8" s="20">
        <f>D13</f>
        <v>0.5</v>
      </c>
      <c r="J8" s="20">
        <f>J7</f>
        <v>1</v>
      </c>
      <c r="K8" s="20"/>
      <c r="L8" s="20"/>
      <c r="M8" s="20"/>
      <c r="N8" s="20"/>
      <c r="O8" s="20"/>
      <c r="P8" s="20"/>
      <c r="Q8" s="20"/>
      <c r="R8" s="20"/>
      <c r="S8" s="20"/>
      <c r="T8" s="80"/>
    </row>
    <row r="9" spans="1:20" ht="13.5">
      <c r="A9" t="s">
        <v>4</v>
      </c>
      <c r="H9" s="79">
        <v>3</v>
      </c>
      <c r="I9" s="20">
        <f>(J9-J8)*D15+I8</f>
        <v>1.25</v>
      </c>
      <c r="J9" s="20">
        <f>D10</f>
        <v>2.5</v>
      </c>
      <c r="K9" s="20"/>
      <c r="L9" s="20"/>
      <c r="M9" s="20"/>
      <c r="N9" s="20"/>
      <c r="O9" s="20"/>
      <c r="P9" s="20"/>
      <c r="Q9" s="20"/>
      <c r="R9" s="20"/>
      <c r="S9" s="20"/>
      <c r="T9" s="80"/>
    </row>
    <row r="10" spans="2:20" ht="13.5">
      <c r="B10" t="s">
        <v>5</v>
      </c>
      <c r="C10" t="s">
        <v>98</v>
      </c>
      <c r="D10">
        <f>'入力'!D5</f>
        <v>2.5</v>
      </c>
      <c r="H10" s="79">
        <v>4</v>
      </c>
      <c r="I10" s="20">
        <f>I9+D11</f>
        <v>1.45</v>
      </c>
      <c r="J10" s="20">
        <f>J9</f>
        <v>2.5</v>
      </c>
      <c r="K10" s="20"/>
      <c r="L10" s="20"/>
      <c r="M10" s="20"/>
      <c r="N10" s="20"/>
      <c r="O10" s="20"/>
      <c r="P10" s="20"/>
      <c r="Q10" s="20"/>
      <c r="R10" s="20"/>
      <c r="S10" s="20"/>
      <c r="T10" s="80"/>
    </row>
    <row r="11" spans="2:20" ht="13.5">
      <c r="B11" t="s">
        <v>8</v>
      </c>
      <c r="C11" t="s">
        <v>132</v>
      </c>
      <c r="D11">
        <f>'入力'!D6</f>
        <v>0.2</v>
      </c>
      <c r="H11" s="79">
        <v>7</v>
      </c>
      <c r="I11" s="20">
        <f>D7*COS('入力'!Z5)+I10</f>
        <v>1.8972135954999578</v>
      </c>
      <c r="J11" s="20">
        <f>J10-D7*SIN('入力'!Z5)</f>
        <v>2.276393202250021</v>
      </c>
      <c r="K11" s="20"/>
      <c r="L11" s="20"/>
      <c r="M11" s="20"/>
      <c r="N11" s="20"/>
      <c r="O11" s="20"/>
      <c r="P11" s="20"/>
      <c r="Q11" s="20"/>
      <c r="R11" s="20"/>
      <c r="S11" s="20"/>
      <c r="T11" s="80"/>
    </row>
    <row r="12" spans="2:20" ht="13.5">
      <c r="B12" t="s">
        <v>6</v>
      </c>
      <c r="C12" t="s">
        <v>127</v>
      </c>
      <c r="D12">
        <f>'入力'!D7</f>
        <v>1</v>
      </c>
      <c r="H12" s="79">
        <v>8</v>
      </c>
      <c r="I12" s="20">
        <f>D14</f>
        <v>3</v>
      </c>
      <c r="J12" s="20">
        <f>J11</f>
        <v>2.276393202250021</v>
      </c>
      <c r="K12" s="20"/>
      <c r="L12" s="20"/>
      <c r="M12" s="20"/>
      <c r="N12" s="20"/>
      <c r="O12" s="20"/>
      <c r="P12" s="20"/>
      <c r="Q12" s="20"/>
      <c r="R12" s="20"/>
      <c r="S12" s="20"/>
      <c r="T12" s="80"/>
    </row>
    <row r="13" spans="2:20" ht="13.5">
      <c r="B13" t="s">
        <v>14</v>
      </c>
      <c r="C13" t="s">
        <v>128</v>
      </c>
      <c r="D13">
        <f>'入力'!D8</f>
        <v>0.5</v>
      </c>
      <c r="H13" s="79">
        <v>9</v>
      </c>
      <c r="I13" s="20">
        <f>I12</f>
        <v>3</v>
      </c>
      <c r="J13" s="20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80"/>
    </row>
    <row r="14" spans="2:20" ht="13.5">
      <c r="B14" t="s">
        <v>7</v>
      </c>
      <c r="C14" t="s">
        <v>82</v>
      </c>
      <c r="D14">
        <f>'入力'!D9</f>
        <v>3</v>
      </c>
      <c r="H14" s="79">
        <v>0</v>
      </c>
      <c r="I14" s="20">
        <v>0</v>
      </c>
      <c r="J14" s="20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80"/>
    </row>
    <row r="15" spans="3:20" ht="13.5">
      <c r="C15" t="s">
        <v>134</v>
      </c>
      <c r="D15">
        <f>'入力'!D10</f>
        <v>0.5</v>
      </c>
      <c r="H15" s="79">
        <v>4</v>
      </c>
      <c r="I15" s="20">
        <f>I10</f>
        <v>1.45</v>
      </c>
      <c r="J15" s="20"/>
      <c r="K15" s="20">
        <f>J10</f>
        <v>2.5</v>
      </c>
      <c r="L15" s="20"/>
      <c r="M15" s="20"/>
      <c r="N15" s="20"/>
      <c r="O15" s="20"/>
      <c r="P15" s="20"/>
      <c r="Q15" s="20"/>
      <c r="R15" s="20"/>
      <c r="S15" s="20"/>
      <c r="T15" s="80"/>
    </row>
    <row r="16" spans="2:20" ht="13.5">
      <c r="B16" t="s">
        <v>83</v>
      </c>
      <c r="C16" t="s">
        <v>133</v>
      </c>
      <c r="D16">
        <f>'入力'!D21</f>
        <v>0.6</v>
      </c>
      <c r="H16" s="79">
        <v>5</v>
      </c>
      <c r="I16" s="20">
        <f>I15+D6*D8</f>
        <v>3.95</v>
      </c>
      <c r="J16" s="20"/>
      <c r="K16" s="20">
        <f>K15+D6</f>
        <v>7.5</v>
      </c>
      <c r="L16" s="20"/>
      <c r="M16" s="20"/>
      <c r="N16" s="20"/>
      <c r="O16" s="20"/>
      <c r="P16" s="20"/>
      <c r="Q16" s="20"/>
      <c r="R16" s="20"/>
      <c r="S16" s="20"/>
      <c r="T16" s="80"/>
    </row>
    <row r="17" spans="8:20" ht="13.5">
      <c r="H17" s="79">
        <v>6</v>
      </c>
      <c r="I17" s="20">
        <f>I16+D7/COS('入力'!Z5)</f>
        <v>4.509016994374948</v>
      </c>
      <c r="J17" s="20"/>
      <c r="K17" s="20">
        <f>K16</f>
        <v>7.5</v>
      </c>
      <c r="L17" s="20"/>
      <c r="M17" s="20"/>
      <c r="N17" s="20"/>
      <c r="O17" s="20"/>
      <c r="P17" s="20"/>
      <c r="Q17" s="20"/>
      <c r="R17" s="20"/>
      <c r="S17" s="20"/>
      <c r="T17" s="80"/>
    </row>
    <row r="18" spans="8:20" ht="13.5">
      <c r="H18" s="79">
        <v>7</v>
      </c>
      <c r="I18" s="20">
        <f>I11</f>
        <v>1.8972135954999578</v>
      </c>
      <c r="J18" s="20"/>
      <c r="K18" s="20">
        <f>J11</f>
        <v>2.276393202250021</v>
      </c>
      <c r="L18" s="20"/>
      <c r="M18" s="20"/>
      <c r="N18" s="20"/>
      <c r="O18" s="20"/>
      <c r="P18" s="20"/>
      <c r="Q18" s="20"/>
      <c r="R18" s="20"/>
      <c r="S18" s="20"/>
      <c r="T18" s="80"/>
    </row>
    <row r="19" spans="8:20" ht="13.5">
      <c r="H19" s="79">
        <v>4</v>
      </c>
      <c r="I19" s="20">
        <f>I15</f>
        <v>1.45</v>
      </c>
      <c r="J19" s="20"/>
      <c r="K19" s="20">
        <f>K15</f>
        <v>2.5</v>
      </c>
      <c r="L19" s="20"/>
      <c r="M19" s="20"/>
      <c r="N19" s="20"/>
      <c r="O19" s="20"/>
      <c r="P19" s="20"/>
      <c r="Q19" s="20"/>
      <c r="R19" s="20"/>
      <c r="S19" s="20"/>
      <c r="T19" s="80"/>
    </row>
    <row r="20" spans="8:20" ht="13.5">
      <c r="H20" s="79"/>
      <c r="I20" s="20">
        <f>I17</f>
        <v>4.509016994374948</v>
      </c>
      <c r="J20" s="20"/>
      <c r="K20" s="20"/>
      <c r="L20" s="20">
        <f>K17</f>
        <v>7.5</v>
      </c>
      <c r="M20" s="20"/>
      <c r="N20" s="20"/>
      <c r="O20" s="20"/>
      <c r="P20" s="20"/>
      <c r="Q20" s="20"/>
      <c r="R20" s="20"/>
      <c r="S20" s="20"/>
      <c r="T20" s="80"/>
    </row>
    <row r="21" spans="8:20" ht="13.5">
      <c r="H21" s="79"/>
      <c r="I21" s="20">
        <f>I30+1</f>
        <v>8.87055694898133</v>
      </c>
      <c r="J21" s="20"/>
      <c r="K21" s="20"/>
      <c r="L21" s="20">
        <f>L20</f>
        <v>7.5</v>
      </c>
      <c r="M21" s="20"/>
      <c r="N21" s="20"/>
      <c r="O21" s="20"/>
      <c r="P21" s="20"/>
      <c r="Q21" s="20"/>
      <c r="R21" s="20"/>
      <c r="S21" s="20"/>
      <c r="T21" s="80"/>
    </row>
    <row r="22" spans="8:20" ht="13.5">
      <c r="H22" s="79"/>
      <c r="I22" s="20">
        <f>I20</f>
        <v>4.509016994374948</v>
      </c>
      <c r="J22" s="20"/>
      <c r="K22" s="20"/>
      <c r="L22" s="20"/>
      <c r="M22" s="20">
        <f>L20</f>
        <v>7.5</v>
      </c>
      <c r="N22" s="20"/>
      <c r="O22" s="20"/>
      <c r="P22" s="20"/>
      <c r="Q22" s="20"/>
      <c r="R22" s="20"/>
      <c r="S22" s="20"/>
      <c r="T22" s="80"/>
    </row>
    <row r="23" spans="8:20" ht="13.5">
      <c r="H23" s="79"/>
      <c r="I23" s="20">
        <f>I22</f>
        <v>4.509016994374948</v>
      </c>
      <c r="J23" s="20"/>
      <c r="K23" s="20"/>
      <c r="L23" s="20"/>
      <c r="M23" s="20">
        <f>M22+D1/D2</f>
        <v>8</v>
      </c>
      <c r="N23" s="20"/>
      <c r="O23" s="20"/>
      <c r="P23" s="20"/>
      <c r="Q23" s="20"/>
      <c r="R23" s="20"/>
      <c r="S23" s="20"/>
      <c r="T23" s="80"/>
    </row>
    <row r="24" spans="8:20" ht="13.5">
      <c r="H24" s="79"/>
      <c r="I24" s="20">
        <f>I21</f>
        <v>8.87055694898133</v>
      </c>
      <c r="J24" s="20"/>
      <c r="K24" s="20"/>
      <c r="L24" s="20"/>
      <c r="M24" s="20">
        <f>M23</f>
        <v>8</v>
      </c>
      <c r="N24" s="20"/>
      <c r="O24" s="20"/>
      <c r="P24" s="20"/>
      <c r="Q24" s="20"/>
      <c r="R24" s="20"/>
      <c r="S24" s="20"/>
      <c r="T24" s="80"/>
    </row>
    <row r="25" spans="8:20" ht="13.5">
      <c r="H25" s="79"/>
      <c r="I25" s="20">
        <f>I12</f>
        <v>3</v>
      </c>
      <c r="J25" s="20"/>
      <c r="K25" s="20"/>
      <c r="L25" s="20"/>
      <c r="M25" s="20"/>
      <c r="N25" s="20">
        <f>J12</f>
        <v>2.276393202250021</v>
      </c>
      <c r="O25" s="20"/>
      <c r="P25" s="20"/>
      <c r="Q25" s="20"/>
      <c r="R25" s="20"/>
      <c r="S25" s="20"/>
      <c r="T25" s="80"/>
    </row>
    <row r="26" spans="8:20" ht="13.5">
      <c r="H26" s="79"/>
      <c r="I26" s="20">
        <f>I25+'入力'!Z2/TAN('入力'!AB7)</f>
        <v>7.088675465715842</v>
      </c>
      <c r="J26" s="20"/>
      <c r="K26" s="20"/>
      <c r="L26" s="20"/>
      <c r="M26" s="20"/>
      <c r="N26" s="20">
        <f>K16</f>
        <v>7.5</v>
      </c>
      <c r="O26" s="20"/>
      <c r="P26" s="20"/>
      <c r="Q26" s="20"/>
      <c r="R26" s="20"/>
      <c r="S26" s="20"/>
      <c r="T26" s="80"/>
    </row>
    <row r="27" spans="8:20" ht="13.5">
      <c r="H27" s="79"/>
      <c r="I27" s="20">
        <f>I25</f>
        <v>3</v>
      </c>
      <c r="J27" s="20"/>
      <c r="K27" s="20"/>
      <c r="L27" s="20"/>
      <c r="M27" s="20"/>
      <c r="N27" s="20"/>
      <c r="O27" s="20">
        <f>N25</f>
        <v>2.276393202250021</v>
      </c>
      <c r="P27" s="20"/>
      <c r="Q27" s="20"/>
      <c r="R27" s="20"/>
      <c r="S27" s="20"/>
      <c r="T27" s="80"/>
    </row>
    <row r="28" spans="8:20" ht="13.5">
      <c r="H28" s="79"/>
      <c r="I28" s="20">
        <f>I27-COS('入力'!Z5)/COS('入力'!AB8-'入力'!Z5)*(I12-I11)*COS('入力'!AB8)</f>
        <v>2.443404087801226</v>
      </c>
      <c r="J28" s="20"/>
      <c r="K28" s="20"/>
      <c r="L28" s="20"/>
      <c r="M28" s="20"/>
      <c r="N28" s="20"/>
      <c r="O28" s="20">
        <f>O27+COS('入力'!Z5)/COS('入力'!AB8-'入力'!Z5)*(I12-I11)*SIN('入力'!AB8)</f>
        <v>3.3687741868525567</v>
      </c>
      <c r="P28" s="20"/>
      <c r="Q28" s="20"/>
      <c r="R28" s="20"/>
      <c r="S28" s="20"/>
      <c r="T28" s="80"/>
    </row>
    <row r="29" spans="8:20" ht="13.5">
      <c r="H29" s="79"/>
      <c r="I29" s="20">
        <f>I13</f>
        <v>3</v>
      </c>
      <c r="J29" s="20"/>
      <c r="K29" s="20"/>
      <c r="L29" s="20"/>
      <c r="M29" s="20"/>
      <c r="N29" s="20"/>
      <c r="O29" s="20"/>
      <c r="P29" s="20">
        <v>0</v>
      </c>
      <c r="Q29" s="20"/>
      <c r="R29" s="20"/>
      <c r="S29" s="20"/>
      <c r="T29" s="80"/>
    </row>
    <row r="30" spans="8:20" ht="13.5">
      <c r="H30" s="79"/>
      <c r="I30" s="20">
        <f>I29+C53/TAN(C97)</f>
        <v>7.87055694898133</v>
      </c>
      <c r="J30" s="20"/>
      <c r="K30" s="20"/>
      <c r="L30" s="20"/>
      <c r="M30" s="20"/>
      <c r="N30" s="20"/>
      <c r="O30" s="20"/>
      <c r="P30" s="20">
        <f>K16</f>
        <v>7.5</v>
      </c>
      <c r="Q30" s="20"/>
      <c r="R30" s="20"/>
      <c r="S30" s="20"/>
      <c r="T30" s="80"/>
    </row>
    <row r="31" spans="8:20" ht="13.5">
      <c r="H31" s="79"/>
      <c r="I31" s="20">
        <f>I25</f>
        <v>3</v>
      </c>
      <c r="J31" s="20"/>
      <c r="K31" s="20"/>
      <c r="L31" s="20"/>
      <c r="M31" s="20"/>
      <c r="N31" s="20"/>
      <c r="O31" s="20"/>
      <c r="P31" s="20"/>
      <c r="Q31" s="20">
        <f>N25</f>
        <v>2.276393202250021</v>
      </c>
      <c r="R31" s="20"/>
      <c r="S31" s="20"/>
      <c r="T31" s="80"/>
    </row>
    <row r="32" spans="8:20" ht="13.5">
      <c r="H32" s="79"/>
      <c r="I32" s="20">
        <f>I17</f>
        <v>4.509016994374948</v>
      </c>
      <c r="J32" s="20"/>
      <c r="K32" s="20"/>
      <c r="L32" s="20"/>
      <c r="M32" s="20"/>
      <c r="N32" s="20"/>
      <c r="O32" s="20"/>
      <c r="P32" s="20"/>
      <c r="Q32" s="20">
        <f>P30</f>
        <v>7.5</v>
      </c>
      <c r="R32" s="20"/>
      <c r="S32" s="20"/>
      <c r="T32" s="80"/>
    </row>
    <row r="33" spans="8:20" ht="13.5">
      <c r="H33" s="79"/>
      <c r="I33" s="20">
        <f>'出力'!T375</f>
        <v>1.12</v>
      </c>
      <c r="J33" s="20"/>
      <c r="K33" s="20"/>
      <c r="L33" s="20"/>
      <c r="M33" s="20"/>
      <c r="N33" s="20"/>
      <c r="O33" s="20"/>
      <c r="P33" s="20"/>
      <c r="Q33" s="20"/>
      <c r="R33" s="20">
        <v>0</v>
      </c>
      <c r="S33" s="20"/>
      <c r="T33" s="80"/>
    </row>
    <row r="34" spans="8:20" ht="13.5">
      <c r="H34" s="79"/>
      <c r="I34" s="20">
        <f>I33+'出力'!D366/R3</f>
        <v>2.3909000000000002</v>
      </c>
      <c r="J34" s="20"/>
      <c r="K34" s="20"/>
      <c r="L34" s="20"/>
      <c r="M34" s="20"/>
      <c r="N34" s="20"/>
      <c r="O34" s="20"/>
      <c r="P34" s="20"/>
      <c r="Q34" s="20"/>
      <c r="R34" s="20">
        <f>'出力'!C366/R3</f>
        <v>2.6438</v>
      </c>
      <c r="S34" s="20"/>
      <c r="T34" s="80"/>
    </row>
    <row r="35" spans="8:20" ht="13.5">
      <c r="H35" s="79"/>
      <c r="I35" s="20"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0</v>
      </c>
      <c r="T35" s="80"/>
    </row>
    <row r="36" spans="8:20" ht="13.5">
      <c r="H36" s="79"/>
      <c r="I36" s="20"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f>-'出力'!T404/S3</f>
        <v>-1.551</v>
      </c>
      <c r="T36" s="80"/>
    </row>
    <row r="37" spans="8:20" ht="13.5">
      <c r="H37" s="79"/>
      <c r="I37" s="20">
        <f>D14</f>
        <v>3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f>-'出力'!T410/S3</f>
        <v>-0.2115</v>
      </c>
      <c r="T37" s="80"/>
    </row>
    <row r="38" spans="8:20" ht="13.5">
      <c r="H38" s="79"/>
      <c r="I38" s="20">
        <f>I37</f>
        <v>3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0</v>
      </c>
      <c r="T38" s="80"/>
    </row>
    <row r="39" spans="8:20" ht="13.5">
      <c r="H39" s="79"/>
      <c r="I39" s="20">
        <f>IF('入力'!D16&lt;='入力'!D7,0,'入力'!D8+('入力'!D16-'入力'!D7)*'入力'!D10)</f>
        <v>0.6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80">
        <f>'入力'!$D$16</f>
        <v>1.2</v>
      </c>
    </row>
    <row r="40" spans="8:20" ht="13.5">
      <c r="H40" s="81"/>
      <c r="I40" s="82">
        <f>-T40</f>
        <v>-1.2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>
        <f>T39</f>
        <v>1.2</v>
      </c>
    </row>
    <row r="52" ht="13.5">
      <c r="B52" t="s">
        <v>37</v>
      </c>
    </row>
    <row r="53" spans="2:4" ht="13.5">
      <c r="B53" t="s">
        <v>42</v>
      </c>
      <c r="C53">
        <f>D6+D10</f>
        <v>7.5</v>
      </c>
      <c r="D53" t="s">
        <v>44</v>
      </c>
    </row>
    <row r="55" spans="1:5" ht="13.5">
      <c r="A55" t="s">
        <v>50</v>
      </c>
      <c r="B55" t="s">
        <v>39</v>
      </c>
      <c r="C55" t="s">
        <v>38</v>
      </c>
      <c r="D55" t="s">
        <v>40</v>
      </c>
      <c r="E55" t="s">
        <v>41</v>
      </c>
    </row>
    <row r="56" spans="1:5" ht="13.5">
      <c r="A56">
        <f>E56</f>
        <v>-45.85</v>
      </c>
      <c r="B56">
        <f>D3+1</f>
        <v>36</v>
      </c>
      <c r="C56">
        <f>B56*PI()/180</f>
        <v>0.6283185307179586</v>
      </c>
      <c r="D56">
        <f>ROUND($D$2/2*($C$53^2/TAN(C56)-'入力'!$Z$2^2*TAN('入力'!$Z$6))+$D$1*($C$53/TAN(C56)-'入力'!$Z$2*TAN('入力'!$Z$6)),2)</f>
        <v>783.52</v>
      </c>
      <c r="E56">
        <f>ROUND((D56*SIN(C56-$F$3)-'入力'!$Z$17*COS(C56-$F$3+'入力'!$Z$16))/COS(C56-$F$3-$F$4),2)</f>
        <v>-45.85</v>
      </c>
    </row>
    <row r="57" spans="1:5" ht="13.5">
      <c r="A57">
        <f aca="true" t="shared" si="0" ref="A57:A95">E57</f>
        <v>-31.54</v>
      </c>
      <c r="B57">
        <f>B56+1</f>
        <v>37</v>
      </c>
      <c r="C57">
        <f aca="true" t="shared" si="1" ref="C57:C95">B57*PI()/180</f>
        <v>0.6457718232379019</v>
      </c>
      <c r="D57">
        <f>ROUND($D$2/2*($C$53^2/TAN(C57)-'入力'!$Z$2^2*TAN('入力'!$Z$6))+$D$1*($C$53/TAN(C57)-'入力'!$Z$2*TAN('入力'!$Z$6)),2)</f>
        <v>752.06</v>
      </c>
      <c r="E57">
        <f>ROUND((D57*SIN(C57-$F$3)-'入力'!$Z$17*COS(C57-$F$3+'入力'!$Z$16))/COS(C57-$F$3-$F$4),2)</f>
        <v>-31.54</v>
      </c>
    </row>
    <row r="58" spans="1:5" ht="13.5">
      <c r="A58">
        <f t="shared" si="0"/>
        <v>-18.51</v>
      </c>
      <c r="B58">
        <f aca="true" t="shared" si="2" ref="B58:B78">B57+1</f>
        <v>38</v>
      </c>
      <c r="C58">
        <f t="shared" si="1"/>
        <v>0.6632251157578452</v>
      </c>
      <c r="D58">
        <f>ROUND($D$2/2*($C$53^2/TAN(C58)-'入力'!$Z$2^2*TAN('入力'!$Z$6))+$D$1*($C$53/TAN(C58)-'入力'!$Z$2*TAN('入力'!$Z$6)),2)</f>
        <v>722.03</v>
      </c>
      <c r="E58">
        <f>ROUND((D58*SIN(C58-$F$3)-'入力'!$Z$17*COS(C58-$F$3+'入力'!$Z$16))/COS(C58-$F$3-$F$4),2)</f>
        <v>-18.51</v>
      </c>
    </row>
    <row r="59" spans="1:5" ht="13.5">
      <c r="A59">
        <f t="shared" si="0"/>
        <v>-6.67</v>
      </c>
      <c r="B59">
        <f t="shared" si="2"/>
        <v>39</v>
      </c>
      <c r="C59">
        <f t="shared" si="1"/>
        <v>0.6806784082777885</v>
      </c>
      <c r="D59">
        <f>ROUND($D$2/2*($C$53^2/TAN(C59)-'入力'!$Z$2^2*TAN('入力'!$Z$6))+$D$1*($C$53/TAN(C59)-'入力'!$Z$2*TAN('入力'!$Z$6)),2)</f>
        <v>693.32</v>
      </c>
      <c r="E59">
        <f>ROUND((D59*SIN(C59-$F$3)-'入力'!$Z$17*COS(C59-$F$3+'入力'!$Z$16))/COS(C59-$F$3-$F$4),2)</f>
        <v>-6.67</v>
      </c>
    </row>
    <row r="60" spans="1:5" ht="13.5">
      <c r="A60">
        <f t="shared" si="0"/>
        <v>4.09</v>
      </c>
      <c r="B60">
        <f t="shared" si="2"/>
        <v>40</v>
      </c>
      <c r="C60">
        <f t="shared" si="1"/>
        <v>0.6981317007977318</v>
      </c>
      <c r="D60">
        <f>ROUND($D$2/2*($C$53^2/TAN(C60)-'入力'!$Z$2^2*TAN('入力'!$Z$6))+$D$1*($C$53/TAN(C60)-'入力'!$Z$2*TAN('入力'!$Z$6)),2)</f>
        <v>665.81</v>
      </c>
      <c r="E60">
        <f>ROUND((D60*SIN(C60-$F$3)-'入力'!$Z$17*COS(C60-$F$3+'入力'!$Z$16))/COS(C60-$F$3-$F$4),2)</f>
        <v>4.09</v>
      </c>
    </row>
    <row r="61" spans="1:5" ht="13.5">
      <c r="A61">
        <f t="shared" si="0"/>
        <v>13.85</v>
      </c>
      <c r="B61">
        <f t="shared" si="2"/>
        <v>41</v>
      </c>
      <c r="C61">
        <f t="shared" si="1"/>
        <v>0.715584993317675</v>
      </c>
      <c r="D61">
        <f>ROUND($D$2/2*($C$53^2/TAN(C61)-'入力'!$Z$2^2*TAN('入力'!$Z$6))+$D$1*($C$53/TAN(C61)-'入力'!$Z$2*TAN('入力'!$Z$6)),2)</f>
        <v>639.43</v>
      </c>
      <c r="E61">
        <f>ROUND((D61*SIN(C61-$F$3)-'入力'!$Z$17*COS(C61-$F$3+'入力'!$Z$16))/COS(C61-$F$3-$F$4),2)</f>
        <v>13.85</v>
      </c>
    </row>
    <row r="62" spans="1:5" ht="13.5">
      <c r="A62">
        <f t="shared" si="0"/>
        <v>22.68</v>
      </c>
      <c r="B62">
        <f t="shared" si="2"/>
        <v>42</v>
      </c>
      <c r="C62">
        <f t="shared" si="1"/>
        <v>0.7330382858376184</v>
      </c>
      <c r="D62">
        <f>ROUND($D$2/2*($C$53^2/TAN(C62)-'入力'!$Z$2^2*TAN('入力'!$Z$6))+$D$1*($C$53/TAN(C62)-'入力'!$Z$2*TAN('入力'!$Z$6)),2)</f>
        <v>614.09</v>
      </c>
      <c r="E62">
        <f>ROUND((D62*SIN(C62-$F$3)-'入力'!$Z$17*COS(C62-$F$3+'入力'!$Z$16))/COS(C62-$F$3-$F$4),2)</f>
        <v>22.68</v>
      </c>
    </row>
    <row r="63" spans="1:5" ht="13.5">
      <c r="A63">
        <f t="shared" si="0"/>
        <v>30.65</v>
      </c>
      <c r="B63">
        <f t="shared" si="2"/>
        <v>43</v>
      </c>
      <c r="C63">
        <f t="shared" si="1"/>
        <v>0.7504915783575616</v>
      </c>
      <c r="D63">
        <f>ROUND($D$2/2*($C$53^2/TAN(C63)-'入力'!$Z$2^2*TAN('入力'!$Z$6))+$D$1*($C$53/TAN(C63)-'入力'!$Z$2*TAN('入力'!$Z$6)),2)</f>
        <v>589.71</v>
      </c>
      <c r="E63">
        <f>ROUND((D63*SIN(C63-$F$3)-'入力'!$Z$17*COS(C63-$F$3+'入力'!$Z$16))/COS(C63-$F$3-$F$4),2)</f>
        <v>30.65</v>
      </c>
    </row>
    <row r="64" spans="1:5" ht="13.5">
      <c r="A64">
        <f t="shared" si="0"/>
        <v>37.81</v>
      </c>
      <c r="B64">
        <f t="shared" si="2"/>
        <v>44</v>
      </c>
      <c r="C64">
        <f t="shared" si="1"/>
        <v>0.767944870877505</v>
      </c>
      <c r="D64">
        <f>ROUND($D$2/2*($C$53^2/TAN(C64)-'入力'!$Z$2^2*TAN('入力'!$Z$6))+$D$1*($C$53/TAN(C64)-'入力'!$Z$2*TAN('入力'!$Z$6)),2)</f>
        <v>566.22</v>
      </c>
      <c r="E64">
        <f>ROUND((D64*SIN(C64-$F$3)-'入力'!$Z$17*COS(C64-$F$3+'入力'!$Z$16))/COS(C64-$F$3-$F$4),2)</f>
        <v>37.81</v>
      </c>
    </row>
    <row r="65" spans="1:5" ht="13.5">
      <c r="A65">
        <f t="shared" si="0"/>
        <v>44.24</v>
      </c>
      <c r="B65">
        <f t="shared" si="2"/>
        <v>45</v>
      </c>
      <c r="C65">
        <f t="shared" si="1"/>
        <v>0.7853981633974483</v>
      </c>
      <c r="D65">
        <f>ROUND($D$2/2*($C$53^2/TAN(C65)-'入力'!$Z$2^2*TAN('入力'!$Z$6))+$D$1*($C$53/TAN(C65)-'入力'!$Z$2*TAN('入力'!$Z$6)),2)</f>
        <v>543.57</v>
      </c>
      <c r="E65">
        <f>ROUND((D65*SIN(C65-$F$3)-'入力'!$Z$17*COS(C65-$F$3+'入力'!$Z$16))/COS(C65-$F$3-$F$4),2)</f>
        <v>44.24</v>
      </c>
    </row>
    <row r="66" spans="1:5" ht="13.5">
      <c r="A66">
        <f t="shared" si="0"/>
        <v>49.96</v>
      </c>
      <c r="B66">
        <f t="shared" si="2"/>
        <v>46</v>
      </c>
      <c r="C66">
        <f t="shared" si="1"/>
        <v>0.8028514559173915</v>
      </c>
      <c r="D66">
        <f>ROUND($D$2/2*($C$53^2/TAN(C66)-'入力'!$Z$2^2*TAN('入力'!$Z$6))+$D$1*($C$53/TAN(C66)-'入力'!$Z$2*TAN('入力'!$Z$6)),2)</f>
        <v>521.7</v>
      </c>
      <c r="E66">
        <f>ROUND((D66*SIN(C66-$F$3)-'入力'!$Z$17*COS(C66-$F$3+'入力'!$Z$16))/COS(C66-$F$3-$F$4),2)</f>
        <v>49.96</v>
      </c>
    </row>
    <row r="67" spans="1:5" ht="13.5">
      <c r="A67">
        <f t="shared" si="0"/>
        <v>55.03</v>
      </c>
      <c r="B67">
        <f t="shared" si="2"/>
        <v>47</v>
      </c>
      <c r="C67">
        <f t="shared" si="1"/>
        <v>0.8203047484373349</v>
      </c>
      <c r="D67">
        <f>ROUND($D$2/2*($C$53^2/TAN(C67)-'入力'!$Z$2^2*TAN('入力'!$Z$6))+$D$1*($C$53/TAN(C67)-'入力'!$Z$2*TAN('入力'!$Z$6)),2)</f>
        <v>500.55</v>
      </c>
      <c r="E67">
        <f>ROUND((D67*SIN(C67-$F$3)-'入力'!$Z$17*COS(C67-$F$3+'入力'!$Z$16))/COS(C67-$F$3-$F$4),2)</f>
        <v>55.03</v>
      </c>
    </row>
    <row r="68" spans="1:5" ht="13.5">
      <c r="A68">
        <f t="shared" si="0"/>
        <v>59.48</v>
      </c>
      <c r="B68">
        <f t="shared" si="2"/>
        <v>48</v>
      </c>
      <c r="C68">
        <f t="shared" si="1"/>
        <v>0.8377580409572781</v>
      </c>
      <c r="D68">
        <f>ROUND($D$2/2*($C$53^2/TAN(C68)-'入力'!$Z$2^2*TAN('入力'!$Z$6))+$D$1*($C$53/TAN(C68)-'入力'!$Z$2*TAN('入力'!$Z$6)),2)</f>
        <v>480.08</v>
      </c>
      <c r="E68">
        <f>ROUND((D68*SIN(C68-$F$3)-'入力'!$Z$17*COS(C68-$F$3+'入力'!$Z$16))/COS(C68-$F$3-$F$4),2)</f>
        <v>59.48</v>
      </c>
    </row>
    <row r="69" spans="1:5" ht="13.5">
      <c r="A69">
        <f t="shared" si="0"/>
        <v>63.35</v>
      </c>
      <c r="B69">
        <f t="shared" si="2"/>
        <v>49</v>
      </c>
      <c r="C69">
        <f t="shared" si="1"/>
        <v>0.8552113334772214</v>
      </c>
      <c r="D69">
        <f>ROUND($D$2/2*($C$53^2/TAN(C69)-'入力'!$Z$2^2*TAN('入力'!$Z$6))+$D$1*($C$53/TAN(C69)-'入力'!$Z$2*TAN('入力'!$Z$6)),2)</f>
        <v>460.24</v>
      </c>
      <c r="E69">
        <f>ROUND((D69*SIN(C69-$F$3)-'入力'!$Z$17*COS(C69-$F$3+'入力'!$Z$16))/COS(C69-$F$3-$F$4),2)</f>
        <v>63.35</v>
      </c>
    </row>
    <row r="70" spans="1:5" ht="13.5">
      <c r="A70">
        <f t="shared" si="0"/>
        <v>66.68</v>
      </c>
      <c r="B70">
        <f t="shared" si="2"/>
        <v>50</v>
      </c>
      <c r="C70">
        <f t="shared" si="1"/>
        <v>0.8726646259971648</v>
      </c>
      <c r="D70">
        <f>ROUND($D$2/2*($C$53^2/TAN(C70)-'入力'!$Z$2^2*TAN('入力'!$Z$6))+$D$1*($C$53/TAN(C70)-'入力'!$Z$2*TAN('入力'!$Z$6)),2)</f>
        <v>441</v>
      </c>
      <c r="E70">
        <f>ROUND((D70*SIN(C70-$F$3)-'入力'!$Z$17*COS(C70-$F$3+'入力'!$Z$16))/COS(C70-$F$3-$F$4),2)</f>
        <v>66.68</v>
      </c>
    </row>
    <row r="71" spans="1:5" ht="13.5">
      <c r="A71">
        <f t="shared" si="0"/>
        <v>69.5</v>
      </c>
      <c r="B71">
        <f t="shared" si="2"/>
        <v>51</v>
      </c>
      <c r="C71">
        <f t="shared" si="1"/>
        <v>0.890117918517108</v>
      </c>
      <c r="D71">
        <f>ROUND($D$2/2*($C$53^2/TAN(C71)-'入力'!$Z$2^2*TAN('入力'!$Z$6))+$D$1*($C$53/TAN(C71)-'入力'!$Z$2*TAN('入力'!$Z$6)),2)</f>
        <v>422.31</v>
      </c>
      <c r="E71">
        <f>ROUND((D71*SIN(C71-$F$3)-'入力'!$Z$17*COS(C71-$F$3+'入力'!$Z$16))/COS(C71-$F$3-$F$4),2)</f>
        <v>69.5</v>
      </c>
    </row>
    <row r="72" spans="1:5" ht="13.5">
      <c r="A72">
        <f t="shared" si="0"/>
        <v>71.82</v>
      </c>
      <c r="B72">
        <f t="shared" si="2"/>
        <v>52</v>
      </c>
      <c r="C72">
        <f t="shared" si="1"/>
        <v>0.9075712110370514</v>
      </c>
      <c r="D72">
        <f>ROUND($D$2/2*($C$53^2/TAN(C72)-'入力'!$Z$2^2*TAN('入力'!$Z$6))+$D$1*($C$53/TAN(C72)-'入力'!$Z$2*TAN('入力'!$Z$6)),2)</f>
        <v>404.14</v>
      </c>
      <c r="E72">
        <f>ROUND((D72*SIN(C72-$F$3)-'入力'!$Z$17*COS(C72-$F$3+'入力'!$Z$16))/COS(C72-$F$3-$F$4),2)</f>
        <v>71.82</v>
      </c>
    </row>
    <row r="73" spans="1:5" ht="13.5">
      <c r="A73">
        <f t="shared" si="0"/>
        <v>73.67</v>
      </c>
      <c r="B73">
        <f t="shared" si="2"/>
        <v>53</v>
      </c>
      <c r="C73">
        <f t="shared" si="1"/>
        <v>0.9250245035569946</v>
      </c>
      <c r="D73">
        <f>ROUND($D$2/2*($C$53^2/TAN(C73)-'入力'!$Z$2^2*TAN('入力'!$Z$6))+$D$1*($C$53/TAN(C73)-'入力'!$Z$2*TAN('入力'!$Z$6)),2)</f>
        <v>386.46</v>
      </c>
      <c r="E73">
        <f>ROUND((D73*SIN(C73-$F$3)-'入力'!$Z$17*COS(C73-$F$3+'入力'!$Z$16))/COS(C73-$F$3-$F$4),2)</f>
        <v>73.67</v>
      </c>
    </row>
    <row r="74" spans="1:5" ht="13.5">
      <c r="A74">
        <f t="shared" si="0"/>
        <v>75.08</v>
      </c>
      <c r="B74">
        <f t="shared" si="2"/>
        <v>54</v>
      </c>
      <c r="C74">
        <f t="shared" si="1"/>
        <v>0.9424777960769379</v>
      </c>
      <c r="D74" s="22">
        <f>ROUND($D$2/2*($C$53^2/TAN(C74)-'入力'!$Z$2^2*TAN('入力'!$Z$6))+$D$1*($C$53/TAN(C74)-'入力'!$Z$2*TAN('入力'!$Z$6)),2)</f>
        <v>369.24</v>
      </c>
      <c r="E74">
        <f>ROUND((D74*SIN(C74-$F$3)-'入力'!$Z$17*COS(C74-$F$3+'入力'!$Z$16))/COS(C74-$F$3-$F$4),2)</f>
        <v>75.08</v>
      </c>
    </row>
    <row r="75" spans="1:5" ht="13.5">
      <c r="A75">
        <f t="shared" si="0"/>
        <v>76.07</v>
      </c>
      <c r="B75">
        <f t="shared" si="2"/>
        <v>55</v>
      </c>
      <c r="C75">
        <f t="shared" si="1"/>
        <v>0.9599310885968813</v>
      </c>
      <c r="D75">
        <f>ROUND($D$2/2*($C$53^2/TAN(C75)-'入力'!$Z$2^2*TAN('入力'!$Z$6))+$D$1*($C$53/TAN(C75)-'入力'!$Z$2*TAN('入力'!$Z$6)),2)</f>
        <v>352.45</v>
      </c>
      <c r="E75">
        <f>ROUND((D75*SIN(C75-$F$3)-'入力'!$Z$17*COS(C75-$F$3+'入力'!$Z$16))/COS(C75-$F$3-$F$4),2)</f>
        <v>76.07</v>
      </c>
    </row>
    <row r="76" spans="1:5" ht="13.5">
      <c r="A76">
        <f t="shared" si="0"/>
        <v>76.65</v>
      </c>
      <c r="B76">
        <f t="shared" si="2"/>
        <v>56</v>
      </c>
      <c r="C76">
        <f t="shared" si="1"/>
        <v>0.9773843811168246</v>
      </c>
      <c r="D76">
        <f>ROUND($D$2/2*($C$53^2/TAN(C76)-'入力'!$Z$2^2*TAN('入力'!$Z$6))+$D$1*($C$53/TAN(C76)-'入力'!$Z$2*TAN('入力'!$Z$6)),2)</f>
        <v>336.07</v>
      </c>
      <c r="E76">
        <f>ROUND((D76*SIN(C76-$F$3)-'入力'!$Z$17*COS(C76-$F$3+'入力'!$Z$16))/COS(C76-$F$3-$F$4),2)</f>
        <v>76.65</v>
      </c>
    </row>
    <row r="77" spans="1:5" ht="13.5">
      <c r="A77">
        <f t="shared" si="0"/>
        <v>76.84</v>
      </c>
      <c r="B77">
        <f t="shared" si="2"/>
        <v>57</v>
      </c>
      <c r="C77">
        <f t="shared" si="1"/>
        <v>0.9948376736367678</v>
      </c>
      <c r="D77">
        <f>ROUND($D$2/2*($C$53^2/TAN(C77)-'入力'!$Z$2^2*TAN('入力'!$Z$6))+$D$1*($C$53/TAN(C77)-'入力'!$Z$2*TAN('入力'!$Z$6)),2)</f>
        <v>320.07</v>
      </c>
      <c r="E77">
        <f>ROUND((D77*SIN(C77-$F$3)-'入力'!$Z$17*COS(C77-$F$3+'入力'!$Z$16))/COS(C77-$F$3-$F$4),2)</f>
        <v>76.84</v>
      </c>
    </row>
    <row r="78" spans="1:5" ht="13.5">
      <c r="A78">
        <f t="shared" si="0"/>
        <v>76.64</v>
      </c>
      <c r="B78">
        <f t="shared" si="2"/>
        <v>58</v>
      </c>
      <c r="C78">
        <f t="shared" si="1"/>
        <v>1.0122909661567112</v>
      </c>
      <c r="D78">
        <f>ROUND($D$2/2*($C$53^2/TAN(C78)-'入力'!$Z$2^2*TAN('入力'!$Z$6))+$D$1*($C$53/TAN(C78)-'入力'!$Z$2*TAN('入力'!$Z$6)),2)</f>
        <v>304.43</v>
      </c>
      <c r="E78">
        <f>ROUND((D78*SIN(C78-$F$3)-'入力'!$Z$17*COS(C78-$F$3+'入力'!$Z$16))/COS(C78-$F$3-$F$4),2)</f>
        <v>76.64</v>
      </c>
    </row>
    <row r="79" spans="1:5" ht="13.5">
      <c r="A79">
        <f t="shared" si="0"/>
        <v>76.09</v>
      </c>
      <c r="B79">
        <f aca="true" t="shared" si="3" ref="B79:B88">B78+1</f>
        <v>59</v>
      </c>
      <c r="C79">
        <f t="shared" si="1"/>
        <v>1.0297442586766543</v>
      </c>
      <c r="D79">
        <f>ROUND($D$2/2*($C$53^2/TAN(C79)-'入力'!$Z$2^2*TAN('入力'!$Z$6))+$D$1*($C$53/TAN(C79)-'入力'!$Z$2*TAN('入力'!$Z$6)),2)</f>
        <v>289.12</v>
      </c>
      <c r="E79">
        <f>ROUND((D79*SIN(C79-$F$3)-'入力'!$Z$17*COS(C79-$F$3+'入力'!$Z$16))/COS(C79-$F$3-$F$4),2)</f>
        <v>76.09</v>
      </c>
    </row>
    <row r="80" spans="1:5" ht="13.5">
      <c r="A80">
        <f t="shared" si="0"/>
        <v>75.17</v>
      </c>
      <c r="B80">
        <f t="shared" si="3"/>
        <v>60</v>
      </c>
      <c r="C80">
        <f t="shared" si="1"/>
        <v>1.0471975511965976</v>
      </c>
      <c r="D80">
        <f>ROUND($D$2/2*($C$53^2/TAN(C80)-'入力'!$Z$2^2*TAN('入力'!$Z$6))+$D$1*($C$53/TAN(C80)-'入力'!$Z$2*TAN('入力'!$Z$6)),2)</f>
        <v>274.13</v>
      </c>
      <c r="E80">
        <f>ROUND((D80*SIN(C80-$F$3)-'入力'!$Z$17*COS(C80-$F$3+'入力'!$Z$16))/COS(C80-$F$3-$F$4),2)</f>
        <v>75.17</v>
      </c>
    </row>
    <row r="81" spans="1:5" ht="13.5">
      <c r="A81">
        <f t="shared" si="0"/>
        <v>73.92</v>
      </c>
      <c r="B81">
        <f t="shared" si="3"/>
        <v>61</v>
      </c>
      <c r="C81">
        <f t="shared" si="1"/>
        <v>1.064650843716541</v>
      </c>
      <c r="D81">
        <f>ROUND($D$2/2*($C$53^2/TAN(C81)-'入力'!$Z$2^2*TAN('入力'!$Z$6))+$D$1*($C$53/TAN(C81)-'入力'!$Z$2*TAN('入力'!$Z$6)),2)</f>
        <v>259.44</v>
      </c>
      <c r="E81">
        <f>ROUND((D81*SIN(C81-$F$3)-'入力'!$Z$17*COS(C81-$F$3+'入力'!$Z$16))/COS(C81-$F$3-$F$4),2)</f>
        <v>73.92</v>
      </c>
    </row>
    <row r="82" spans="1:5" ht="13.5">
      <c r="A82">
        <f t="shared" si="0"/>
        <v>72.33</v>
      </c>
      <c r="B82">
        <f t="shared" si="3"/>
        <v>62</v>
      </c>
      <c r="C82">
        <f t="shared" si="1"/>
        <v>1.0821041362364843</v>
      </c>
      <c r="D82">
        <f>ROUND($D$2/2*($C$53^2/TAN(C82)-'入力'!$Z$2^2*TAN('入力'!$Z$6))+$D$1*($C$53/TAN(C82)-'入力'!$Z$2*TAN('入力'!$Z$6)),2)</f>
        <v>245.04</v>
      </c>
      <c r="E82">
        <f>ROUND((D82*SIN(C82-$F$3)-'入力'!$Z$17*COS(C82-$F$3+'入力'!$Z$16))/COS(C82-$F$3-$F$4),2)</f>
        <v>72.33</v>
      </c>
    </row>
    <row r="83" spans="1:5" ht="13.5">
      <c r="A83">
        <f t="shared" si="0"/>
        <v>70.41</v>
      </c>
      <c r="B83">
        <f t="shared" si="3"/>
        <v>63</v>
      </c>
      <c r="C83">
        <f t="shared" si="1"/>
        <v>1.0995574287564276</v>
      </c>
      <c r="D83">
        <f>ROUND($D$2/2*($C$53^2/TAN(C83)-'入力'!$Z$2^2*TAN('入力'!$Z$6))+$D$1*($C$53/TAN(C83)-'入力'!$Z$2*TAN('入力'!$Z$6)),2)</f>
        <v>230.89</v>
      </c>
      <c r="E83">
        <f>ROUND((D83*SIN(C83-$F$3)-'入力'!$Z$17*COS(C83-$F$3+'入力'!$Z$16))/COS(C83-$F$3-$F$4),2)</f>
        <v>70.41</v>
      </c>
    </row>
    <row r="84" spans="1:5" ht="13.5">
      <c r="A84">
        <f t="shared" si="0"/>
        <v>68.17</v>
      </c>
      <c r="B84">
        <f t="shared" si="3"/>
        <v>64</v>
      </c>
      <c r="C84">
        <f t="shared" si="1"/>
        <v>1.117010721276371</v>
      </c>
      <c r="D84">
        <f>ROUND($D$2/2*($C$53^2/TAN(C84)-'入力'!$Z$2^2*TAN('入力'!$Z$6))+$D$1*($C$53/TAN(C84)-'入力'!$Z$2*TAN('入力'!$Z$6)),2)</f>
        <v>217</v>
      </c>
      <c r="E84">
        <f>ROUND((D84*SIN(C84-$F$3)-'入力'!$Z$17*COS(C84-$F$3+'入力'!$Z$16))/COS(C84-$F$3-$F$4),2)</f>
        <v>68.17</v>
      </c>
    </row>
    <row r="85" spans="1:5" ht="13.5">
      <c r="A85">
        <f t="shared" si="0"/>
        <v>65.61</v>
      </c>
      <c r="B85">
        <f t="shared" si="3"/>
        <v>65</v>
      </c>
      <c r="C85">
        <f t="shared" si="1"/>
        <v>1.1344640137963142</v>
      </c>
      <c r="D85">
        <f>ROUND($D$2/2*($C$53^2/TAN(C85)-'入力'!$Z$2^2*TAN('入力'!$Z$6))+$D$1*($C$53/TAN(C85)-'入力'!$Z$2*TAN('入力'!$Z$6)),2)</f>
        <v>203.34</v>
      </c>
      <c r="E85">
        <f>ROUND((D85*SIN(C85-$F$3)-'入力'!$Z$17*COS(C85-$F$3+'入力'!$Z$16))/COS(C85-$F$3-$F$4),2)</f>
        <v>65.61</v>
      </c>
    </row>
    <row r="86" spans="1:5" ht="13.5">
      <c r="A86">
        <f t="shared" si="0"/>
        <v>62.74</v>
      </c>
      <c r="B86">
        <f t="shared" si="3"/>
        <v>66</v>
      </c>
      <c r="C86">
        <f t="shared" si="1"/>
        <v>1.1519173063162575</v>
      </c>
      <c r="D86">
        <f>ROUND($D$2/2*($C$53^2/TAN(C86)-'入力'!$Z$2^2*TAN('入力'!$Z$6))+$D$1*($C$53/TAN(C86)-'入力'!$Z$2*TAN('入力'!$Z$6)),2)</f>
        <v>189.9</v>
      </c>
      <c r="E86">
        <f>ROUND((D86*SIN(C86-$F$3)-'入力'!$Z$17*COS(C86-$F$3+'入力'!$Z$16))/COS(C86-$F$3-$F$4),2)</f>
        <v>62.74</v>
      </c>
    </row>
    <row r="87" spans="1:5" ht="13.5">
      <c r="A87">
        <f t="shared" si="0"/>
        <v>59.56</v>
      </c>
      <c r="B87">
        <f t="shared" si="3"/>
        <v>67</v>
      </c>
      <c r="C87">
        <f t="shared" si="1"/>
        <v>1.1693705988362006</v>
      </c>
      <c r="D87">
        <f>ROUND($D$2/2*($C$53^2/TAN(C87)-'入力'!$Z$2^2*TAN('入力'!$Z$6))+$D$1*($C$53/TAN(C87)-'入力'!$Z$2*TAN('入力'!$Z$6)),2)</f>
        <v>176.67</v>
      </c>
      <c r="E87">
        <f>ROUND((D87*SIN(C87-$F$3)-'入力'!$Z$17*COS(C87-$F$3+'入力'!$Z$16))/COS(C87-$F$3-$F$4),2)</f>
        <v>59.56</v>
      </c>
    </row>
    <row r="88" spans="1:5" ht="13.5">
      <c r="A88">
        <f t="shared" si="0"/>
        <v>56.07</v>
      </c>
      <c r="B88">
        <f t="shared" si="3"/>
        <v>68</v>
      </c>
      <c r="C88">
        <f t="shared" si="1"/>
        <v>1.1868238913561442</v>
      </c>
      <c r="D88">
        <f>ROUND($D$2/2*($C$53^2/TAN(C88)-'入力'!$Z$2^2*TAN('入力'!$Z$6))+$D$1*($C$53/TAN(C88)-'入力'!$Z$2*TAN('入力'!$Z$6)),2)</f>
        <v>163.64</v>
      </c>
      <c r="E88">
        <f>ROUND((D88*SIN(C88-$F$3)-'入力'!$Z$17*COS(C88-$F$3+'入力'!$Z$16))/COS(C88-$F$3-$F$4),2)</f>
        <v>56.07</v>
      </c>
    </row>
    <row r="89" spans="1:5" ht="13.5">
      <c r="A89">
        <f t="shared" si="0"/>
        <v>52.28</v>
      </c>
      <c r="B89">
        <f aca="true" t="shared" si="4" ref="B89:B95">B88+1</f>
        <v>69</v>
      </c>
      <c r="C89">
        <f t="shared" si="1"/>
        <v>1.2042771838760873</v>
      </c>
      <c r="D89">
        <f>ROUND($D$2/2*($C$53^2/TAN(C89)-'入力'!$Z$2^2*TAN('入力'!$Z$6))+$D$1*($C$53/TAN(C89)-'入力'!$Z$2*TAN('入力'!$Z$6)),2)</f>
        <v>150.79</v>
      </c>
      <c r="E89">
        <f>ROUND((D89*SIN(C89-$F$3)-'入力'!$Z$17*COS(C89-$F$3+'入力'!$Z$16))/COS(C89-$F$3-$F$4),2)</f>
        <v>52.28</v>
      </c>
    </row>
    <row r="90" spans="1:5" ht="13.5">
      <c r="A90">
        <f t="shared" si="0"/>
        <v>48.18</v>
      </c>
      <c r="B90">
        <f t="shared" si="4"/>
        <v>70</v>
      </c>
      <c r="C90">
        <f t="shared" si="1"/>
        <v>1.2217304763960306</v>
      </c>
      <c r="D90">
        <f>ROUND($D$2/2*($C$53^2/TAN(C90)-'入力'!$Z$2^2*TAN('入力'!$Z$6))+$D$1*($C$53/TAN(C90)-'入力'!$Z$2*TAN('入力'!$Z$6)),2)</f>
        <v>138.1</v>
      </c>
      <c r="E90">
        <f>ROUND((D90*SIN(C90-$F$3)-'入力'!$Z$17*COS(C90-$F$3+'入力'!$Z$16))/COS(C90-$F$3-$F$4),2)</f>
        <v>48.18</v>
      </c>
    </row>
    <row r="91" spans="1:5" ht="13.5">
      <c r="A91">
        <f t="shared" si="0"/>
        <v>43.78</v>
      </c>
      <c r="B91">
        <f t="shared" si="4"/>
        <v>71</v>
      </c>
      <c r="C91">
        <f t="shared" si="1"/>
        <v>1.239183768915974</v>
      </c>
      <c r="D91">
        <f>ROUND($D$2/2*($C$53^2/TAN(C91)-'入力'!$Z$2^2*TAN('入力'!$Z$6))+$D$1*($C$53/TAN(C91)-'入力'!$Z$2*TAN('入力'!$Z$6)),2)</f>
        <v>125.58</v>
      </c>
      <c r="E91">
        <f>ROUND((D91*SIN(C91-$F$3)-'入力'!$Z$17*COS(C91-$F$3+'入力'!$Z$16))/COS(C91-$F$3-$F$4),2)</f>
        <v>43.78</v>
      </c>
    </row>
    <row r="92" spans="1:5" ht="13.5">
      <c r="A92">
        <f t="shared" si="0"/>
        <v>39.08</v>
      </c>
      <c r="B92">
        <f t="shared" si="4"/>
        <v>72</v>
      </c>
      <c r="C92">
        <f t="shared" si="1"/>
        <v>1.2566370614359172</v>
      </c>
      <c r="D92">
        <f>ROUND($D$2/2*($C$53^2/TAN(C92)-'入力'!$Z$2^2*TAN('入力'!$Z$6))+$D$1*($C$53/TAN(C92)-'入力'!$Z$2*TAN('入力'!$Z$6)),2)</f>
        <v>113.21</v>
      </c>
      <c r="E92">
        <f>ROUND((D92*SIN(C92-$F$3)-'入力'!$Z$17*COS(C92-$F$3+'入力'!$Z$16))/COS(C92-$F$3-$F$4),2)</f>
        <v>39.08</v>
      </c>
    </row>
    <row r="93" spans="1:5" ht="13.5">
      <c r="A93">
        <f t="shared" si="0"/>
        <v>34.06</v>
      </c>
      <c r="B93">
        <f t="shared" si="4"/>
        <v>73</v>
      </c>
      <c r="C93">
        <f t="shared" si="1"/>
        <v>1.2740903539558606</v>
      </c>
      <c r="D93">
        <f>ROUND($D$2/2*($C$53^2/TAN(C93)-'入力'!$Z$2^2*TAN('入力'!$Z$6))+$D$1*($C$53/TAN(C93)-'入力'!$Z$2*TAN('入力'!$Z$6)),2)</f>
        <v>100.98</v>
      </c>
      <c r="E93">
        <f>ROUND((D93*SIN(C93-$F$3)-'入力'!$Z$17*COS(C93-$F$3+'入力'!$Z$16))/COS(C93-$F$3-$F$4),2)</f>
        <v>34.06</v>
      </c>
    </row>
    <row r="94" spans="1:5" ht="13.5">
      <c r="A94">
        <f t="shared" si="0"/>
        <v>28.73</v>
      </c>
      <c r="B94">
        <f t="shared" si="4"/>
        <v>74</v>
      </c>
      <c r="C94">
        <f t="shared" si="1"/>
        <v>1.2915436464758039</v>
      </c>
      <c r="D94">
        <f>ROUND($D$2/2*($C$53^2/TAN(C94)-'入力'!$Z$2^2*TAN('入力'!$Z$6))+$D$1*($C$53/TAN(C94)-'入力'!$Z$2*TAN('入力'!$Z$6)),2)</f>
        <v>88.87</v>
      </c>
      <c r="E94">
        <f>ROUND((D94*SIN(C94-$F$3)-'入力'!$Z$17*COS(C94-$F$3+'入力'!$Z$16))/COS(C94-$F$3-$F$4),2)</f>
        <v>28.73</v>
      </c>
    </row>
    <row r="95" spans="1:5" ht="13.5">
      <c r="A95">
        <f t="shared" si="0"/>
        <v>23.09</v>
      </c>
      <c r="B95">
        <f t="shared" si="4"/>
        <v>75</v>
      </c>
      <c r="C95">
        <f t="shared" si="1"/>
        <v>1.3089969389957472</v>
      </c>
      <c r="D95">
        <f>ROUND($D$2/2*($C$53^2/TAN(C95)-'入力'!$Z$2^2*TAN('入力'!$Z$6))+$D$1*($C$53/TAN(C95)-'入力'!$Z$2*TAN('入力'!$Z$6)),2)</f>
        <v>76.89</v>
      </c>
      <c r="E95">
        <f>ROUND((D95*SIN(C95-$F$3)-'入力'!$Z$17*COS(C95-$F$3+'入力'!$Z$16))/COS(C95-$F$3-$F$4),2)</f>
        <v>23.09</v>
      </c>
    </row>
    <row r="97" spans="1:5" ht="13.5">
      <c r="A97">
        <f>MAX(A56:A95)</f>
        <v>76.84</v>
      </c>
      <c r="B97">
        <f>VLOOKUP($A$97,$A$56:$D$95,2,FALSE)</f>
        <v>57</v>
      </c>
      <c r="C97">
        <f>VLOOKUP($A$97,$A$56:$D$95,3,FALSE)</f>
        <v>0.9948376736367678</v>
      </c>
      <c r="D97">
        <f>VLOOKUP($A$97,$A$56:$D$95,4,FALSE)</f>
        <v>320.07</v>
      </c>
      <c r="E97">
        <f>MAX(E56:E95)</f>
        <v>76.84</v>
      </c>
    </row>
    <row r="98" spans="7:10" ht="13.5">
      <c r="G98" s="20"/>
      <c r="H98" s="20"/>
      <c r="I98" s="20"/>
      <c r="J98" s="20"/>
    </row>
    <row r="99" spans="7:10" ht="13.5">
      <c r="G99" s="20"/>
      <c r="H99" s="20"/>
      <c r="I99" s="20"/>
      <c r="J99" s="20"/>
    </row>
    <row r="100" spans="7:10" ht="13.5">
      <c r="G100" s="20"/>
      <c r="H100" s="20"/>
      <c r="I100" s="20"/>
      <c r="J100" s="20"/>
    </row>
    <row r="101" spans="7:10" ht="13.5">
      <c r="G101" s="20"/>
      <c r="H101" s="20"/>
      <c r="I101" s="20"/>
      <c r="J101" s="20"/>
    </row>
    <row r="102" spans="2:10" ht="13.5">
      <c r="B102" t="s">
        <v>70</v>
      </c>
      <c r="G102" s="20"/>
      <c r="H102" s="20"/>
      <c r="I102" s="20"/>
      <c r="J102" s="20"/>
    </row>
    <row r="103" spans="2:10" ht="13.5">
      <c r="B103" t="s">
        <v>71</v>
      </c>
      <c r="C103">
        <f>ROUND('入力'!Z2+J11/2,3)</f>
        <v>6.362</v>
      </c>
      <c r="D103" t="s">
        <v>44</v>
      </c>
      <c r="G103" s="20"/>
      <c r="H103" s="20"/>
      <c r="I103" s="20"/>
      <c r="J103" s="20"/>
    </row>
    <row r="104" spans="7:10" ht="13.5">
      <c r="G104" s="20"/>
      <c r="H104" s="20"/>
      <c r="I104" s="20"/>
      <c r="J104" s="20"/>
    </row>
    <row r="105" spans="1:10" ht="13.5">
      <c r="A105" t="s">
        <v>50</v>
      </c>
      <c r="B105" t="s">
        <v>39</v>
      </c>
      <c r="C105" t="s">
        <v>38</v>
      </c>
      <c r="D105" t="s">
        <v>40</v>
      </c>
      <c r="E105" t="s">
        <v>41</v>
      </c>
      <c r="G105" s="20"/>
      <c r="H105" s="20"/>
      <c r="I105" s="20"/>
      <c r="J105" s="20"/>
    </row>
    <row r="106" spans="1:10" ht="13.5">
      <c r="A106">
        <f>E106</f>
        <v>-50.24</v>
      </c>
      <c r="B106">
        <f>D3+1</f>
        <v>36</v>
      </c>
      <c r="C106">
        <f>B106*PI()/180</f>
        <v>0.6283185307179586</v>
      </c>
      <c r="D106">
        <f>ROUND($D$2/2*($C$103^2/TAN(C106)-'入力'!$Z$2^2*TAN('入力'!$Z$6))+$D$1*($C$103/TAN(C106)-'入力'!$Z$2*TAN('入力'!$Z$6)),2)</f>
        <v>550.73</v>
      </c>
      <c r="E106">
        <f>ROUND((D106*SIN(C106-$F$3)-'入力'!$Z$17*COS(C106-$F$3+'入力'!$Z$16))/COS(C106-$F$3-$F$4),2)</f>
        <v>-50.24</v>
      </c>
      <c r="G106" s="20"/>
      <c r="H106" s="20"/>
      <c r="I106" s="20"/>
      <c r="J106" s="20"/>
    </row>
    <row r="107" spans="1:10" ht="13.5">
      <c r="A107">
        <f aca="true" t="shared" si="5" ref="A107:A145">E107</f>
        <v>-39.95</v>
      </c>
      <c r="B107">
        <f>B106+1</f>
        <v>37</v>
      </c>
      <c r="C107">
        <f aca="true" t="shared" si="6" ref="C107:C145">B107*PI()/180</f>
        <v>0.6457718232379019</v>
      </c>
      <c r="D107">
        <f>ROUND($D$2/2*($C$103^2/TAN(C107)-'入力'!$Z$2^2*TAN('入力'!$Z$6))+$D$1*($C$103/TAN(C107)-'入力'!$Z$2*TAN('入力'!$Z$6)),2)</f>
        <v>527.62</v>
      </c>
      <c r="E107">
        <f>ROUND((D107*SIN(C107-$F$3)-'入力'!$Z$17*COS(C107-$F$3+'入力'!$Z$16))/COS(C107-$F$3-$F$4),2)</f>
        <v>-39.95</v>
      </c>
      <c r="G107" s="20"/>
      <c r="H107" s="20"/>
      <c r="I107" s="20"/>
      <c r="J107" s="20"/>
    </row>
    <row r="108" spans="1:10" ht="13.5">
      <c r="A108">
        <f t="shared" si="5"/>
        <v>-30.6</v>
      </c>
      <c r="B108">
        <f aca="true" t="shared" si="7" ref="B108:B145">B107+1</f>
        <v>38</v>
      </c>
      <c r="C108">
        <f t="shared" si="6"/>
        <v>0.6632251157578452</v>
      </c>
      <c r="D108">
        <f>ROUND($D$2/2*($C$103^2/TAN(C108)-'入力'!$Z$2^2*TAN('入力'!$Z$6))+$D$1*($C$103/TAN(C108)-'入力'!$Z$2*TAN('入力'!$Z$6)),2)</f>
        <v>505.56</v>
      </c>
      <c r="E108">
        <f>ROUND((D108*SIN(C108-$F$3)-'入力'!$Z$17*COS(C108-$F$3+'入力'!$Z$16))/COS(C108-$F$3-$F$4),2)</f>
        <v>-30.6</v>
      </c>
      <c r="G108" s="20"/>
      <c r="H108" s="20"/>
      <c r="I108" s="20"/>
      <c r="J108" s="20"/>
    </row>
    <row r="109" spans="1:10" ht="13.5">
      <c r="A109">
        <f t="shared" si="5"/>
        <v>-22.11</v>
      </c>
      <c r="B109">
        <f t="shared" si="7"/>
        <v>39</v>
      </c>
      <c r="C109">
        <f t="shared" si="6"/>
        <v>0.6806784082777885</v>
      </c>
      <c r="D109">
        <f>ROUND($D$2/2*($C$103^2/TAN(C109)-'入力'!$Z$2^2*TAN('入力'!$Z$6))+$D$1*($C$103/TAN(C109)-'入力'!$Z$2*TAN('入力'!$Z$6)),2)</f>
        <v>484.46</v>
      </c>
      <c r="E109">
        <f>ROUND((D109*SIN(C109-$F$3)-'入力'!$Z$17*COS(C109-$F$3+'入力'!$Z$16))/COS(C109-$F$3-$F$4),2)</f>
        <v>-22.11</v>
      </c>
      <c r="G109" s="20"/>
      <c r="H109" s="20"/>
      <c r="I109" s="20"/>
      <c r="J109" s="20"/>
    </row>
    <row r="110" spans="1:10" ht="13.5">
      <c r="A110">
        <f t="shared" si="5"/>
        <v>-14.41</v>
      </c>
      <c r="B110">
        <f t="shared" si="7"/>
        <v>40</v>
      </c>
      <c r="C110">
        <f t="shared" si="6"/>
        <v>0.6981317007977318</v>
      </c>
      <c r="D110">
        <f>ROUND($D$2/2*($C$103^2/TAN(C110)-'入力'!$Z$2^2*TAN('入力'!$Z$6))+$D$1*($C$103/TAN(C110)-'入力'!$Z$2*TAN('入力'!$Z$6)),2)</f>
        <v>464.25</v>
      </c>
      <c r="E110">
        <f>ROUND((D110*SIN(C110-$F$3)-'入力'!$Z$17*COS(C110-$F$3+'入力'!$Z$16))/COS(C110-$F$3-$F$4),2)</f>
        <v>-14.41</v>
      </c>
      <c r="G110" s="20"/>
      <c r="H110" s="20"/>
      <c r="I110" s="20"/>
      <c r="J110" s="20"/>
    </row>
    <row r="111" spans="1:10" ht="13.5">
      <c r="A111">
        <f t="shared" si="5"/>
        <v>-7.45</v>
      </c>
      <c r="B111">
        <f t="shared" si="7"/>
        <v>41</v>
      </c>
      <c r="C111">
        <f t="shared" si="6"/>
        <v>0.715584993317675</v>
      </c>
      <c r="D111">
        <f>ROUND($D$2/2*($C$103^2/TAN(C111)-'入力'!$Z$2^2*TAN('入力'!$Z$6))+$D$1*($C$103/TAN(C111)-'入力'!$Z$2*TAN('入力'!$Z$6)),2)</f>
        <v>444.87</v>
      </c>
      <c r="E111">
        <f>ROUND((D111*SIN(C111-$F$3)-'入力'!$Z$17*COS(C111-$F$3+'入力'!$Z$16))/COS(C111-$F$3-$F$4),2)</f>
        <v>-7.45</v>
      </c>
      <c r="G111" s="20"/>
      <c r="H111" s="20"/>
      <c r="I111" s="20"/>
      <c r="J111" s="20"/>
    </row>
    <row r="112" spans="1:10" ht="13.5">
      <c r="A112">
        <f t="shared" si="5"/>
        <v>-1.17</v>
      </c>
      <c r="B112">
        <f t="shared" si="7"/>
        <v>42</v>
      </c>
      <c r="C112">
        <f t="shared" si="6"/>
        <v>0.7330382858376184</v>
      </c>
      <c r="D112">
        <f>ROUND($D$2/2*($C$103^2/TAN(C112)-'入力'!$Z$2^2*TAN('入力'!$Z$6))+$D$1*($C$103/TAN(C112)-'入力'!$Z$2*TAN('入力'!$Z$6)),2)</f>
        <v>426.25</v>
      </c>
      <c r="E112">
        <f>ROUND((D112*SIN(C112-$F$3)-'入力'!$Z$17*COS(C112-$F$3+'入力'!$Z$16))/COS(C112-$F$3-$F$4),2)</f>
        <v>-1.17</v>
      </c>
      <c r="G112" s="20"/>
      <c r="H112" s="20"/>
      <c r="I112" s="20"/>
      <c r="J112" s="20"/>
    </row>
    <row r="113" spans="1:10" ht="13.5">
      <c r="A113">
        <f t="shared" si="5"/>
        <v>4.48</v>
      </c>
      <c r="B113">
        <f t="shared" si="7"/>
        <v>43</v>
      </c>
      <c r="C113">
        <f t="shared" si="6"/>
        <v>0.7504915783575616</v>
      </c>
      <c r="D113">
        <f>ROUND($D$2/2*($C$103^2/TAN(C113)-'入力'!$Z$2^2*TAN('入力'!$Z$6))+$D$1*($C$103/TAN(C113)-'入力'!$Z$2*TAN('入力'!$Z$6)),2)</f>
        <v>408.34</v>
      </c>
      <c r="E113">
        <f>ROUND((D113*SIN(C113-$F$3)-'入力'!$Z$17*COS(C113-$F$3+'入力'!$Z$16))/COS(C113-$F$3-$F$4),2)</f>
        <v>4.48</v>
      </c>
      <c r="G113" s="20"/>
      <c r="H113" s="20"/>
      <c r="I113" s="20"/>
      <c r="J113" s="20"/>
    </row>
    <row r="114" spans="1:10" ht="13.5">
      <c r="A114">
        <f t="shared" si="5"/>
        <v>9.54</v>
      </c>
      <c r="B114">
        <f t="shared" si="7"/>
        <v>44</v>
      </c>
      <c r="C114">
        <f t="shared" si="6"/>
        <v>0.767944870877505</v>
      </c>
      <c r="D114">
        <f>ROUND($D$2/2*($C$103^2/TAN(C114)-'入力'!$Z$2^2*TAN('入力'!$Z$6))+$D$1*($C$103/TAN(C114)-'入力'!$Z$2*TAN('入力'!$Z$6)),2)</f>
        <v>391.08</v>
      </c>
      <c r="E114">
        <f>ROUND((D114*SIN(C114-$F$3)-'入力'!$Z$17*COS(C114-$F$3+'入力'!$Z$16))/COS(C114-$F$3-$F$4),2)</f>
        <v>9.54</v>
      </c>
      <c r="G114" s="20"/>
      <c r="H114" s="20"/>
      <c r="I114" s="20"/>
      <c r="J114" s="20"/>
    </row>
    <row r="115" spans="1:10" ht="13.5">
      <c r="A115">
        <f t="shared" si="5"/>
        <v>14.05</v>
      </c>
      <c r="B115">
        <f t="shared" si="7"/>
        <v>45</v>
      </c>
      <c r="C115">
        <f t="shared" si="6"/>
        <v>0.7853981633974483</v>
      </c>
      <c r="D115">
        <f>ROUND($D$2/2*($C$103^2/TAN(C115)-'入力'!$Z$2^2*TAN('入力'!$Z$6))+$D$1*($C$103/TAN(C115)-'入力'!$Z$2*TAN('入力'!$Z$6)),2)</f>
        <v>374.44</v>
      </c>
      <c r="E115">
        <f>ROUND((D115*SIN(C115-$F$3)-'入力'!$Z$17*COS(C115-$F$3+'入力'!$Z$16))/COS(C115-$F$3-$F$4),2)</f>
        <v>14.05</v>
      </c>
      <c r="G115" s="20"/>
      <c r="H115" s="20"/>
      <c r="I115" s="20"/>
      <c r="J115" s="20"/>
    </row>
    <row r="116" spans="1:10" ht="13.5">
      <c r="A116">
        <f t="shared" si="5"/>
        <v>18.06</v>
      </c>
      <c r="B116">
        <f t="shared" si="7"/>
        <v>46</v>
      </c>
      <c r="C116">
        <f t="shared" si="6"/>
        <v>0.8028514559173915</v>
      </c>
      <c r="D116">
        <f>ROUND($D$2/2*($C$103^2/TAN(C116)-'入力'!$Z$2^2*TAN('入力'!$Z$6))+$D$1*($C$103/TAN(C116)-'入力'!$Z$2*TAN('入力'!$Z$6)),2)</f>
        <v>358.37</v>
      </c>
      <c r="E116">
        <f>ROUND((D116*SIN(C116-$F$3)-'入力'!$Z$17*COS(C116-$F$3+'入力'!$Z$16))/COS(C116-$F$3-$F$4),2)</f>
        <v>18.06</v>
      </c>
      <c r="G116" s="20"/>
      <c r="H116" s="20"/>
      <c r="I116" s="20"/>
      <c r="J116" s="20"/>
    </row>
    <row r="117" spans="1:10" ht="13.5">
      <c r="A117">
        <f t="shared" si="5"/>
        <v>21.58</v>
      </c>
      <c r="B117">
        <f t="shared" si="7"/>
        <v>47</v>
      </c>
      <c r="C117">
        <f t="shared" si="6"/>
        <v>0.8203047484373349</v>
      </c>
      <c r="D117">
        <f>ROUND($D$2/2*($C$103^2/TAN(C117)-'入力'!$Z$2^2*TAN('入力'!$Z$6))+$D$1*($C$103/TAN(C117)-'入力'!$Z$2*TAN('入力'!$Z$6)),2)</f>
        <v>342.83</v>
      </c>
      <c r="E117">
        <f>ROUND((D117*SIN(C117-$F$3)-'入力'!$Z$17*COS(C117-$F$3+'入力'!$Z$16))/COS(C117-$F$3-$F$4),2)</f>
        <v>21.58</v>
      </c>
      <c r="G117" s="20"/>
      <c r="H117" s="20"/>
      <c r="I117" s="20"/>
      <c r="J117" s="20"/>
    </row>
    <row r="118" spans="1:10" ht="13.5">
      <c r="A118">
        <f t="shared" si="5"/>
        <v>24.66</v>
      </c>
      <c r="B118">
        <f t="shared" si="7"/>
        <v>48</v>
      </c>
      <c r="C118">
        <f t="shared" si="6"/>
        <v>0.8377580409572781</v>
      </c>
      <c r="D118">
        <f>ROUND($D$2/2*($C$103^2/TAN(C118)-'入力'!$Z$2^2*TAN('入力'!$Z$6))+$D$1*($C$103/TAN(C118)-'入力'!$Z$2*TAN('入力'!$Z$6)),2)</f>
        <v>327.79</v>
      </c>
      <c r="E118">
        <f>ROUND((D118*SIN(C118-$F$3)-'入力'!$Z$17*COS(C118-$F$3+'入力'!$Z$16))/COS(C118-$F$3-$F$4),2)</f>
        <v>24.66</v>
      </c>
      <c r="G118" s="20"/>
      <c r="H118" s="20"/>
      <c r="I118" s="20"/>
      <c r="J118" s="20"/>
    </row>
    <row r="119" spans="1:10" ht="13.5">
      <c r="A119">
        <f t="shared" si="5"/>
        <v>27.31</v>
      </c>
      <c r="B119">
        <f t="shared" si="7"/>
        <v>49</v>
      </c>
      <c r="C119">
        <f t="shared" si="6"/>
        <v>0.8552113334772214</v>
      </c>
      <c r="D119">
        <f>ROUND($D$2/2*($C$103^2/TAN(C119)-'入力'!$Z$2^2*TAN('入力'!$Z$6))+$D$1*($C$103/TAN(C119)-'入力'!$Z$2*TAN('入力'!$Z$6)),2)</f>
        <v>313.22</v>
      </c>
      <c r="E119">
        <f>ROUND((D119*SIN(C119-$F$3)-'入力'!$Z$17*COS(C119-$F$3+'入力'!$Z$16))/COS(C119-$F$3-$F$4),2)</f>
        <v>27.31</v>
      </c>
      <c r="G119" s="20"/>
      <c r="H119" s="20"/>
      <c r="I119" s="20"/>
      <c r="J119" s="20"/>
    </row>
    <row r="120" spans="1:10" ht="13.5">
      <c r="A120">
        <f t="shared" si="5"/>
        <v>29.56</v>
      </c>
      <c r="B120">
        <f t="shared" si="7"/>
        <v>50</v>
      </c>
      <c r="C120">
        <f t="shared" si="6"/>
        <v>0.8726646259971648</v>
      </c>
      <c r="D120">
        <f>ROUND($D$2/2*($C$103^2/TAN(C120)-'入力'!$Z$2^2*TAN('入力'!$Z$6))+$D$1*($C$103/TAN(C120)-'入力'!$Z$2*TAN('入力'!$Z$6)),2)</f>
        <v>299.08</v>
      </c>
      <c r="E120">
        <f>ROUND((D120*SIN(C120-$F$3)-'入力'!$Z$17*COS(C120-$F$3+'入力'!$Z$16))/COS(C120-$F$3-$F$4),2)</f>
        <v>29.56</v>
      </c>
      <c r="G120" s="20"/>
      <c r="H120" s="20"/>
      <c r="I120" s="20"/>
      <c r="J120" s="20"/>
    </row>
    <row r="121" spans="1:10" ht="13.5">
      <c r="A121">
        <f t="shared" si="5"/>
        <v>31.43</v>
      </c>
      <c r="B121">
        <f t="shared" si="7"/>
        <v>51</v>
      </c>
      <c r="C121">
        <f t="shared" si="6"/>
        <v>0.890117918517108</v>
      </c>
      <c r="D121">
        <f>ROUND($D$2/2*($C$103^2/TAN(C121)-'入力'!$Z$2^2*TAN('入力'!$Z$6))+$D$1*($C$103/TAN(C121)-'入力'!$Z$2*TAN('入力'!$Z$6)),2)</f>
        <v>285.35</v>
      </c>
      <c r="E121">
        <f>ROUND((D121*SIN(C121-$F$3)-'入力'!$Z$17*COS(C121-$F$3+'入力'!$Z$16))/COS(C121-$F$3-$F$4),2)</f>
        <v>31.43</v>
      </c>
      <c r="G121" s="20"/>
      <c r="H121" s="20"/>
      <c r="I121" s="20"/>
      <c r="J121" s="20"/>
    </row>
    <row r="122" spans="1:10" ht="13.5">
      <c r="A122">
        <f t="shared" si="5"/>
        <v>32.95</v>
      </c>
      <c r="B122">
        <f t="shared" si="7"/>
        <v>52</v>
      </c>
      <c r="C122">
        <f t="shared" si="6"/>
        <v>0.9075712110370514</v>
      </c>
      <c r="D122">
        <f>ROUND($D$2/2*($C$103^2/TAN(C122)-'入力'!$Z$2^2*TAN('入力'!$Z$6))+$D$1*($C$103/TAN(C122)-'入力'!$Z$2*TAN('入力'!$Z$6)),2)</f>
        <v>272</v>
      </c>
      <c r="E122">
        <f>ROUND((D122*SIN(C122-$F$3)-'入力'!$Z$17*COS(C122-$F$3+'入力'!$Z$16))/COS(C122-$F$3-$F$4),2)</f>
        <v>32.95</v>
      </c>
      <c r="G122" s="20"/>
      <c r="H122" s="20"/>
      <c r="I122" s="20"/>
      <c r="J122" s="20"/>
    </row>
    <row r="123" spans="1:10" ht="13.5">
      <c r="A123">
        <f t="shared" si="5"/>
        <v>34.12</v>
      </c>
      <c r="B123">
        <f t="shared" si="7"/>
        <v>53</v>
      </c>
      <c r="C123">
        <f t="shared" si="6"/>
        <v>0.9250245035569946</v>
      </c>
      <c r="D123">
        <f>ROUND($D$2/2*($C$103^2/TAN(C123)-'入力'!$Z$2^2*TAN('入力'!$Z$6))+$D$1*($C$103/TAN(C123)-'入力'!$Z$2*TAN('入力'!$Z$6)),2)</f>
        <v>259.01</v>
      </c>
      <c r="E123">
        <f>ROUND((D123*SIN(C123-$F$3)-'入力'!$Z$17*COS(C123-$F$3+'入力'!$Z$16))/COS(C123-$F$3-$F$4),2)</f>
        <v>34.12</v>
      </c>
      <c r="G123" s="20"/>
      <c r="H123" s="20"/>
      <c r="I123" s="20"/>
      <c r="J123" s="20"/>
    </row>
    <row r="124" spans="1:10" ht="13.5">
      <c r="A124">
        <f t="shared" si="5"/>
        <v>34.96</v>
      </c>
      <c r="B124">
        <f t="shared" si="7"/>
        <v>54</v>
      </c>
      <c r="C124">
        <f t="shared" si="6"/>
        <v>0.9424777960769379</v>
      </c>
      <c r="D124">
        <f>ROUND($D$2/2*($C$103^2/TAN(C124)-'入力'!$Z$2^2*TAN('入力'!$Z$6))+$D$1*($C$103/TAN(C124)-'入力'!$Z$2*TAN('入力'!$Z$6)),2)</f>
        <v>246.36</v>
      </c>
      <c r="E124">
        <f>ROUND((D124*SIN(C124-$F$3)-'入力'!$Z$17*COS(C124-$F$3+'入力'!$Z$16))/COS(C124-$F$3-$F$4),2)</f>
        <v>34.96</v>
      </c>
      <c r="G124" s="20"/>
      <c r="H124" s="20"/>
      <c r="I124" s="20"/>
      <c r="J124" s="20"/>
    </row>
    <row r="125" spans="1:10" ht="13.5">
      <c r="A125">
        <f t="shared" si="5"/>
        <v>35.5</v>
      </c>
      <c r="B125">
        <f t="shared" si="7"/>
        <v>55</v>
      </c>
      <c r="C125">
        <f t="shared" si="6"/>
        <v>0.9599310885968813</v>
      </c>
      <c r="D125">
        <f>ROUND($D$2/2*($C$103^2/TAN(C125)-'入力'!$Z$2^2*TAN('入力'!$Z$6))+$D$1*($C$103/TAN(C125)-'入力'!$Z$2*TAN('入力'!$Z$6)),2)</f>
        <v>234.03</v>
      </c>
      <c r="E125">
        <f>ROUND((D125*SIN(C125-$F$3)-'入力'!$Z$17*COS(C125-$F$3+'入力'!$Z$16))/COS(C125-$F$3-$F$4),2)</f>
        <v>35.5</v>
      </c>
      <c r="G125" s="20"/>
      <c r="H125" s="20"/>
      <c r="I125" s="20"/>
      <c r="J125" s="20"/>
    </row>
    <row r="126" spans="1:10" ht="13.5">
      <c r="A126">
        <f t="shared" si="5"/>
        <v>35.73</v>
      </c>
      <c r="B126">
        <f t="shared" si="7"/>
        <v>56</v>
      </c>
      <c r="C126">
        <f t="shared" si="6"/>
        <v>0.9773843811168246</v>
      </c>
      <c r="D126">
        <f>ROUND($D$2/2*($C$103^2/TAN(C126)-'入力'!$Z$2^2*TAN('入力'!$Z$6))+$D$1*($C$103/TAN(C126)-'入力'!$Z$2*TAN('入力'!$Z$6)),2)</f>
        <v>221.99</v>
      </c>
      <c r="E126">
        <f>ROUND((D126*SIN(C126-$F$3)-'入力'!$Z$17*COS(C126-$F$3+'入力'!$Z$16))/COS(C126-$F$3-$F$4),2)</f>
        <v>35.73</v>
      </c>
      <c r="G126" s="20"/>
      <c r="H126" s="20"/>
      <c r="I126" s="20"/>
      <c r="J126" s="20"/>
    </row>
    <row r="127" spans="1:10" ht="13.5">
      <c r="A127">
        <f t="shared" si="5"/>
        <v>35.68</v>
      </c>
      <c r="B127">
        <f t="shared" si="7"/>
        <v>57</v>
      </c>
      <c r="C127">
        <f t="shared" si="6"/>
        <v>0.9948376736367678</v>
      </c>
      <c r="D127">
        <f>ROUND($D$2/2*($C$103^2/TAN(C127)-'入力'!$Z$2^2*TAN('入力'!$Z$6))+$D$1*($C$103/TAN(C127)-'入力'!$Z$2*TAN('入力'!$Z$6)),2)</f>
        <v>210.24</v>
      </c>
      <c r="E127">
        <f>ROUND((D127*SIN(C127-$F$3)-'入力'!$Z$17*COS(C127-$F$3+'入力'!$Z$16))/COS(C127-$F$3-$F$4),2)</f>
        <v>35.68</v>
      </c>
      <c r="G127" s="20"/>
      <c r="H127" s="20"/>
      <c r="I127" s="20"/>
      <c r="J127" s="20"/>
    </row>
    <row r="128" spans="1:10" ht="13.5">
      <c r="A128">
        <f t="shared" si="5"/>
        <v>35.35</v>
      </c>
      <c r="B128">
        <f t="shared" si="7"/>
        <v>58</v>
      </c>
      <c r="C128">
        <f t="shared" si="6"/>
        <v>1.0122909661567112</v>
      </c>
      <c r="D128">
        <f>ROUND($D$2/2*($C$103^2/TAN(C128)-'入力'!$Z$2^2*TAN('入力'!$Z$6))+$D$1*($C$103/TAN(C128)-'入力'!$Z$2*TAN('入力'!$Z$6)),2)</f>
        <v>198.74</v>
      </c>
      <c r="E128">
        <f>ROUND((D128*SIN(C128-$F$3)-'入力'!$Z$17*COS(C128-$F$3+'入力'!$Z$16))/COS(C128-$F$3-$F$4),2)</f>
        <v>35.35</v>
      </c>
      <c r="G128" s="20"/>
      <c r="H128" s="20"/>
      <c r="I128" s="20"/>
      <c r="J128" s="20"/>
    </row>
    <row r="129" spans="1:10" ht="13.5">
      <c r="A129">
        <f t="shared" si="5"/>
        <v>34.75</v>
      </c>
      <c r="B129">
        <f t="shared" si="7"/>
        <v>59</v>
      </c>
      <c r="C129">
        <f t="shared" si="6"/>
        <v>1.0297442586766543</v>
      </c>
      <c r="D129">
        <f>ROUND($D$2/2*($C$103^2/TAN(C129)-'入力'!$Z$2^2*TAN('入力'!$Z$6))+$D$1*($C$103/TAN(C129)-'入力'!$Z$2*TAN('入力'!$Z$6)),2)</f>
        <v>187.5</v>
      </c>
      <c r="E129">
        <f>ROUND((D129*SIN(C129-$F$3)-'入力'!$Z$17*COS(C129-$F$3+'入力'!$Z$16))/COS(C129-$F$3-$F$4),2)</f>
        <v>34.75</v>
      </c>
      <c r="G129" s="20"/>
      <c r="H129" s="20"/>
      <c r="I129" s="20"/>
      <c r="J129" s="20"/>
    </row>
    <row r="130" spans="1:10" ht="13.5">
      <c r="A130">
        <f t="shared" si="5"/>
        <v>33.89</v>
      </c>
      <c r="B130">
        <f t="shared" si="7"/>
        <v>60</v>
      </c>
      <c r="C130">
        <f t="shared" si="6"/>
        <v>1.0471975511965976</v>
      </c>
      <c r="D130">
        <f>ROUND($D$2/2*($C$103^2/TAN(C130)-'入力'!$Z$2^2*TAN('入力'!$Z$6))+$D$1*($C$103/TAN(C130)-'入力'!$Z$2*TAN('入力'!$Z$6)),2)</f>
        <v>176.49</v>
      </c>
      <c r="E130">
        <f>ROUND((D130*SIN(C130-$F$3)-'入力'!$Z$17*COS(C130-$F$3+'入力'!$Z$16))/COS(C130-$F$3-$F$4),2)</f>
        <v>33.89</v>
      </c>
      <c r="G130" s="20"/>
      <c r="H130" s="20"/>
      <c r="I130" s="20"/>
      <c r="J130" s="20"/>
    </row>
    <row r="131" spans="1:10" ht="13.5">
      <c r="A131">
        <f t="shared" si="5"/>
        <v>32.78</v>
      </c>
      <c r="B131">
        <f t="shared" si="7"/>
        <v>61</v>
      </c>
      <c r="C131">
        <f t="shared" si="6"/>
        <v>1.064650843716541</v>
      </c>
      <c r="D131">
        <f>ROUND($D$2/2*($C$103^2/TAN(C131)-'入力'!$Z$2^2*TAN('入力'!$Z$6))+$D$1*($C$103/TAN(C131)-'入力'!$Z$2*TAN('入力'!$Z$6)),2)</f>
        <v>165.69</v>
      </c>
      <c r="E131">
        <f>ROUND((D131*SIN(C131-$F$3)-'入力'!$Z$17*COS(C131-$F$3+'入力'!$Z$16))/COS(C131-$F$3-$F$4),2)</f>
        <v>32.78</v>
      </c>
      <c r="G131" s="20"/>
      <c r="H131" s="20"/>
      <c r="I131" s="20"/>
      <c r="J131" s="20"/>
    </row>
    <row r="132" spans="1:10" ht="13.5">
      <c r="A132">
        <f t="shared" si="5"/>
        <v>31.42</v>
      </c>
      <c r="B132">
        <f t="shared" si="7"/>
        <v>62</v>
      </c>
      <c r="C132">
        <f t="shared" si="6"/>
        <v>1.0821041362364843</v>
      </c>
      <c r="D132">
        <f>ROUND($D$2/2*($C$103^2/TAN(C132)-'入力'!$Z$2^2*TAN('入力'!$Z$6))+$D$1*($C$103/TAN(C132)-'入力'!$Z$2*TAN('入力'!$Z$6)),2)</f>
        <v>155.11</v>
      </c>
      <c r="E132">
        <f>ROUND((D132*SIN(C132-$F$3)-'入力'!$Z$17*COS(C132-$F$3+'入力'!$Z$16))/COS(C132-$F$3-$F$4),2)</f>
        <v>31.42</v>
      </c>
      <c r="G132" s="20"/>
      <c r="H132" s="20"/>
      <c r="I132" s="20"/>
      <c r="J132" s="20"/>
    </row>
    <row r="133" spans="1:10" ht="13.5">
      <c r="A133">
        <f t="shared" si="5"/>
        <v>29.82</v>
      </c>
      <c r="B133">
        <f t="shared" si="7"/>
        <v>63</v>
      </c>
      <c r="C133">
        <f t="shared" si="6"/>
        <v>1.0995574287564276</v>
      </c>
      <c r="D133">
        <f>ROUND($D$2/2*($C$103^2/TAN(C133)-'入力'!$Z$2^2*TAN('入力'!$Z$6))+$D$1*($C$103/TAN(C133)-'入力'!$Z$2*TAN('入力'!$Z$6)),2)</f>
        <v>144.72</v>
      </c>
      <c r="E133">
        <f>ROUND((D133*SIN(C133-$F$3)-'入力'!$Z$17*COS(C133-$F$3+'入力'!$Z$16))/COS(C133-$F$3-$F$4),2)</f>
        <v>29.82</v>
      </c>
      <c r="G133" s="20"/>
      <c r="H133" s="20"/>
      <c r="I133" s="20"/>
      <c r="J133" s="20"/>
    </row>
    <row r="134" spans="1:10" ht="13.5">
      <c r="A134">
        <f t="shared" si="5"/>
        <v>27.98</v>
      </c>
      <c r="B134">
        <f t="shared" si="7"/>
        <v>64</v>
      </c>
      <c r="C134">
        <f t="shared" si="6"/>
        <v>1.117010721276371</v>
      </c>
      <c r="D134">
        <f>ROUND($D$2/2*($C$103^2/TAN(C134)-'入力'!$Z$2^2*TAN('入力'!$Z$6))+$D$1*($C$103/TAN(C134)-'入力'!$Z$2*TAN('入力'!$Z$6)),2)</f>
        <v>134.51</v>
      </c>
      <c r="E134">
        <f>ROUND((D134*SIN(C134-$F$3)-'入力'!$Z$17*COS(C134-$F$3+'入力'!$Z$16))/COS(C134-$F$3-$F$4),2)</f>
        <v>27.98</v>
      </c>
      <c r="G134" s="20"/>
      <c r="H134" s="20"/>
      <c r="I134" s="20"/>
      <c r="J134" s="20"/>
    </row>
    <row r="135" spans="1:10" ht="13.5">
      <c r="A135">
        <f t="shared" si="5"/>
        <v>25.91</v>
      </c>
      <c r="B135">
        <f t="shared" si="7"/>
        <v>65</v>
      </c>
      <c r="C135">
        <f t="shared" si="6"/>
        <v>1.1344640137963142</v>
      </c>
      <c r="D135">
        <f>ROUND($D$2/2*($C$103^2/TAN(C135)-'入力'!$Z$2^2*TAN('入力'!$Z$6))+$D$1*($C$103/TAN(C135)-'入力'!$Z$2*TAN('入力'!$Z$6)),2)</f>
        <v>124.48</v>
      </c>
      <c r="E135">
        <f>ROUND((D135*SIN(C135-$F$3)-'入力'!$Z$17*COS(C135-$F$3+'入力'!$Z$16))/COS(C135-$F$3-$F$4),2)</f>
        <v>25.91</v>
      </c>
      <c r="G135" s="20"/>
      <c r="H135" s="20"/>
      <c r="I135" s="20"/>
      <c r="J135" s="20"/>
    </row>
    <row r="136" spans="1:10" ht="13.5">
      <c r="A136">
        <f t="shared" si="5"/>
        <v>23.6</v>
      </c>
      <c r="B136">
        <f t="shared" si="7"/>
        <v>66</v>
      </c>
      <c r="C136">
        <f t="shared" si="6"/>
        <v>1.1519173063162575</v>
      </c>
      <c r="D136">
        <f>ROUND($D$2/2*($C$103^2/TAN(C136)-'入力'!$Z$2^2*TAN('入力'!$Z$6))+$D$1*($C$103/TAN(C136)-'入力'!$Z$2*TAN('入力'!$Z$6)),2)</f>
        <v>114.6</v>
      </c>
      <c r="E136">
        <f>ROUND((D136*SIN(C136-$F$3)-'入力'!$Z$17*COS(C136-$F$3+'入力'!$Z$16))/COS(C136-$F$3-$F$4),2)</f>
        <v>23.6</v>
      </c>
      <c r="G136" s="20"/>
      <c r="H136" s="20"/>
      <c r="I136" s="20"/>
      <c r="J136" s="20"/>
    </row>
    <row r="137" spans="1:10" ht="13.5">
      <c r="A137">
        <f t="shared" si="5"/>
        <v>21.07</v>
      </c>
      <c r="B137">
        <f t="shared" si="7"/>
        <v>67</v>
      </c>
      <c r="C137">
        <f t="shared" si="6"/>
        <v>1.1693705988362006</v>
      </c>
      <c r="D137">
        <f>ROUND($D$2/2*($C$103^2/TAN(C137)-'入力'!$Z$2^2*TAN('入力'!$Z$6))+$D$1*($C$103/TAN(C137)-'入力'!$Z$2*TAN('入力'!$Z$6)),2)</f>
        <v>104.88</v>
      </c>
      <c r="E137">
        <f>ROUND((D137*SIN(C137-$F$3)-'入力'!$Z$17*COS(C137-$F$3+'入力'!$Z$16))/COS(C137-$F$3-$F$4),2)</f>
        <v>21.07</v>
      </c>
      <c r="G137" s="20"/>
      <c r="H137" s="20"/>
      <c r="I137" s="20"/>
      <c r="J137" s="20"/>
    </row>
    <row r="138" spans="1:10" ht="13.5">
      <c r="A138">
        <f t="shared" si="5"/>
        <v>18.32</v>
      </c>
      <c r="B138">
        <f t="shared" si="7"/>
        <v>68</v>
      </c>
      <c r="C138">
        <f t="shared" si="6"/>
        <v>1.1868238913561442</v>
      </c>
      <c r="D138">
        <f>ROUND($D$2/2*($C$103^2/TAN(C138)-'入力'!$Z$2^2*TAN('入力'!$Z$6))+$D$1*($C$103/TAN(C138)-'入力'!$Z$2*TAN('入力'!$Z$6)),2)</f>
        <v>95.31</v>
      </c>
      <c r="E138">
        <f>ROUND((D138*SIN(C138-$F$3)-'入力'!$Z$17*COS(C138-$F$3+'入力'!$Z$16))/COS(C138-$F$3-$F$4),2)</f>
        <v>18.32</v>
      </c>
      <c r="G138" s="20"/>
      <c r="H138" s="20"/>
      <c r="I138" s="20"/>
      <c r="J138" s="20"/>
    </row>
    <row r="139" spans="1:10" ht="13.5">
      <c r="A139">
        <f t="shared" si="5"/>
        <v>15.34</v>
      </c>
      <c r="B139">
        <f t="shared" si="7"/>
        <v>69</v>
      </c>
      <c r="C139">
        <f t="shared" si="6"/>
        <v>1.2042771838760873</v>
      </c>
      <c r="D139">
        <f>ROUND($D$2/2*($C$103^2/TAN(C139)-'入力'!$Z$2^2*TAN('入力'!$Z$6))+$D$1*($C$103/TAN(C139)-'入力'!$Z$2*TAN('入力'!$Z$6)),2)</f>
        <v>85.86</v>
      </c>
      <c r="E139">
        <f>ROUND((D139*SIN(C139-$F$3)-'入力'!$Z$17*COS(C139-$F$3+'入力'!$Z$16))/COS(C139-$F$3-$F$4),2)</f>
        <v>15.34</v>
      </c>
      <c r="G139" s="20"/>
      <c r="H139" s="20"/>
      <c r="I139" s="20"/>
      <c r="J139" s="20"/>
    </row>
    <row r="140" spans="1:10" ht="13.5">
      <c r="A140">
        <f t="shared" si="5"/>
        <v>12.13</v>
      </c>
      <c r="B140">
        <f t="shared" si="7"/>
        <v>70</v>
      </c>
      <c r="C140">
        <f t="shared" si="6"/>
        <v>1.2217304763960306</v>
      </c>
      <c r="D140">
        <f>ROUND($D$2/2*($C$103^2/TAN(C140)-'入力'!$Z$2^2*TAN('入力'!$Z$6))+$D$1*($C$103/TAN(C140)-'入力'!$Z$2*TAN('入力'!$Z$6)),2)</f>
        <v>76.54</v>
      </c>
      <c r="E140">
        <f>ROUND((D140*SIN(C140-$F$3)-'入力'!$Z$17*COS(C140-$F$3+'入力'!$Z$16))/COS(C140-$F$3-$F$4),2)</f>
        <v>12.13</v>
      </c>
      <c r="G140" s="20"/>
      <c r="H140" s="20"/>
      <c r="I140" s="20"/>
      <c r="J140" s="20"/>
    </row>
    <row r="141" spans="1:10" ht="13.5">
      <c r="A141">
        <f t="shared" si="5"/>
        <v>8.69</v>
      </c>
      <c r="B141">
        <f t="shared" si="7"/>
        <v>71</v>
      </c>
      <c r="C141">
        <f t="shared" si="6"/>
        <v>1.239183768915974</v>
      </c>
      <c r="D141">
        <f>ROUND($D$2/2*($C$103^2/TAN(C141)-'入力'!$Z$2^2*TAN('入力'!$Z$6))+$D$1*($C$103/TAN(C141)-'入力'!$Z$2*TAN('入力'!$Z$6)),2)</f>
        <v>67.34</v>
      </c>
      <c r="E141">
        <f>ROUND((D141*SIN(C141-$F$3)-'入力'!$Z$17*COS(C141-$F$3+'入力'!$Z$16))/COS(C141-$F$3-$F$4),2)</f>
        <v>8.69</v>
      </c>
      <c r="G141" s="20"/>
      <c r="H141" s="20"/>
      <c r="I141" s="20"/>
      <c r="J141" s="20"/>
    </row>
    <row r="142" spans="1:10" ht="13.5">
      <c r="A142">
        <f t="shared" si="5"/>
        <v>5.04</v>
      </c>
      <c r="B142">
        <f t="shared" si="7"/>
        <v>72</v>
      </c>
      <c r="C142">
        <f t="shared" si="6"/>
        <v>1.2566370614359172</v>
      </c>
      <c r="D142">
        <f>ROUND($D$2/2*($C$103^2/TAN(C142)-'入力'!$Z$2^2*TAN('入力'!$Z$6))+$D$1*($C$103/TAN(C142)-'入力'!$Z$2*TAN('入力'!$Z$6)),2)</f>
        <v>58.25</v>
      </c>
      <c r="E142">
        <f>ROUND((D142*SIN(C142-$F$3)-'入力'!$Z$17*COS(C142-$F$3+'入力'!$Z$16))/COS(C142-$F$3-$F$4),2)</f>
        <v>5.04</v>
      </c>
      <c r="G142" s="20"/>
      <c r="H142" s="20"/>
      <c r="I142" s="20"/>
      <c r="J142" s="20"/>
    </row>
    <row r="143" spans="1:10" ht="13.5">
      <c r="A143">
        <f t="shared" si="5"/>
        <v>1.15</v>
      </c>
      <c r="B143">
        <f t="shared" si="7"/>
        <v>73</v>
      </c>
      <c r="C143">
        <f t="shared" si="6"/>
        <v>1.2740903539558606</v>
      </c>
      <c r="D143">
        <f>ROUND($D$2/2*($C$103^2/TAN(C143)-'入力'!$Z$2^2*TAN('入力'!$Z$6))+$D$1*($C$103/TAN(C143)-'入力'!$Z$2*TAN('入力'!$Z$6)),2)</f>
        <v>49.27</v>
      </c>
      <c r="E143">
        <f>ROUND((D143*SIN(C143-$F$3)-'入力'!$Z$17*COS(C143-$F$3+'入力'!$Z$16))/COS(C143-$F$3-$F$4),2)</f>
        <v>1.15</v>
      </c>
      <c r="G143" s="20"/>
      <c r="H143" s="20"/>
      <c r="I143" s="20"/>
      <c r="J143" s="20"/>
    </row>
    <row r="144" spans="1:10" ht="13.5">
      <c r="A144">
        <f t="shared" si="5"/>
        <v>-2.97</v>
      </c>
      <c r="B144">
        <f t="shared" si="7"/>
        <v>74</v>
      </c>
      <c r="C144">
        <f t="shared" si="6"/>
        <v>1.2915436464758039</v>
      </c>
      <c r="D144">
        <f>ROUND($D$2/2*($C$103^2/TAN(C144)-'入力'!$Z$2^2*TAN('入力'!$Z$6))+$D$1*($C$103/TAN(C144)-'入力'!$Z$2*TAN('入力'!$Z$6)),2)</f>
        <v>40.37</v>
      </c>
      <c r="E144">
        <f>ROUND((D144*SIN(C144-$F$3)-'入力'!$Z$17*COS(C144-$F$3+'入力'!$Z$16))/COS(C144-$F$3-$F$4),2)</f>
        <v>-2.97</v>
      </c>
      <c r="G144" s="20"/>
      <c r="H144" s="20"/>
      <c r="I144" s="20"/>
      <c r="J144" s="20"/>
    </row>
    <row r="145" spans="1:10" ht="13.5">
      <c r="A145">
        <f t="shared" si="5"/>
        <v>-7.31</v>
      </c>
      <c r="B145">
        <f t="shared" si="7"/>
        <v>75</v>
      </c>
      <c r="C145">
        <f t="shared" si="6"/>
        <v>1.3089969389957472</v>
      </c>
      <c r="D145">
        <f>ROUND($D$2/2*($C$103^2/TAN(C145)-'入力'!$Z$2^2*TAN('入力'!$Z$6))+$D$1*($C$103/TAN(C145)-'入力'!$Z$2*TAN('入力'!$Z$6)),2)</f>
        <v>31.57</v>
      </c>
      <c r="E145">
        <f>ROUND((D145*SIN(C145-$F$3)-'入力'!$Z$17*COS(C145-$F$3+'入力'!$Z$16))/COS(C145-$F$3-$F$4),2)</f>
        <v>-7.31</v>
      </c>
      <c r="G145" s="20"/>
      <c r="H145" s="20"/>
      <c r="I145" s="20"/>
      <c r="J145" s="20"/>
    </row>
    <row r="146" spans="7:10" ht="13.5">
      <c r="G146" s="20"/>
      <c r="H146" s="20"/>
      <c r="I146" s="20"/>
      <c r="J146" s="20"/>
    </row>
    <row r="147" spans="1:10" ht="13.5">
      <c r="A147">
        <f>MAX(A106:A145)</f>
        <v>35.73</v>
      </c>
      <c r="B147">
        <f>VLOOKUP($A$147,$A$106:$E$145,2,FALSE)</f>
        <v>56</v>
      </c>
      <c r="C147">
        <f>VLOOKUP($A$147,$A$106:$E$145,3,FALSE)</f>
        <v>0.9773843811168246</v>
      </c>
      <c r="D147">
        <f>VLOOKUP($A$147,$A$106:$E$145,4,FALSE)</f>
        <v>221.99</v>
      </c>
      <c r="E147">
        <f>MAX(E106:E145)</f>
        <v>35.73</v>
      </c>
      <c r="G147" s="20"/>
      <c r="H147" s="20"/>
      <c r="I147" s="20"/>
      <c r="J147" s="20"/>
    </row>
    <row r="148" spans="7:10" ht="13.5">
      <c r="G148" s="20"/>
      <c r="H148" s="20"/>
      <c r="I148" s="20"/>
      <c r="J148" s="20"/>
    </row>
    <row r="149" spans="2:10" ht="13.5">
      <c r="B149" t="s">
        <v>72</v>
      </c>
      <c r="C149">
        <f>A97</f>
        <v>76.84</v>
      </c>
      <c r="D149" t="s">
        <v>32</v>
      </c>
      <c r="G149" s="20"/>
      <c r="H149" s="20"/>
      <c r="I149" s="20"/>
      <c r="J149" s="20"/>
    </row>
    <row r="150" spans="2:10" ht="13.5">
      <c r="B150" t="s">
        <v>73</v>
      </c>
      <c r="C150">
        <f>A147</f>
        <v>35.73</v>
      </c>
      <c r="D150" t="s">
        <v>32</v>
      </c>
      <c r="G150" s="20"/>
      <c r="H150" s="20"/>
      <c r="I150" s="20"/>
      <c r="J150" s="20"/>
    </row>
    <row r="151" spans="2:10" ht="13.5">
      <c r="B151" t="s">
        <v>74</v>
      </c>
      <c r="C151">
        <f>ROUND(J11,2)</f>
        <v>2.28</v>
      </c>
      <c r="D151" t="s">
        <v>20</v>
      </c>
      <c r="G151" s="20"/>
      <c r="H151" s="20"/>
      <c r="I151" s="20"/>
      <c r="J151" s="20"/>
    </row>
    <row r="152" spans="7:10" ht="13.5">
      <c r="G152" s="20"/>
      <c r="H152" s="20"/>
      <c r="I152" s="20"/>
      <c r="J152" s="20"/>
    </row>
    <row r="153" spans="2:10" ht="13.5">
      <c r="B153" t="s">
        <v>75</v>
      </c>
      <c r="C153">
        <f>ROUND((4*C150-C149)/C151,2)</f>
        <v>28.98</v>
      </c>
      <c r="D153" t="s">
        <v>77</v>
      </c>
      <c r="G153" s="20"/>
      <c r="H153" s="20"/>
      <c r="I153" s="20"/>
      <c r="J153" s="20"/>
    </row>
    <row r="154" spans="2:10" ht="13.5">
      <c r="B154" t="s">
        <v>76</v>
      </c>
      <c r="C154">
        <f>ROUND(2*C149/C151-C153,2)</f>
        <v>38.42</v>
      </c>
      <c r="D154" t="s">
        <v>77</v>
      </c>
      <c r="G154" s="20"/>
      <c r="H154" s="20"/>
      <c r="I154" s="20"/>
      <c r="J154" s="20"/>
    </row>
    <row r="155" spans="7:10" ht="13.5">
      <c r="G155" s="20"/>
      <c r="H155" s="20"/>
      <c r="I155" s="20"/>
      <c r="J155" s="20"/>
    </row>
    <row r="156" spans="2:10" ht="13.5">
      <c r="B156" t="s">
        <v>78</v>
      </c>
      <c r="C156">
        <f>I12</f>
        <v>3</v>
      </c>
      <c r="D156" t="s">
        <v>20</v>
      </c>
      <c r="G156" s="20"/>
      <c r="H156" s="20"/>
      <c r="I156" s="20"/>
      <c r="J156" s="20"/>
    </row>
    <row r="157" spans="2:10" ht="13.5">
      <c r="B157" t="s">
        <v>79</v>
      </c>
      <c r="C157">
        <f>ROUND(C151/3*(2*C153+C154)/(C153+C154),2)</f>
        <v>1.09</v>
      </c>
      <c r="D157" t="s">
        <v>20</v>
      </c>
      <c r="G157" s="20"/>
      <c r="H157" s="20"/>
      <c r="I157" s="20"/>
      <c r="J157" s="20"/>
    </row>
    <row r="158" spans="7:10" ht="13.5">
      <c r="G158" s="20"/>
      <c r="H158" s="20"/>
      <c r="I158" s="20"/>
      <c r="J158" s="20"/>
    </row>
    <row r="159" spans="2:10" ht="13.5">
      <c r="B159" t="s">
        <v>80</v>
      </c>
      <c r="C159">
        <f>ROUND(C149*SIN(F4),2)</f>
        <v>30.43</v>
      </c>
      <c r="D159" t="s">
        <v>49</v>
      </c>
      <c r="G159" s="20"/>
      <c r="H159" s="20"/>
      <c r="I159" s="20"/>
      <c r="J159" s="20"/>
    </row>
    <row r="160" spans="2:10" ht="13.5">
      <c r="B160" t="s">
        <v>81</v>
      </c>
      <c r="C160">
        <f>ROUND(C149*COS(F4),2)</f>
        <v>70.56</v>
      </c>
      <c r="D160" t="s">
        <v>49</v>
      </c>
      <c r="G160" s="20"/>
      <c r="H160" s="20"/>
      <c r="I160" s="20"/>
      <c r="J160" s="20"/>
    </row>
    <row r="161" spans="7:10" ht="13.5">
      <c r="G161" s="20"/>
      <c r="H161" s="20"/>
      <c r="I161" s="20"/>
      <c r="J161" s="20"/>
    </row>
    <row r="162" spans="7:10" ht="13.5">
      <c r="G162" s="20"/>
      <c r="H162" s="20"/>
      <c r="I162" s="20"/>
      <c r="J162" s="20"/>
    </row>
    <row r="163" spans="7:10" ht="13.5">
      <c r="G163" s="20"/>
      <c r="H163" s="20"/>
      <c r="I163" s="20"/>
      <c r="J163" s="20"/>
    </row>
    <row r="164" spans="7:10" ht="13.5">
      <c r="G164" s="20"/>
      <c r="H164" s="20"/>
      <c r="I164" s="20"/>
      <c r="J164" s="20"/>
    </row>
    <row r="165" spans="1:10" ht="13.5">
      <c r="A165" t="s">
        <v>63</v>
      </c>
      <c r="E165" s="20"/>
      <c r="F165" s="20"/>
      <c r="G165" s="20"/>
      <c r="H165" s="20"/>
      <c r="I165" s="20"/>
      <c r="J165" s="20"/>
    </row>
    <row r="166" spans="2:10" ht="15">
      <c r="B166" s="1" t="s">
        <v>59</v>
      </c>
      <c r="C166" s="2" t="s">
        <v>60</v>
      </c>
      <c r="D166" s="3" t="s">
        <v>61</v>
      </c>
      <c r="E166" s="21"/>
      <c r="F166" s="21"/>
      <c r="G166" s="21"/>
      <c r="H166" s="21"/>
      <c r="I166" s="21"/>
      <c r="J166" s="20"/>
    </row>
    <row r="167" spans="2:10" ht="15">
      <c r="B167" s="4">
        <v>0</v>
      </c>
      <c r="C167" s="5">
        <f>I6</f>
        <v>0</v>
      </c>
      <c r="D167" s="6">
        <f>J6</f>
        <v>0</v>
      </c>
      <c r="E167" s="11"/>
      <c r="F167" s="11"/>
      <c r="G167" s="11"/>
      <c r="H167" s="11"/>
      <c r="I167" s="11"/>
      <c r="J167" s="20"/>
    </row>
    <row r="168" spans="2:10" ht="15">
      <c r="B168" s="4">
        <f>B167+1</f>
        <v>1</v>
      </c>
      <c r="C168" s="5">
        <f aca="true" t="shared" si="8" ref="C168:D171">I7</f>
        <v>0</v>
      </c>
      <c r="D168" s="6">
        <f t="shared" si="8"/>
        <v>1</v>
      </c>
      <c r="E168" s="11"/>
      <c r="F168" s="11"/>
      <c r="G168" s="11"/>
      <c r="H168" s="11"/>
      <c r="I168" s="11"/>
      <c r="J168" s="20"/>
    </row>
    <row r="169" spans="2:10" ht="15">
      <c r="B169" s="4">
        <f>B168+1</f>
        <v>2</v>
      </c>
      <c r="C169" s="5">
        <f t="shared" si="8"/>
        <v>0.5</v>
      </c>
      <c r="D169" s="6">
        <f t="shared" si="8"/>
        <v>1</v>
      </c>
      <c r="E169" s="11"/>
      <c r="F169" s="11"/>
      <c r="G169" s="11"/>
      <c r="H169" s="11"/>
      <c r="I169" s="11"/>
      <c r="J169" s="20"/>
    </row>
    <row r="170" spans="2:10" ht="15">
      <c r="B170" s="4">
        <f>B169+1</f>
        <v>3</v>
      </c>
      <c r="C170" s="5">
        <f t="shared" si="8"/>
        <v>1.25</v>
      </c>
      <c r="D170" s="6">
        <f t="shared" si="8"/>
        <v>2.5</v>
      </c>
      <c r="E170" s="11"/>
      <c r="F170" s="11"/>
      <c r="G170" s="11"/>
      <c r="H170" s="11"/>
      <c r="I170" s="11"/>
      <c r="J170" s="20"/>
    </row>
    <row r="171" spans="2:10" ht="15">
      <c r="B171" s="4">
        <f aca="true" t="shared" si="9" ref="B171:B176">B170+1</f>
        <v>4</v>
      </c>
      <c r="C171" s="5">
        <f t="shared" si="8"/>
        <v>1.45</v>
      </c>
      <c r="D171" s="6">
        <f t="shared" si="8"/>
        <v>2.5</v>
      </c>
      <c r="E171" s="11"/>
      <c r="F171" s="11"/>
      <c r="G171" s="11"/>
      <c r="H171" s="11"/>
      <c r="I171" s="11"/>
      <c r="J171" s="20"/>
    </row>
    <row r="172" spans="2:10" ht="15">
      <c r="B172" s="4">
        <f t="shared" si="9"/>
        <v>5</v>
      </c>
      <c r="C172" s="5">
        <f>I16</f>
        <v>3.95</v>
      </c>
      <c r="D172" s="6">
        <f>K16</f>
        <v>7.5</v>
      </c>
      <c r="E172" s="11"/>
      <c r="F172" s="11"/>
      <c r="G172" s="11"/>
      <c r="H172" s="11"/>
      <c r="I172" s="11"/>
      <c r="J172" s="20"/>
    </row>
    <row r="173" spans="2:10" ht="15">
      <c r="B173" s="4">
        <f t="shared" si="9"/>
        <v>6</v>
      </c>
      <c r="C173" s="5">
        <f>I17</f>
        <v>4.509016994374948</v>
      </c>
      <c r="D173" s="6">
        <f>K17</f>
        <v>7.5</v>
      </c>
      <c r="E173" s="11"/>
      <c r="F173" s="11"/>
      <c r="G173" s="11"/>
      <c r="H173" s="11"/>
      <c r="I173" s="11"/>
      <c r="J173" s="20"/>
    </row>
    <row r="174" spans="2:10" ht="15">
      <c r="B174" s="4">
        <f t="shared" si="9"/>
        <v>7</v>
      </c>
      <c r="C174" s="5">
        <f>I18</f>
        <v>1.8972135954999578</v>
      </c>
      <c r="D174" s="6">
        <f>K18</f>
        <v>2.276393202250021</v>
      </c>
      <c r="E174" s="11"/>
      <c r="F174" s="11"/>
      <c r="G174" s="11"/>
      <c r="H174" s="11"/>
      <c r="I174" s="11"/>
      <c r="J174" s="20"/>
    </row>
    <row r="175" spans="2:10" ht="15">
      <c r="B175" s="4">
        <f t="shared" si="9"/>
        <v>8</v>
      </c>
      <c r="C175" s="5">
        <f aca="true" t="shared" si="10" ref="C175:D177">I12</f>
        <v>3</v>
      </c>
      <c r="D175" s="6">
        <f t="shared" si="10"/>
        <v>2.276393202250021</v>
      </c>
      <c r="E175" s="11"/>
      <c r="F175" s="11"/>
      <c r="G175" s="11"/>
      <c r="H175" s="11"/>
      <c r="I175" s="11"/>
      <c r="J175" s="20"/>
    </row>
    <row r="176" spans="2:10" ht="15">
      <c r="B176" s="4">
        <f t="shared" si="9"/>
        <v>9</v>
      </c>
      <c r="C176" s="5">
        <f t="shared" si="10"/>
        <v>3</v>
      </c>
      <c r="D176" s="6">
        <f t="shared" si="10"/>
        <v>0</v>
      </c>
      <c r="E176" s="11"/>
      <c r="F176" s="11"/>
      <c r="G176" s="11"/>
      <c r="H176" s="11"/>
      <c r="I176" s="11"/>
      <c r="J176" s="20"/>
    </row>
    <row r="177" spans="2:10" ht="15">
      <c r="B177" s="4">
        <v>0</v>
      </c>
      <c r="C177" s="5">
        <f t="shared" si="10"/>
        <v>0</v>
      </c>
      <c r="D177" s="6">
        <f t="shared" si="10"/>
        <v>0</v>
      </c>
      <c r="E177" s="11"/>
      <c r="F177" s="11"/>
      <c r="G177" s="11"/>
      <c r="H177" s="11"/>
      <c r="I177" s="11"/>
      <c r="J177" s="20"/>
    </row>
    <row r="178" spans="2:10" ht="15">
      <c r="B178" s="7" t="s">
        <v>62</v>
      </c>
      <c r="C178" s="8"/>
      <c r="D178" s="9"/>
      <c r="E178" s="11"/>
      <c r="F178" s="11"/>
      <c r="G178" s="11"/>
      <c r="H178" s="11"/>
      <c r="I178" s="11"/>
      <c r="J178" s="20"/>
    </row>
    <row r="179" spans="2:10" ht="15">
      <c r="B179" s="10"/>
      <c r="C179" s="11"/>
      <c r="D179" s="11"/>
      <c r="E179" s="11"/>
      <c r="F179" s="11"/>
      <c r="G179" s="11"/>
      <c r="H179" s="11"/>
      <c r="I179" s="11"/>
      <c r="J179" s="20"/>
    </row>
    <row r="180" spans="2:10" ht="15">
      <c r="B180" s="10"/>
      <c r="C180" s="13"/>
      <c r="D180" s="14"/>
      <c r="E180" s="15"/>
      <c r="F180" s="16"/>
      <c r="G180" s="11"/>
      <c r="H180" s="11"/>
      <c r="I180" s="11"/>
      <c r="J180" s="20"/>
    </row>
    <row r="181" spans="2:9" ht="15">
      <c r="B181" s="10"/>
      <c r="C181" s="13"/>
      <c r="D181" s="14"/>
      <c r="E181" s="17"/>
      <c r="F181" s="16"/>
      <c r="G181" s="11"/>
      <c r="H181" s="11"/>
      <c r="I181" s="11"/>
    </row>
    <row r="182" spans="2:9" ht="15">
      <c r="B182" s="10"/>
      <c r="C182" s="13"/>
      <c r="D182" s="14"/>
      <c r="E182" s="18"/>
      <c r="F182" s="16"/>
      <c r="G182" s="11"/>
      <c r="H182" s="11"/>
      <c r="I182" s="11"/>
    </row>
    <row r="183" spans="2:9" ht="15">
      <c r="B183" s="10"/>
      <c r="C183" s="19"/>
      <c r="D183" s="14"/>
      <c r="E183" s="16"/>
      <c r="F183" s="16"/>
      <c r="G183" s="11"/>
      <c r="H183" s="11"/>
      <c r="I183" s="11"/>
    </row>
    <row r="184" spans="2:9" ht="15">
      <c r="B184" s="10"/>
      <c r="C184" s="11"/>
      <c r="D184" s="11"/>
      <c r="E184" s="11"/>
      <c r="F184" s="11"/>
      <c r="G184" s="11"/>
      <c r="H184" s="11"/>
      <c r="I184" s="11"/>
    </row>
    <row r="185" spans="1:9" ht="15">
      <c r="A185" t="s">
        <v>64</v>
      </c>
      <c r="B185" s="12"/>
      <c r="E185" s="20"/>
      <c r="F185" s="20"/>
      <c r="G185" s="12"/>
      <c r="H185" s="12"/>
      <c r="I185" s="12"/>
    </row>
    <row r="186" spans="2:9" ht="15">
      <c r="B186" s="1" t="s">
        <v>59</v>
      </c>
      <c r="C186" s="2" t="s">
        <v>60</v>
      </c>
      <c r="D186" s="3" t="s">
        <v>61</v>
      </c>
      <c r="E186" s="21"/>
      <c r="F186" s="21"/>
      <c r="G186" s="21"/>
      <c r="H186" s="12"/>
      <c r="I186" s="12"/>
    </row>
    <row r="187" spans="2:9" ht="15">
      <c r="B187" s="4">
        <v>0</v>
      </c>
      <c r="C187" s="5">
        <f>I11</f>
        <v>1.8972135954999578</v>
      </c>
      <c r="D187" s="6">
        <f>J11</f>
        <v>2.276393202250021</v>
      </c>
      <c r="E187" s="11"/>
      <c r="F187" s="11"/>
      <c r="G187" s="11"/>
      <c r="H187" s="12"/>
      <c r="I187" s="12"/>
    </row>
    <row r="188" spans="2:9" ht="15">
      <c r="B188" s="4">
        <f>B187+1</f>
        <v>1</v>
      </c>
      <c r="C188" s="5">
        <f>I17</f>
        <v>4.509016994374948</v>
      </c>
      <c r="D188" s="6">
        <f>K17</f>
        <v>7.5</v>
      </c>
      <c r="E188" s="11"/>
      <c r="F188" s="11"/>
      <c r="G188" s="11"/>
      <c r="H188" s="12"/>
      <c r="I188" s="12"/>
    </row>
    <row r="189" spans="2:9" ht="15">
      <c r="B189" s="4">
        <f>B188+1</f>
        <v>2</v>
      </c>
      <c r="C189" s="5">
        <f>I12</f>
        <v>3</v>
      </c>
      <c r="D189" s="6">
        <f>J12</f>
        <v>2.276393202250021</v>
      </c>
      <c r="E189" s="11"/>
      <c r="F189" s="11"/>
      <c r="G189" s="11"/>
      <c r="H189" s="12"/>
      <c r="I189" s="12"/>
    </row>
    <row r="190" spans="2:9" ht="15">
      <c r="B190" s="4">
        <f>B189+1</f>
        <v>3</v>
      </c>
      <c r="C190" s="5">
        <f>C187</f>
        <v>1.8972135954999578</v>
      </c>
      <c r="D190" s="6">
        <f>D187</f>
        <v>2.276393202250021</v>
      </c>
      <c r="E190" s="11"/>
      <c r="F190" s="11"/>
      <c r="G190" s="11"/>
      <c r="H190" s="20"/>
      <c r="I190" s="20"/>
    </row>
    <row r="191" spans="2:9" ht="15">
      <c r="B191" s="7" t="s">
        <v>62</v>
      </c>
      <c r="C191" s="8"/>
      <c r="D191" s="9"/>
      <c r="E191" s="11"/>
      <c r="F191" s="11"/>
      <c r="G191" s="11"/>
      <c r="H191" s="20"/>
      <c r="I191" s="20"/>
    </row>
    <row r="192" spans="2:9" ht="15">
      <c r="B192" s="10"/>
      <c r="C192" s="11"/>
      <c r="D192" s="11"/>
      <c r="E192" s="11"/>
      <c r="F192" s="11"/>
      <c r="G192" s="11"/>
      <c r="H192" s="20"/>
      <c r="I192" s="20"/>
    </row>
    <row r="193" spans="2:9" ht="15">
      <c r="B193" s="10"/>
      <c r="C193" s="13"/>
      <c r="D193" s="14"/>
      <c r="E193" s="68"/>
      <c r="F193" s="12"/>
      <c r="G193" s="11"/>
      <c r="H193" s="20"/>
      <c r="I193" s="20"/>
    </row>
    <row r="194" spans="2:9" ht="15">
      <c r="B194" s="10"/>
      <c r="C194" s="13"/>
      <c r="D194" s="14"/>
      <c r="E194" s="69"/>
      <c r="F194" s="12"/>
      <c r="G194" s="11"/>
      <c r="H194" s="20"/>
      <c r="I194" s="20"/>
    </row>
    <row r="195" spans="2:9" ht="15">
      <c r="B195" s="10"/>
      <c r="C195" s="13"/>
      <c r="D195" s="14"/>
      <c r="E195" s="70"/>
      <c r="F195" s="12"/>
      <c r="G195" s="11"/>
      <c r="H195" s="20"/>
      <c r="I195" s="20"/>
    </row>
    <row r="196" spans="2:7" ht="15">
      <c r="B196" s="10"/>
      <c r="C196" s="19"/>
      <c r="D196" s="14"/>
      <c r="E196" s="16"/>
      <c r="F196" s="16"/>
      <c r="G196" s="11"/>
    </row>
    <row r="206" spans="3:5" ht="13.5">
      <c r="C206" s="22"/>
      <c r="E206" s="23"/>
    </row>
    <row r="207" spans="3:5" ht="13.5">
      <c r="C207" s="22"/>
      <c r="E207" s="23"/>
    </row>
    <row r="211" spans="3:8" ht="13.5">
      <c r="C211" s="22"/>
      <c r="D211" s="22"/>
      <c r="E211" s="22"/>
      <c r="F211" s="22"/>
      <c r="G211" s="22"/>
      <c r="H211" s="2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2005-12-11T08:37:18Z</cp:lastPrinted>
  <dcterms:created xsi:type="dcterms:W3CDTF">2005-11-29T04:29:26Z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