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8310" windowHeight="7140" tabRatio="601" activeTab="1"/>
  </bookViews>
  <sheets>
    <sheet name="入力" sheetId="1" r:id="rId1"/>
    <sheet name="計算" sheetId="2" r:id="rId2"/>
    <sheet name="data" sheetId="3" state="hidden" r:id="rId3"/>
  </sheets>
  <definedNames>
    <definedName name="B">'data'!$Q$21</definedName>
    <definedName name="bu">'data'!$Q$16</definedName>
    <definedName name="H">'data'!$Q$15</definedName>
    <definedName name="hp">'data'!$C$15</definedName>
    <definedName name="KA">'計算'!$G$53</definedName>
    <definedName name="Lw">'data'!$Q$19</definedName>
    <definedName name="nf">'data'!$Q$17</definedName>
    <definedName name="nr">'data'!$Q$18</definedName>
    <definedName name="P">'data'!$C$14</definedName>
    <definedName name="_xlnm.Print_Area" localSheetId="1">'計算'!$A$1:$I$169</definedName>
    <definedName name="_xlnm.Print_Area" localSheetId="0">'入力'!$B$1:$S$30</definedName>
    <definedName name="q">'data'!$Q$20</definedName>
    <definedName name="solver_adj" localSheetId="1" hidden="1">'計算'!$K$5</definedName>
    <definedName name="solver_lin" localSheetId="1" hidden="1">0</definedName>
    <definedName name="solver_num" localSheetId="1" hidden="1">0</definedName>
    <definedName name="solver_opt" localSheetId="1" hidden="1">'計算'!$N$53</definedName>
    <definedName name="solver_tmp" localSheetId="1" hidden="1">'計算'!#REF!,'計算'!$E$31:$E$35</definedName>
    <definedName name="solver_typ" localSheetId="1" hidden="1">3</definedName>
    <definedName name="solver_val" localSheetId="1" hidden="1">1.2</definedName>
    <definedName name="α">'計算'!$M$50</definedName>
    <definedName name="γ">'data'!$L$9</definedName>
    <definedName name="δ">'計算'!$M$49</definedName>
    <definedName name="μ">'入力'!$D$14</definedName>
    <definedName name="σck">'計算'!$K$19</definedName>
    <definedName name="φ">'data'!$M$10</definedName>
    <definedName name="φd">'data'!$L$10</definedName>
  </definedNames>
  <calcPr fullCalcOnLoad="1"/>
</workbook>
</file>

<file path=xl/comments1.xml><?xml version="1.0" encoding="utf-8"?>
<comments xmlns="http://schemas.openxmlformats.org/spreadsheetml/2006/main">
  <authors>
    <author>T.Ushiro</author>
    <author>右城 猛</author>
  </authors>
  <commentList>
    <comment ref="D13" authorId="0">
      <text>
        <r>
          <rPr>
            <b/>
            <sz val="9"/>
            <rFont val="ＭＳ Ｐゴシック"/>
            <family val="3"/>
          </rPr>
          <t>衝突時，地震時を検討する場合は0とする。</t>
        </r>
        <r>
          <rPr>
            <sz val="9"/>
            <rFont val="ＭＳ Ｐゴシック"/>
            <family val="3"/>
          </rPr>
          <t xml:space="preserve">
</t>
        </r>
      </text>
    </comment>
    <comment ref="D5" authorId="1">
      <text>
        <r>
          <rPr>
            <sz val="9"/>
            <rFont val="ＭＳ Ｐゴシック"/>
            <family val="3"/>
          </rPr>
          <t xml:space="preserve">ガードレールの種別が任意の場合のみ計算に反映される
</t>
        </r>
      </text>
    </comment>
    <comment ref="D6" authorId="1">
      <text>
        <r>
          <rPr>
            <b/>
            <sz val="9"/>
            <rFont val="ＭＳ Ｐゴシック"/>
            <family val="3"/>
          </rPr>
          <t>ガードレールの種別が任意の場合のみ計算に反映される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<sst xmlns="http://schemas.openxmlformats.org/spreadsheetml/2006/main" count="306" uniqueCount="229">
  <si>
    <t>１．設計条件</t>
  </si>
  <si>
    <t>重　量</t>
  </si>
  <si>
    <t>重　心</t>
  </si>
  <si>
    <r>
      <t xml:space="preserve"> </t>
    </r>
    <r>
      <rPr>
        <sz val="11"/>
        <color indexed="8"/>
        <rFont val="ＭＳ 明朝"/>
        <family val="1"/>
      </rPr>
      <t>擁壁高さ</t>
    </r>
  </si>
  <si>
    <r>
      <t xml:space="preserve"> </t>
    </r>
    <r>
      <rPr>
        <sz val="11"/>
        <color indexed="8"/>
        <rFont val="ＭＳ 明朝"/>
        <family val="1"/>
      </rPr>
      <t>天端幅</t>
    </r>
  </si>
  <si>
    <r>
      <t xml:space="preserve"> </t>
    </r>
    <r>
      <rPr>
        <sz val="11"/>
        <color indexed="8"/>
        <rFont val="ＭＳ 明朝"/>
        <family val="1"/>
      </rPr>
      <t>底面幅</t>
    </r>
  </si>
  <si>
    <r>
      <t xml:space="preserve"> </t>
    </r>
    <r>
      <rPr>
        <sz val="11"/>
        <color indexed="8"/>
        <rFont val="ＭＳ 明朝"/>
        <family val="1"/>
      </rPr>
      <t>前面傾斜</t>
    </r>
  </si>
  <si>
    <r>
      <t>γ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</si>
  <si>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内部摩擦角</t>
    </r>
  </si>
  <si>
    <r>
      <t>φ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</si>
  <si>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前面勾配</t>
    </r>
  </si>
  <si>
    <t>計算値</t>
  </si>
  <si>
    <t>規定値</t>
  </si>
  <si>
    <t>判定</t>
  </si>
  <si>
    <t>滑　動</t>
  </si>
  <si>
    <t>m</t>
  </si>
  <si>
    <t>種別</t>
  </si>
  <si>
    <t>衝突荷重</t>
  </si>
  <si>
    <t>衝突高さ</t>
  </si>
  <si>
    <t>衝突位置</t>
  </si>
  <si>
    <t>番号</t>
  </si>
  <si>
    <t>種別</t>
  </si>
  <si>
    <t>衝突荷重</t>
  </si>
  <si>
    <r>
      <t>C</t>
    </r>
    <r>
      <rPr>
        <sz val="11"/>
        <rFont val="ＭＳ 明朝"/>
        <family val="1"/>
      </rPr>
      <t>種</t>
    </r>
  </si>
  <si>
    <r>
      <t>B</t>
    </r>
    <r>
      <rPr>
        <sz val="11"/>
        <rFont val="ＭＳ 明朝"/>
        <family val="1"/>
      </rPr>
      <t>種</t>
    </r>
  </si>
  <si>
    <r>
      <t>A</t>
    </r>
    <r>
      <rPr>
        <sz val="11"/>
        <rFont val="ＭＳ 明朝"/>
        <family val="1"/>
      </rPr>
      <t>種</t>
    </r>
  </si>
  <si>
    <r>
      <t>SC</t>
    </r>
    <r>
      <rPr>
        <sz val="11"/>
        <rFont val="ＭＳ 明朝"/>
        <family val="1"/>
      </rPr>
      <t>種</t>
    </r>
  </si>
  <si>
    <r>
      <t>SB</t>
    </r>
    <r>
      <rPr>
        <sz val="11"/>
        <rFont val="ＭＳ 明朝"/>
        <family val="1"/>
      </rPr>
      <t>種</t>
    </r>
  </si>
  <si>
    <r>
      <t>SA</t>
    </r>
    <r>
      <rPr>
        <sz val="11"/>
        <rFont val="ＭＳ 明朝"/>
        <family val="1"/>
      </rPr>
      <t>種</t>
    </r>
  </si>
  <si>
    <r>
      <t>SS</t>
    </r>
    <r>
      <rPr>
        <sz val="11"/>
        <rFont val="ＭＳ 明朝"/>
        <family val="1"/>
      </rPr>
      <t>種</t>
    </r>
  </si>
  <si>
    <t>kN</t>
  </si>
  <si>
    <t>b</t>
  </si>
  <si>
    <t>ﾌﾞﾛｯｸ長</t>
  </si>
  <si>
    <t>m</t>
  </si>
  <si>
    <t>摩擦係数</t>
  </si>
  <si>
    <t>照査項目</t>
  </si>
  <si>
    <t>転　倒</t>
  </si>
  <si>
    <t>kN</t>
  </si>
  <si>
    <t>作用高</t>
  </si>
  <si>
    <t>m</t>
  </si>
  <si>
    <t>m</t>
  </si>
  <si>
    <t>載荷重</t>
  </si>
  <si>
    <r>
      <t>kN/m</t>
    </r>
    <r>
      <rPr>
        <vertAlign val="superscript"/>
        <sz val="11"/>
        <rFont val="Times New Roman"/>
        <family val="1"/>
      </rPr>
      <t>2</t>
    </r>
  </si>
  <si>
    <t>◆安定計算結果</t>
  </si>
  <si>
    <t>無筋コンクリート</t>
  </si>
  <si>
    <t>鉄筋コンクリート</t>
  </si>
  <si>
    <t>背面勾配</t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</si>
  <si>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</si>
  <si>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=1:</t>
    </r>
  </si>
  <si>
    <t>土質</t>
  </si>
  <si>
    <t>φ</t>
  </si>
  <si>
    <t>γ</t>
  </si>
  <si>
    <t>c</t>
  </si>
  <si>
    <t>礫質土</t>
  </si>
  <si>
    <t>砂質土</t>
  </si>
  <si>
    <t>粘性土</t>
  </si>
  <si>
    <t>地域</t>
  </si>
  <si>
    <t>A地域</t>
  </si>
  <si>
    <t>B地域</t>
  </si>
  <si>
    <t>C地域</t>
  </si>
  <si>
    <t>補正係数</t>
  </si>
  <si>
    <t>H</t>
  </si>
  <si>
    <r>
      <t>L</t>
    </r>
    <r>
      <rPr>
        <i/>
        <vertAlign val="subscript"/>
        <sz val="11"/>
        <rFont val="Times New Roman"/>
        <family val="1"/>
      </rPr>
      <t>w</t>
    </r>
  </si>
  <si>
    <t>q</t>
  </si>
  <si>
    <t>φ(度)</t>
  </si>
  <si>
    <t>常時</t>
  </si>
  <si>
    <r>
      <t>γ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</si>
  <si>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礫質土</t>
  </si>
  <si>
    <t>砂質土</t>
  </si>
  <si>
    <t>粘性土</t>
  </si>
  <si>
    <t>単位体積重量</t>
  </si>
  <si>
    <t>内部摩擦角</t>
  </si>
  <si>
    <t>異常時</t>
  </si>
  <si>
    <r>
      <t xml:space="preserve">c=H 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　　　　　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:</t>
    </r>
    <r>
      <rPr>
        <sz val="11"/>
        <rFont val="ＭＳ Ｐ明朝"/>
        <family val="1"/>
      </rPr>
      <t>擁壁高</t>
    </r>
    <r>
      <rPr>
        <sz val="11"/>
        <rFont val="Times New Roman"/>
        <family val="1"/>
      </rPr>
      <t>m)</t>
    </r>
  </si>
  <si>
    <r>
      <t>粘着力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</si>
  <si>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ガードレール</t>
  </si>
  <si>
    <t>基礎高さ</t>
  </si>
  <si>
    <t>盛土材</t>
  </si>
  <si>
    <t>H=</t>
  </si>
  <si>
    <t>b=</t>
  </si>
  <si>
    <t>nf=</t>
  </si>
  <si>
    <t>nr=</t>
  </si>
  <si>
    <t>Lw=</t>
  </si>
  <si>
    <t>q=</t>
  </si>
  <si>
    <t>B=</t>
  </si>
  <si>
    <t>μ</t>
  </si>
  <si>
    <t>(１)擁壁形状</t>
  </si>
  <si>
    <t>P=</t>
  </si>
  <si>
    <t>m</t>
  </si>
  <si>
    <t>(３)載荷重</t>
  </si>
  <si>
    <t>ﾌﾞﾛｯｸ長</t>
  </si>
  <si>
    <t>(２)ガードレール</t>
  </si>
  <si>
    <t>衝突荷重</t>
  </si>
  <si>
    <t>(４)盛土材</t>
  </si>
  <si>
    <t>単位体積重量</t>
  </si>
  <si>
    <t>度</t>
  </si>
  <si>
    <t>(５)底面の摩擦係数</t>
  </si>
  <si>
    <t>２．荷重</t>
  </si>
  <si>
    <t>ク－ロンの土圧公式による。</t>
  </si>
  <si>
    <t>単位体積重量</t>
  </si>
  <si>
    <t>γ=</t>
  </si>
  <si>
    <t>せん断抵抗角</t>
  </si>
  <si>
    <t>φ=</t>
  </si>
  <si>
    <t>゜</t>
  </si>
  <si>
    <t>壁面摩擦角</t>
  </si>
  <si>
    <t>δ=</t>
  </si>
  <si>
    <t>壁面傾斜角</t>
  </si>
  <si>
    <t>α=</t>
  </si>
  <si>
    <r>
      <t xml:space="preserve"> </t>
    </r>
    <r>
      <rPr>
        <sz val="11"/>
        <color indexed="8"/>
        <rFont val="ＭＳ 明朝"/>
        <family val="1"/>
      </rPr>
      <t>背面傾斜</t>
    </r>
  </si>
  <si>
    <r>
      <t>kN/m</t>
    </r>
    <r>
      <rPr>
        <vertAlign val="superscript"/>
        <sz val="11"/>
        <color indexed="8"/>
        <rFont val="Times New Roman"/>
        <family val="1"/>
      </rPr>
      <t>3</t>
    </r>
  </si>
  <si>
    <r>
      <t>kN/m</t>
    </r>
    <r>
      <rPr>
        <vertAlign val="superscript"/>
        <sz val="11"/>
        <rFont val="ＭＳ Ｐ明朝"/>
        <family val="1"/>
      </rPr>
      <t>3</t>
    </r>
  </si>
  <si>
    <t>rad</t>
  </si>
  <si>
    <t>計算条件</t>
  </si>
  <si>
    <t>土圧係数</t>
  </si>
  <si>
    <t>主働土圧</t>
  </si>
  <si>
    <t>常時(載荷重考慮)</t>
  </si>
  <si>
    <t>衝突時(載荷重無し)</t>
  </si>
  <si>
    <t>土圧合力の作用位置</t>
  </si>
  <si>
    <t>衝突荷重</t>
  </si>
  <si>
    <t>擁壁長</t>
  </si>
  <si>
    <t>作用高さ</t>
  </si>
  <si>
    <t>yP=</t>
  </si>
  <si>
    <r>
      <t>２．１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自　重</t>
    </r>
  </si>
  <si>
    <r>
      <t>２．２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主働土圧</t>
    </r>
  </si>
  <si>
    <r>
      <t>２．３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衝突荷重</t>
    </r>
  </si>
  <si>
    <r>
      <t>３．１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常時</t>
    </r>
  </si>
  <si>
    <r>
      <t>　　</t>
    </r>
    <r>
      <rPr>
        <sz val="11"/>
        <rFont val="Times New Roman"/>
        <family val="1"/>
      </rPr>
      <t xml:space="preserve">(1) </t>
    </r>
    <r>
      <rPr>
        <sz val="11"/>
        <rFont val="ＭＳ 明朝"/>
        <family val="1"/>
      </rPr>
      <t>荷重の集計</t>
    </r>
  </si>
  <si>
    <t>自重</t>
  </si>
  <si>
    <t>衝突荷重</t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</si>
  <si>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</si>
  <si>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</si>
  <si>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</si>
  <si>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</si>
  <si>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Vx</t>
    </r>
    <r>
      <rPr>
        <sz val="11"/>
        <rFont val="Times New Roman"/>
        <family val="1"/>
      </rPr>
      <t>(kNm/m)</t>
    </r>
  </si>
  <si>
    <r>
      <t>Hy</t>
    </r>
    <r>
      <rPr>
        <sz val="11"/>
        <rFont val="Times New Roman"/>
        <family val="1"/>
      </rPr>
      <t>(kNm/m)</t>
    </r>
  </si>
  <si>
    <t>Σ</t>
  </si>
  <si>
    <t>合力の作用位置</t>
  </si>
  <si>
    <t>荷重の偏心量</t>
  </si>
  <si>
    <r>
      <t>　　</t>
    </r>
    <r>
      <rPr>
        <sz val="11"/>
        <rFont val="Times New Roman"/>
        <family val="1"/>
      </rPr>
      <t xml:space="preserve">(2) </t>
    </r>
    <r>
      <rPr>
        <sz val="11"/>
        <rFont val="ＭＳ 明朝"/>
        <family val="1"/>
      </rPr>
      <t>転倒に対する検討</t>
    </r>
  </si>
  <si>
    <r>
      <t>　　</t>
    </r>
    <r>
      <rPr>
        <sz val="11"/>
        <rFont val="Times New Roman"/>
        <family val="1"/>
      </rPr>
      <t xml:space="preserve">(3) </t>
    </r>
    <r>
      <rPr>
        <sz val="11"/>
        <rFont val="ＭＳ 明朝"/>
        <family val="1"/>
      </rPr>
      <t>滑動に対する検討</t>
    </r>
  </si>
  <si>
    <r>
      <t>　　</t>
    </r>
    <r>
      <rPr>
        <sz val="11"/>
        <rFont val="Times New Roman"/>
        <family val="1"/>
      </rPr>
      <t xml:space="preserve">(4) </t>
    </r>
    <r>
      <rPr>
        <sz val="11"/>
        <rFont val="ＭＳ 明朝"/>
        <family val="1"/>
      </rPr>
      <t>地盤反力度</t>
    </r>
  </si>
  <si>
    <t>q1=</t>
  </si>
  <si>
    <t>q2=</t>
  </si>
  <si>
    <t>q2=</t>
  </si>
  <si>
    <t>q1=</t>
  </si>
  <si>
    <r>
      <t>３．２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衝突時</t>
    </r>
  </si>
  <si>
    <t>４．応力度の照査</t>
  </si>
  <si>
    <t>３．安定性の照査</t>
  </si>
  <si>
    <t>自動車衝突荷重による基礎コンクリートの曲げ引張応力度は，</t>
  </si>
  <si>
    <t>擁壁天端位置が最大になるので，天端位置で照査する。</t>
  </si>
  <si>
    <t>衝突荷重による曲げモーメント</t>
  </si>
  <si>
    <t>曲げ引張応力度</t>
  </si>
  <si>
    <t>コンクリート</t>
  </si>
  <si>
    <t>N/mm2</t>
  </si>
  <si>
    <t>σck</t>
  </si>
  <si>
    <t>(６)コンクリート設計基準強度</t>
  </si>
  <si>
    <r>
      <t>σ</t>
    </r>
    <r>
      <rPr>
        <i/>
        <sz val="11"/>
        <rFont val="ＭＳ Ｐ明朝"/>
        <family val="1"/>
      </rPr>
      <t>ck</t>
    </r>
    <r>
      <rPr>
        <sz val="11"/>
        <rFont val="ＭＳ Ｐ明朝"/>
        <family val="1"/>
      </rPr>
      <t>=</t>
    </r>
  </si>
  <si>
    <r>
      <t>N/mm</t>
    </r>
    <r>
      <rPr>
        <vertAlign val="superscript"/>
        <sz val="11"/>
        <color indexed="8"/>
        <rFont val="Times New Roman"/>
        <family val="1"/>
      </rPr>
      <t>2</t>
    </r>
  </si>
  <si>
    <t>σta=</t>
  </si>
  <si>
    <t>kN/mm2</t>
  </si>
  <si>
    <t>(７)適用技術基準</t>
  </si>
  <si>
    <t>日本道路協会：道路土工－擁壁工指針，平成11年3月</t>
  </si>
  <si>
    <t>衝突時</t>
  </si>
  <si>
    <t>常　時</t>
  </si>
  <si>
    <t>最大地盤</t>
  </si>
  <si>
    <t>反力度</t>
  </si>
  <si>
    <r>
      <t>kN/m</t>
    </r>
    <r>
      <rPr>
        <vertAlign val="superscript"/>
        <sz val="11"/>
        <rFont val="Times New Roman"/>
        <family val="1"/>
      </rPr>
      <t>2</t>
    </r>
  </si>
  <si>
    <t>x</t>
  </si>
  <si>
    <t>擁壁</t>
  </si>
  <si>
    <t>地盤</t>
  </si>
  <si>
    <t>支柱</t>
  </si>
  <si>
    <t>羽根1</t>
  </si>
  <si>
    <t>羽根2</t>
  </si>
  <si>
    <t>載荷重</t>
  </si>
  <si>
    <t>適用技術基準</t>
  </si>
  <si>
    <t>適用基準</t>
  </si>
  <si>
    <t>道路土工－擁壁工指針</t>
  </si>
  <si>
    <t>車両用防護柵標準仕様</t>
  </si>
  <si>
    <t>P</t>
  </si>
  <si>
    <t>h</t>
  </si>
  <si>
    <t>H=</t>
  </si>
  <si>
    <t>bu=</t>
  </si>
  <si>
    <t>B=</t>
  </si>
  <si>
    <t>1:nf=1:</t>
  </si>
  <si>
    <r>
      <t>1:nr=1:</t>
    </r>
  </si>
  <si>
    <r>
      <t>L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</si>
  <si>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t>hp=</t>
  </si>
  <si>
    <t>μ=</t>
  </si>
  <si>
    <t>日本道路協会：車両用防護柵標準仕様・同解説，平成１６年３月</t>
  </si>
  <si>
    <r>
      <t>P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</si>
  <si>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vertAlign val="subscript"/>
        <sz val="11"/>
        <rFont val="Times New Roman"/>
        <family val="1"/>
      </rPr>
      <t>AV</t>
    </r>
    <r>
      <rPr>
        <sz val="11"/>
        <rFont val="Times New Roman"/>
        <family val="1"/>
      </rPr>
      <t>=</t>
    </r>
  </si>
  <si>
    <r>
      <t>P</t>
    </r>
    <r>
      <rPr>
        <vertAlign val="subscript"/>
        <sz val="11"/>
        <rFont val="Times New Roman"/>
        <family val="1"/>
      </rPr>
      <t>AH</t>
    </r>
    <r>
      <rPr>
        <sz val="11"/>
        <rFont val="Times New Roman"/>
        <family val="1"/>
      </rPr>
      <t>=</t>
    </r>
  </si>
  <si>
    <r>
      <t>y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</si>
  <si>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x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</si>
  <si>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２．４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自動車の前輪荷重</t>
    </r>
  </si>
  <si>
    <t>前輪一輪荷重</t>
  </si>
  <si>
    <t>Wt=</t>
  </si>
  <si>
    <t>kN</t>
  </si>
  <si>
    <t>自動車前輪</t>
  </si>
  <si>
    <t>－</t>
  </si>
  <si>
    <t>Wc=</t>
  </si>
  <si>
    <t>xc=</t>
  </si>
  <si>
    <t>kN/m</t>
  </si>
  <si>
    <t>d=</t>
  </si>
  <si>
    <t>e=</t>
  </si>
  <si>
    <t>安定度</t>
  </si>
  <si>
    <t>Ft=</t>
  </si>
  <si>
    <t>Fs=</t>
  </si>
  <si>
    <t>安定度</t>
  </si>
  <si>
    <t>安全率</t>
  </si>
  <si>
    <t>Mp=</t>
  </si>
  <si>
    <t>任意</t>
  </si>
  <si>
    <r>
      <t>衝突荷重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P</t>
    </r>
    <r>
      <rPr>
        <sz val="11"/>
        <rFont val="Times New Roman"/>
        <family val="1"/>
      </rPr>
      <t xml:space="preserve"> </t>
    </r>
  </si>
  <si>
    <r>
      <t>衝突高さ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h p</t>
    </r>
  </si>
  <si>
    <t>P=</t>
  </si>
  <si>
    <t>hp=</t>
  </si>
  <si>
    <t>(注)</t>
  </si>
  <si>
    <r>
      <t>①適用技術基準で「</t>
    </r>
    <r>
      <rPr>
        <b/>
        <sz val="9"/>
        <rFont val="明朝"/>
        <family val="1"/>
      </rPr>
      <t>車両用防護柵標準仕様</t>
    </r>
    <r>
      <rPr>
        <sz val="9"/>
        <rFont val="明朝"/>
        <family val="1"/>
      </rPr>
      <t>」を選択すると，ガードレール基礎上に自動車前輪荷重が載荷されます。</t>
    </r>
  </si>
  <si>
    <r>
      <t>②適用技術基準で「</t>
    </r>
    <r>
      <rPr>
        <b/>
        <sz val="9"/>
        <rFont val="明朝"/>
        <family val="1"/>
      </rPr>
      <t>車両用防護柵標準仕様</t>
    </r>
    <r>
      <rPr>
        <sz val="9"/>
        <rFont val="明朝"/>
        <family val="1"/>
      </rPr>
      <t>」を選択すると，地表面載荷重qは無視されます。</t>
    </r>
  </si>
  <si>
    <r>
      <t>③適用技術基準で「</t>
    </r>
    <r>
      <rPr>
        <b/>
        <sz val="9"/>
        <rFont val="明朝"/>
        <family val="1"/>
      </rPr>
      <t>車両用防護柵標準仕様</t>
    </r>
    <r>
      <rPr>
        <sz val="9"/>
        <rFont val="明朝"/>
        <family val="1"/>
      </rPr>
      <t>」を選択すると，応力度は計算されません。</t>
    </r>
  </si>
  <si>
    <r>
      <t>⑤ガードレールで「</t>
    </r>
    <r>
      <rPr>
        <b/>
        <sz val="9"/>
        <rFont val="明朝"/>
        <family val="1"/>
      </rPr>
      <t>任意</t>
    </r>
    <r>
      <rPr>
        <sz val="9"/>
        <rFont val="明朝"/>
        <family val="1"/>
      </rPr>
      <t>」を選択すると，数値入力した「</t>
    </r>
    <r>
      <rPr>
        <b/>
        <sz val="9"/>
        <rFont val="明朝"/>
        <family val="1"/>
      </rPr>
      <t>衝突荷重</t>
    </r>
    <r>
      <rPr>
        <sz val="9"/>
        <rFont val="明朝"/>
        <family val="1"/>
      </rPr>
      <t>」と「</t>
    </r>
    <r>
      <rPr>
        <b/>
        <sz val="9"/>
        <rFont val="明朝"/>
        <family val="1"/>
      </rPr>
      <t>衝突高さ</t>
    </r>
    <r>
      <rPr>
        <sz val="9"/>
        <rFont val="明朝"/>
        <family val="1"/>
      </rPr>
      <t>」が計算に反映されます。</t>
    </r>
  </si>
  <si>
    <r>
      <t>④適用技術基準で「</t>
    </r>
    <r>
      <rPr>
        <b/>
        <sz val="9"/>
        <rFont val="明朝"/>
        <family val="1"/>
      </rPr>
      <t>車両用防護柵標準仕様</t>
    </r>
    <r>
      <rPr>
        <sz val="9"/>
        <rFont val="明朝"/>
        <family val="1"/>
      </rPr>
      <t>」を選択すると，ガードレール基礎のブロック長の最大が10mに設定されます。</t>
    </r>
  </si>
  <si>
    <t>ガードレール基礎</t>
  </si>
  <si>
    <t>2006.9.26</t>
  </si>
  <si>
    <t>安全率</t>
  </si>
  <si>
    <r>
      <t>N/mm</t>
    </r>
    <r>
      <rPr>
        <vertAlign val="superscript"/>
        <sz val="11"/>
        <rFont val="Times New Roman"/>
        <family val="1"/>
      </rPr>
      <t>2</t>
    </r>
  </si>
  <si>
    <r>
      <t>安定度</t>
    </r>
    <r>
      <rPr>
        <sz val="11"/>
        <rFont val="Times New Roman"/>
        <family val="1"/>
      </rPr>
      <t>B/|2e|</t>
    </r>
  </si>
  <si>
    <t>応力度</t>
  </si>
  <si>
    <t>衝突時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</si>
</sst>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0.0_);[Red]\(0.0\)"/>
    <numFmt numFmtId="183" formatCode="0.0_ "/>
    <numFmt numFmtId="184" formatCode="0.00_);[Red]\(0.00\)"/>
    <numFmt numFmtId="185" formatCode="0.000_);[Red]\(0.000\)"/>
    <numFmt numFmtId="186" formatCode="0.00_ "/>
    <numFmt numFmtId="187" formatCode="0_);[Red]\(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i/>
      <sz val="11"/>
      <name val="ＭＳ 明朝"/>
      <family val="1"/>
    </font>
    <font>
      <sz val="11"/>
      <color indexed="8"/>
      <name val="ＭＳ 明朝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i/>
      <sz val="11"/>
      <name val="ＭＳ Ｐ明朝"/>
      <family val="1"/>
    </font>
    <font>
      <vertAlign val="superscript"/>
      <sz val="11"/>
      <name val="ＭＳ Ｐ明朝"/>
      <family val="1"/>
    </font>
    <font>
      <sz val="11"/>
      <color indexed="12"/>
      <name val="Times New Roman"/>
      <family val="1"/>
    </font>
    <font>
      <sz val="12"/>
      <name val="ＭＳ 明朝"/>
      <family val="1"/>
    </font>
    <font>
      <sz val="8.25"/>
      <name val="ＭＳ 明朝"/>
      <family val="1"/>
    </font>
    <font>
      <sz val="11.25"/>
      <name val="ＭＳ 明朝"/>
      <family val="1"/>
    </font>
    <font>
      <b/>
      <sz val="12"/>
      <name val="ＭＳ Ｐ明朝"/>
      <family val="1"/>
    </font>
    <font>
      <sz val="11"/>
      <color indexed="10"/>
      <name val="ＭＳ Ｐ明朝"/>
      <family val="1"/>
    </font>
    <font>
      <u val="single"/>
      <sz val="14.4"/>
      <color indexed="12"/>
      <name val="ＭＳ 明朝"/>
      <family val="1"/>
    </font>
    <font>
      <sz val="9"/>
      <name val="明朝"/>
      <family val="1"/>
    </font>
    <font>
      <b/>
      <sz val="9"/>
      <name val="明朝"/>
      <family val="1"/>
    </font>
    <font>
      <b/>
      <sz val="18"/>
      <color indexed="9"/>
      <name val="ＭＳ Ｐ明朝"/>
      <family val="1"/>
    </font>
    <font>
      <sz val="11"/>
      <color indexed="9"/>
      <name val="Times New Roman"/>
      <family val="1"/>
    </font>
    <font>
      <sz val="9"/>
      <name val="MS UI Gothic"/>
      <family val="3"/>
    </font>
    <font>
      <b/>
      <sz val="8"/>
      <name val="明朝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Alignment="1" quotePrefix="1">
      <alignment horizontal="lef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left" vertical="center"/>
    </xf>
    <xf numFmtId="0" fontId="8" fillId="0" borderId="0" xfId="0" applyFont="1" applyFill="1" applyAlignment="1" quotePrefix="1">
      <alignment horizontal="right" vertical="center"/>
    </xf>
    <xf numFmtId="176" fontId="13" fillId="0" borderId="0" xfId="0" applyNumberFormat="1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Alignment="1" quotePrefix="1">
      <alignment horizontal="right" vertical="center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vertical="center"/>
    </xf>
    <xf numFmtId="0" fontId="7" fillId="0" borderId="0" xfId="0" applyFont="1" applyFill="1" applyAlignment="1" quotePrefix="1">
      <alignment horizontal="left" vertical="center"/>
    </xf>
    <xf numFmtId="0" fontId="8" fillId="0" borderId="0" xfId="0" applyFont="1" applyFill="1" applyAlignment="1" quotePrefix="1">
      <alignment horizontal="right" vertical="center"/>
    </xf>
    <xf numFmtId="176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 quotePrefix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8" fillId="0" borderId="0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2" fontId="7" fillId="0" borderId="0" xfId="0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4" borderId="0" xfId="0" applyFill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17" fillId="0" borderId="0" xfId="0" applyFont="1" applyFill="1" applyAlignment="1">
      <alignment horizontal="right" vertical="center"/>
    </xf>
    <xf numFmtId="2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quotePrefix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 quotePrefix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Fill="1" applyBorder="1" applyAlignment="1" quotePrefix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21" fillId="0" borderId="0" xfId="0" applyFont="1" applyFill="1" applyAlignment="1">
      <alignment horizontal="right" vertical="center"/>
    </xf>
    <xf numFmtId="2" fontId="17" fillId="0" borderId="0" xfId="0" applyNumberFormat="1" applyFont="1" applyFill="1" applyBorder="1" applyAlignment="1" applyProtection="1">
      <alignment vertical="center"/>
      <protection locked="0"/>
    </xf>
    <xf numFmtId="181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 vertical="center" shrinkToFit="1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quotePrefix="1">
      <alignment horizontal="left" vertical="center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17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center" vertical="center"/>
    </xf>
    <xf numFmtId="0" fontId="7" fillId="5" borderId="0" xfId="0" applyFont="1" applyFill="1" applyAlignment="1" applyProtection="1">
      <alignment vertical="center"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7" fillId="5" borderId="0" xfId="0" applyFont="1" applyFill="1" applyAlignment="1" applyProtection="1">
      <alignment vertical="center"/>
      <protection/>
    </xf>
    <xf numFmtId="0" fontId="4" fillId="5" borderId="0" xfId="0" applyFont="1" applyFill="1" applyAlignment="1" applyProtection="1">
      <alignment vertical="center"/>
      <protection/>
    </xf>
    <xf numFmtId="0" fontId="8" fillId="5" borderId="0" xfId="0" applyFont="1" applyFill="1" applyBorder="1" applyAlignment="1" applyProtection="1">
      <alignment horizontal="right" vertical="center"/>
      <protection/>
    </xf>
    <xf numFmtId="2" fontId="0" fillId="5" borderId="0" xfId="0" applyNumberFormat="1" applyFill="1" applyBorder="1" applyAlignment="1" applyProtection="1">
      <alignment/>
      <protection/>
    </xf>
    <xf numFmtId="0" fontId="17" fillId="5" borderId="0" xfId="0" applyFont="1" applyFill="1" applyAlignment="1" applyProtection="1">
      <alignment vertical="center"/>
      <protection/>
    </xf>
    <xf numFmtId="20" fontId="7" fillId="5" borderId="0" xfId="0" applyNumberFormat="1" applyFont="1" applyFill="1" applyBorder="1" applyAlignment="1" applyProtection="1" quotePrefix="1">
      <alignment horizontal="right" vertical="center"/>
      <protection/>
    </xf>
    <xf numFmtId="0" fontId="8" fillId="5" borderId="0" xfId="0" applyFont="1" applyFill="1" applyAlignment="1" applyProtection="1" quotePrefix="1">
      <alignment horizontal="center" vertical="center"/>
      <protection/>
    </xf>
    <xf numFmtId="0" fontId="13" fillId="5" borderId="0" xfId="0" applyFont="1" applyFill="1" applyBorder="1" applyAlignment="1" applyProtection="1" quotePrefix="1">
      <alignment horizontal="left" vertical="center"/>
      <protection/>
    </xf>
    <xf numFmtId="0" fontId="8" fillId="5" borderId="0" xfId="0" applyFont="1" applyFill="1" applyBorder="1" applyAlignment="1" applyProtection="1">
      <alignment horizontal="center" vertical="center"/>
      <protection/>
    </xf>
    <xf numFmtId="0" fontId="7" fillId="5" borderId="0" xfId="0" applyFont="1" applyFill="1" applyAlignment="1" applyProtection="1" quotePrefix="1">
      <alignment horizontal="center" vertical="center"/>
      <protection/>
    </xf>
    <xf numFmtId="0" fontId="8" fillId="5" borderId="0" xfId="0" applyFont="1" applyFill="1" applyBorder="1" applyAlignment="1" applyProtection="1" quotePrefix="1">
      <alignment horizontal="right" vertical="center"/>
      <protection/>
    </xf>
    <xf numFmtId="182" fontId="0" fillId="5" borderId="0" xfId="0" applyNumberForma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 horizontal="left" vertical="center"/>
      <protection/>
    </xf>
    <xf numFmtId="0" fontId="8" fillId="5" borderId="0" xfId="0" applyFont="1" applyFill="1" applyAlignment="1" applyProtection="1">
      <alignment horizontal="center" vertical="center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8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horizontal="left" vertical="center" shrinkToFi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182" fontId="7" fillId="5" borderId="0" xfId="0" applyNumberFormat="1" applyFont="1" applyFill="1" applyBorder="1" applyAlignment="1" applyProtection="1">
      <alignment horizontal="center" vertical="center"/>
      <protection/>
    </xf>
    <xf numFmtId="0" fontId="18" fillId="5" borderId="0" xfId="0" applyFont="1" applyFill="1" applyBorder="1" applyAlignment="1" applyProtection="1">
      <alignment vertical="center" shrinkToFit="1"/>
      <protection/>
    </xf>
    <xf numFmtId="2" fontId="7" fillId="5" borderId="0" xfId="0" applyNumberFormat="1" applyFont="1" applyFill="1" applyBorder="1" applyAlignment="1" applyProtection="1">
      <alignment horizontal="center" vertical="center"/>
      <protection/>
    </xf>
    <xf numFmtId="0" fontId="18" fillId="5" borderId="0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 vertical="center"/>
      <protection/>
    </xf>
    <xf numFmtId="0" fontId="4" fillId="5" borderId="12" xfId="0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 applyProtection="1">
      <alignment horizontal="center" vertical="center"/>
      <protection/>
    </xf>
    <xf numFmtId="0" fontId="4" fillId="5" borderId="2" xfId="0" applyFont="1" applyFill="1" applyBorder="1" applyAlignment="1" applyProtection="1">
      <alignment horizontal="center" vertical="center"/>
      <protection/>
    </xf>
    <xf numFmtId="181" fontId="7" fillId="5" borderId="2" xfId="0" applyNumberFormat="1" applyFont="1" applyFill="1" applyBorder="1" applyAlignment="1" applyProtection="1">
      <alignment horizontal="center" vertical="center"/>
      <protection/>
    </xf>
    <xf numFmtId="0" fontId="7" fillId="5" borderId="2" xfId="0" applyFont="1" applyFill="1" applyBorder="1" applyAlignment="1" applyProtection="1">
      <alignment horizontal="center" vertical="center"/>
      <protection/>
    </xf>
    <xf numFmtId="0" fontId="4" fillId="5" borderId="7" xfId="0" applyFont="1" applyFill="1" applyBorder="1" applyAlignment="1" applyProtection="1">
      <alignment horizontal="center" vertical="center"/>
      <protection/>
    </xf>
    <xf numFmtId="181" fontId="7" fillId="5" borderId="11" xfId="0" applyNumberFormat="1" applyFont="1" applyFill="1" applyBorder="1" applyAlignment="1" applyProtection="1">
      <alignment horizontal="center" vertical="center"/>
      <protection/>
    </xf>
    <xf numFmtId="181" fontId="7" fillId="5" borderId="0" xfId="0" applyNumberFormat="1" applyFont="1" applyFill="1" applyBorder="1" applyAlignment="1" applyProtection="1">
      <alignment horizontal="center" vertical="center"/>
      <protection/>
    </xf>
    <xf numFmtId="181" fontId="7" fillId="5" borderId="10" xfId="0" applyNumberFormat="1" applyFont="1" applyFill="1" applyBorder="1" applyAlignment="1" applyProtection="1">
      <alignment horizontal="center" vertical="center"/>
      <protection/>
    </xf>
    <xf numFmtId="0" fontId="4" fillId="5" borderId="0" xfId="0" applyFont="1" applyFill="1" applyBorder="1" applyAlignment="1" applyProtection="1">
      <alignment vertical="center"/>
      <protection/>
    </xf>
    <xf numFmtId="0" fontId="4" fillId="5" borderId="0" xfId="0" applyFont="1" applyFill="1" applyAlignment="1" applyProtection="1">
      <alignment vertical="center" shrinkToFit="1"/>
      <protection/>
    </xf>
    <xf numFmtId="0" fontId="17" fillId="5" borderId="0" xfId="0" applyFont="1" applyFill="1" applyBorder="1" applyAlignment="1" applyProtection="1">
      <alignment vertical="center"/>
      <protection/>
    </xf>
    <xf numFmtId="0" fontId="4" fillId="5" borderId="0" xfId="0" applyFont="1" applyFill="1" applyBorder="1" applyAlignment="1" applyProtection="1">
      <alignment horizontal="right" vertical="center"/>
      <protection/>
    </xf>
    <xf numFmtId="0" fontId="12" fillId="5" borderId="0" xfId="0" applyFont="1" applyFill="1" applyBorder="1" applyAlignment="1" applyProtection="1">
      <alignment vertical="center"/>
      <protection/>
    </xf>
    <xf numFmtId="0" fontId="0" fillId="5" borderId="0" xfId="0" applyFill="1" applyBorder="1" applyAlignment="1" applyProtection="1">
      <alignment/>
      <protection locked="0"/>
    </xf>
    <xf numFmtId="0" fontId="7" fillId="0" borderId="2" xfId="0" applyFont="1" applyFill="1" applyBorder="1" applyAlignment="1" applyProtection="1" quotePrefix="1">
      <alignment horizontal="center" vertical="center"/>
      <protection locked="0"/>
    </xf>
    <xf numFmtId="0" fontId="28" fillId="5" borderId="0" xfId="0" applyFont="1" applyFill="1" applyAlignment="1" applyProtection="1">
      <alignment vertical="center"/>
      <protection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 applyProtection="1">
      <alignment horizontal="right"/>
      <protection/>
    </xf>
    <xf numFmtId="0" fontId="0" fillId="5" borderId="0" xfId="0" applyFont="1" applyFill="1" applyAlignment="1" applyProtection="1">
      <alignment horizontal="right"/>
      <protection/>
    </xf>
    <xf numFmtId="0" fontId="30" fillId="5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7" fillId="0" borderId="2" xfId="0" applyFont="1" applyFill="1" applyBorder="1" applyAlignment="1" applyProtection="1">
      <alignment horizontal="center"/>
      <protection locked="0"/>
    </xf>
    <xf numFmtId="2" fontId="7" fillId="5" borderId="2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/>
      <protection/>
    </xf>
    <xf numFmtId="0" fontId="27" fillId="6" borderId="0" xfId="0" applyFont="1" applyFill="1" applyAlignment="1" applyProtection="1">
      <alignment vertical="center"/>
      <protection/>
    </xf>
    <xf numFmtId="0" fontId="7" fillId="6" borderId="0" xfId="0" applyFont="1" applyFill="1" applyAlignment="1" applyProtection="1">
      <alignment vertical="center"/>
      <protection/>
    </xf>
    <xf numFmtId="0" fontId="32" fillId="6" borderId="0" xfId="0" applyFont="1" applyFill="1" applyAlignment="1" applyProtection="1">
      <alignment vertical="center"/>
      <protection/>
    </xf>
    <xf numFmtId="0" fontId="17" fillId="5" borderId="2" xfId="0" applyFont="1" applyFill="1" applyBorder="1" applyAlignment="1" applyProtection="1">
      <alignment horizontal="center" vertical="center" shrinkToFit="1"/>
      <protection/>
    </xf>
    <xf numFmtId="0" fontId="0" fillId="5" borderId="2" xfId="0" applyFill="1" applyBorder="1" applyAlignment="1" applyProtection="1">
      <alignment horizontal="center" vertical="center"/>
      <protection/>
    </xf>
    <xf numFmtId="2" fontId="7" fillId="5" borderId="11" xfId="0" applyNumberFormat="1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 applyProtection="1">
      <alignment horizontal="center" vertical="center"/>
      <protection/>
    </xf>
    <xf numFmtId="0" fontId="4" fillId="5" borderId="7" xfId="0" applyFont="1" applyFill="1" applyBorder="1" applyAlignment="1" applyProtection="1">
      <alignment horizontal="center" vertical="center"/>
      <protection/>
    </xf>
    <xf numFmtId="0" fontId="33" fillId="6" borderId="0" xfId="0" applyFont="1" applyFill="1" applyAlignment="1" applyProtection="1">
      <alignment horizontal="right" vertical="center"/>
      <protection/>
    </xf>
    <xf numFmtId="0" fontId="4" fillId="5" borderId="1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'計算'!$W$2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0.85</c:v>
                </c:pt>
                <c:pt idx="4">
                  <c:v>0</c:v>
                </c:pt>
                <c:pt idx="5">
                  <c:v>0.85</c:v>
                </c:pt>
                <c:pt idx="6">
                  <c:v>1.75</c:v>
                </c:pt>
                <c:pt idx="7">
                  <c:v>0.375</c:v>
                </c:pt>
                <c:pt idx="8">
                  <c:v>0.375</c:v>
                </c:pt>
                <c:pt idx="9">
                  <c:v>0.475</c:v>
                </c:pt>
                <c:pt idx="10">
                  <c:v>0.475</c:v>
                </c:pt>
                <c:pt idx="11">
                  <c:v>0.475</c:v>
                </c:pt>
                <c:pt idx="12">
                  <c:v>0.475</c:v>
                </c:pt>
                <c:pt idx="13">
                  <c:v>0.5549999999999999</c:v>
                </c:pt>
                <c:pt idx="14">
                  <c:v>0.5549999999999999</c:v>
                </c:pt>
                <c:pt idx="15">
                  <c:v>0.5149999999999999</c:v>
                </c:pt>
                <c:pt idx="16">
                  <c:v>0.475</c:v>
                </c:pt>
                <c:pt idx="17">
                  <c:v>0.5549999999999999</c:v>
                </c:pt>
                <c:pt idx="18">
                  <c:v>0.5549999999999999</c:v>
                </c:pt>
                <c:pt idx="19">
                  <c:v>0.5149999999999999</c:v>
                </c:pt>
                <c:pt idx="20">
                  <c:v>0.85</c:v>
                </c:pt>
                <c:pt idx="21">
                  <c:v>0.85</c:v>
                </c:pt>
                <c:pt idx="22">
                  <c:v>1.75</c:v>
                </c:pt>
              </c:numCache>
            </c:numRef>
          </c:xVal>
          <c:yVal>
            <c:numRef>
              <c:f>'計算'!$W$3:$W$25</c:f>
              <c:numCache>
                <c:ptCount val="23"/>
                <c:pt idx="0">
                  <c:v>0</c:v>
                </c:pt>
                <c:pt idx="1">
                  <c:v>0.9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'計算'!$X$2</c:f>
              <c:strCache>
                <c:ptCount val="1"/>
                <c:pt idx="0">
                  <c:v>地盤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0.85</c:v>
                </c:pt>
                <c:pt idx="4">
                  <c:v>0</c:v>
                </c:pt>
                <c:pt idx="5">
                  <c:v>0.85</c:v>
                </c:pt>
                <c:pt idx="6">
                  <c:v>1.75</c:v>
                </c:pt>
                <c:pt idx="7">
                  <c:v>0.375</c:v>
                </c:pt>
                <c:pt idx="8">
                  <c:v>0.375</c:v>
                </c:pt>
                <c:pt idx="9">
                  <c:v>0.475</c:v>
                </c:pt>
                <c:pt idx="10">
                  <c:v>0.475</c:v>
                </c:pt>
                <c:pt idx="11">
                  <c:v>0.475</c:v>
                </c:pt>
                <c:pt idx="12">
                  <c:v>0.475</c:v>
                </c:pt>
                <c:pt idx="13">
                  <c:v>0.5549999999999999</c:v>
                </c:pt>
                <c:pt idx="14">
                  <c:v>0.5549999999999999</c:v>
                </c:pt>
                <c:pt idx="15">
                  <c:v>0.5149999999999999</c:v>
                </c:pt>
                <c:pt idx="16">
                  <c:v>0.475</c:v>
                </c:pt>
                <c:pt idx="17">
                  <c:v>0.5549999999999999</c:v>
                </c:pt>
                <c:pt idx="18">
                  <c:v>0.5549999999999999</c:v>
                </c:pt>
                <c:pt idx="19">
                  <c:v>0.5149999999999999</c:v>
                </c:pt>
                <c:pt idx="20">
                  <c:v>0.85</c:v>
                </c:pt>
                <c:pt idx="21">
                  <c:v>0.85</c:v>
                </c:pt>
                <c:pt idx="22">
                  <c:v>1.75</c:v>
                </c:pt>
              </c:numCache>
            </c:numRef>
          </c:xVal>
          <c:yVal>
            <c:numRef>
              <c:f>'計算'!$X$3:$X$25</c:f>
              <c:numCache>
                <c:ptCount val="23"/>
                <c:pt idx="5">
                  <c:v>0.9</c:v>
                </c:pt>
                <c:pt idx="6">
                  <c:v>0.9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'計算'!$Y$2</c:f>
              <c:strCache>
                <c:ptCount val="1"/>
                <c:pt idx="0">
                  <c:v>支柱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0.85</c:v>
                </c:pt>
                <c:pt idx="4">
                  <c:v>0</c:v>
                </c:pt>
                <c:pt idx="5">
                  <c:v>0.85</c:v>
                </c:pt>
                <c:pt idx="6">
                  <c:v>1.75</c:v>
                </c:pt>
                <c:pt idx="7">
                  <c:v>0.375</c:v>
                </c:pt>
                <c:pt idx="8">
                  <c:v>0.375</c:v>
                </c:pt>
                <c:pt idx="9">
                  <c:v>0.475</c:v>
                </c:pt>
                <c:pt idx="10">
                  <c:v>0.475</c:v>
                </c:pt>
                <c:pt idx="11">
                  <c:v>0.475</c:v>
                </c:pt>
                <c:pt idx="12">
                  <c:v>0.475</c:v>
                </c:pt>
                <c:pt idx="13">
                  <c:v>0.5549999999999999</c:v>
                </c:pt>
                <c:pt idx="14">
                  <c:v>0.5549999999999999</c:v>
                </c:pt>
                <c:pt idx="15">
                  <c:v>0.5149999999999999</c:v>
                </c:pt>
                <c:pt idx="16">
                  <c:v>0.475</c:v>
                </c:pt>
                <c:pt idx="17">
                  <c:v>0.5549999999999999</c:v>
                </c:pt>
                <c:pt idx="18">
                  <c:v>0.5549999999999999</c:v>
                </c:pt>
                <c:pt idx="19">
                  <c:v>0.5149999999999999</c:v>
                </c:pt>
                <c:pt idx="20">
                  <c:v>0.85</c:v>
                </c:pt>
                <c:pt idx="21">
                  <c:v>0.85</c:v>
                </c:pt>
                <c:pt idx="22">
                  <c:v>1.75</c:v>
                </c:pt>
              </c:numCache>
            </c:numRef>
          </c:xVal>
          <c:yVal>
            <c:numRef>
              <c:f>'計算'!$Y$3:$Y$25</c:f>
              <c:numCache>
                <c:ptCount val="23"/>
                <c:pt idx="7">
                  <c:v>0.9</c:v>
                </c:pt>
                <c:pt idx="8">
                  <c:v>1.65</c:v>
                </c:pt>
                <c:pt idx="9">
                  <c:v>1.65</c:v>
                </c:pt>
                <c:pt idx="10">
                  <c:v>0.9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'計算'!$Z$2</c:f>
              <c:strCache>
                <c:ptCount val="1"/>
                <c:pt idx="0">
                  <c:v>羽根1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0.85</c:v>
                </c:pt>
                <c:pt idx="4">
                  <c:v>0</c:v>
                </c:pt>
                <c:pt idx="5">
                  <c:v>0.85</c:v>
                </c:pt>
                <c:pt idx="6">
                  <c:v>1.75</c:v>
                </c:pt>
                <c:pt idx="7">
                  <c:v>0.375</c:v>
                </c:pt>
                <c:pt idx="8">
                  <c:v>0.375</c:v>
                </c:pt>
                <c:pt idx="9">
                  <c:v>0.475</c:v>
                </c:pt>
                <c:pt idx="10">
                  <c:v>0.475</c:v>
                </c:pt>
                <c:pt idx="11">
                  <c:v>0.475</c:v>
                </c:pt>
                <c:pt idx="12">
                  <c:v>0.475</c:v>
                </c:pt>
                <c:pt idx="13">
                  <c:v>0.5549999999999999</c:v>
                </c:pt>
                <c:pt idx="14">
                  <c:v>0.5549999999999999</c:v>
                </c:pt>
                <c:pt idx="15">
                  <c:v>0.5149999999999999</c:v>
                </c:pt>
                <c:pt idx="16">
                  <c:v>0.475</c:v>
                </c:pt>
                <c:pt idx="17">
                  <c:v>0.5549999999999999</c:v>
                </c:pt>
                <c:pt idx="18">
                  <c:v>0.5549999999999999</c:v>
                </c:pt>
                <c:pt idx="19">
                  <c:v>0.5149999999999999</c:v>
                </c:pt>
                <c:pt idx="20">
                  <c:v>0.85</c:v>
                </c:pt>
                <c:pt idx="21">
                  <c:v>0.85</c:v>
                </c:pt>
                <c:pt idx="22">
                  <c:v>1.75</c:v>
                </c:pt>
              </c:numCache>
            </c:numRef>
          </c:xVal>
          <c:yVal>
            <c:numRef>
              <c:f>'計算'!$Z$3:$Z$25</c:f>
              <c:numCache>
                <c:ptCount val="23"/>
                <c:pt idx="11">
                  <c:v>1.5</c:v>
                </c:pt>
                <c:pt idx="12">
                  <c:v>1.55</c:v>
                </c:pt>
                <c:pt idx="13">
                  <c:v>1.6</c:v>
                </c:pt>
                <c:pt idx="14">
                  <c:v>1.7000000000000002</c:v>
                </c:pt>
                <c:pt idx="15">
                  <c:v>1.7500000000000002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'計算'!$AA$2</c:f>
              <c:strCache>
                <c:ptCount val="1"/>
                <c:pt idx="0">
                  <c:v>羽根2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0.85</c:v>
                </c:pt>
                <c:pt idx="4">
                  <c:v>0</c:v>
                </c:pt>
                <c:pt idx="5">
                  <c:v>0.85</c:v>
                </c:pt>
                <c:pt idx="6">
                  <c:v>1.75</c:v>
                </c:pt>
                <c:pt idx="7">
                  <c:v>0.375</c:v>
                </c:pt>
                <c:pt idx="8">
                  <c:v>0.375</c:v>
                </c:pt>
                <c:pt idx="9">
                  <c:v>0.475</c:v>
                </c:pt>
                <c:pt idx="10">
                  <c:v>0.475</c:v>
                </c:pt>
                <c:pt idx="11">
                  <c:v>0.475</c:v>
                </c:pt>
                <c:pt idx="12">
                  <c:v>0.475</c:v>
                </c:pt>
                <c:pt idx="13">
                  <c:v>0.5549999999999999</c:v>
                </c:pt>
                <c:pt idx="14">
                  <c:v>0.5549999999999999</c:v>
                </c:pt>
                <c:pt idx="15">
                  <c:v>0.5149999999999999</c:v>
                </c:pt>
                <c:pt idx="16">
                  <c:v>0.475</c:v>
                </c:pt>
                <c:pt idx="17">
                  <c:v>0.5549999999999999</c:v>
                </c:pt>
                <c:pt idx="18">
                  <c:v>0.5549999999999999</c:v>
                </c:pt>
                <c:pt idx="19">
                  <c:v>0.5149999999999999</c:v>
                </c:pt>
                <c:pt idx="20">
                  <c:v>0.85</c:v>
                </c:pt>
                <c:pt idx="21">
                  <c:v>0.85</c:v>
                </c:pt>
                <c:pt idx="22">
                  <c:v>1.75</c:v>
                </c:pt>
              </c:numCache>
            </c:numRef>
          </c:xVal>
          <c:yVal>
            <c:numRef>
              <c:f>'計算'!$AA$3:$AA$25</c:f>
              <c:numCache>
                <c:ptCount val="23"/>
                <c:pt idx="16">
                  <c:v>1.5</c:v>
                </c:pt>
                <c:pt idx="17">
                  <c:v>1.45</c:v>
                </c:pt>
                <c:pt idx="18">
                  <c:v>1.3499999999999999</c:v>
                </c:pt>
                <c:pt idx="19">
                  <c:v>1.2999999999999998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'計算'!$AB$2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0.85</c:v>
                </c:pt>
                <c:pt idx="4">
                  <c:v>0</c:v>
                </c:pt>
                <c:pt idx="5">
                  <c:v>0.85</c:v>
                </c:pt>
                <c:pt idx="6">
                  <c:v>1.75</c:v>
                </c:pt>
                <c:pt idx="7">
                  <c:v>0.375</c:v>
                </c:pt>
                <c:pt idx="8">
                  <c:v>0.375</c:v>
                </c:pt>
                <c:pt idx="9">
                  <c:v>0.475</c:v>
                </c:pt>
                <c:pt idx="10">
                  <c:v>0.475</c:v>
                </c:pt>
                <c:pt idx="11">
                  <c:v>0.475</c:v>
                </c:pt>
                <c:pt idx="12">
                  <c:v>0.475</c:v>
                </c:pt>
                <c:pt idx="13">
                  <c:v>0.5549999999999999</c:v>
                </c:pt>
                <c:pt idx="14">
                  <c:v>0.5549999999999999</c:v>
                </c:pt>
                <c:pt idx="15">
                  <c:v>0.5149999999999999</c:v>
                </c:pt>
                <c:pt idx="16">
                  <c:v>0.475</c:v>
                </c:pt>
                <c:pt idx="17">
                  <c:v>0.5549999999999999</c:v>
                </c:pt>
                <c:pt idx="18">
                  <c:v>0.5549999999999999</c:v>
                </c:pt>
                <c:pt idx="19">
                  <c:v>0.5149999999999999</c:v>
                </c:pt>
                <c:pt idx="20">
                  <c:v>0.85</c:v>
                </c:pt>
                <c:pt idx="21">
                  <c:v>0.85</c:v>
                </c:pt>
                <c:pt idx="22">
                  <c:v>1.75</c:v>
                </c:pt>
              </c:numCache>
            </c:numRef>
          </c:xVal>
          <c:yVal>
            <c:numRef>
              <c:f>'計算'!$AB$3:$AB$25</c:f>
              <c:numCache>
                <c:ptCount val="23"/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</c:numCache>
            </c:numRef>
          </c:yVal>
          <c:smooth val="0"/>
        </c:ser>
        <c:axId val="59884498"/>
        <c:axId val="2089571"/>
      </c:scatterChart>
      <c:valAx>
        <c:axId val="59884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25" b="0" i="0" u="none" baseline="0"/>
            </a:pPr>
          </a:p>
        </c:txPr>
        <c:crossAx val="2089571"/>
        <c:crosses val="autoZero"/>
        <c:crossBetween val="midCat"/>
        <c:dispUnits/>
      </c:valAx>
      <c:valAx>
        <c:axId val="20895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25" b="0" i="0" u="none" baseline="0"/>
            </a:pPr>
          </a:p>
        </c:txPr>
        <c:crossAx val="598844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'計算'!$W$2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'計算'!$W$3:$W$25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'計算'!$X$2</c:f>
              <c:strCache>
                <c:ptCount val="1"/>
                <c:pt idx="0">
                  <c:v>地盤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'計算'!$X$3:$X$25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'計算'!$Y$2</c:f>
              <c:strCache>
                <c:ptCount val="1"/>
                <c:pt idx="0">
                  <c:v>支柱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'計算'!$Y$3:$Y$25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'計算'!$Z$2</c:f>
              <c:strCache>
                <c:ptCount val="1"/>
                <c:pt idx="0">
                  <c:v>羽根1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'計算'!$Z$3:$Z$25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'計算'!$AA$2</c:f>
              <c:strCache>
                <c:ptCount val="1"/>
                <c:pt idx="0">
                  <c:v>羽根2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'計算'!$AA$3:$AA$25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'計算'!$AB$2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'計算'!$AB$3:$AB$25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18806140"/>
        <c:axId val="35037533"/>
      </c:scatterChart>
      <c:valAx>
        <c:axId val="18806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5037533"/>
        <c:crosses val="autoZero"/>
        <c:crossBetween val="midCat"/>
        <c:dispUnits/>
      </c:valAx>
      <c:valAx>
        <c:axId val="35037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88061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5.emf" /><Relationship Id="rId5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6.emf" /><Relationship Id="rId9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4</xdr:row>
      <xdr:rowOff>161925</xdr:rowOff>
    </xdr:from>
    <xdr:to>
      <xdr:col>9</xdr:col>
      <xdr:colOff>276225</xdr:colOff>
      <xdr:row>14</xdr:row>
      <xdr:rowOff>133350</xdr:rowOff>
    </xdr:to>
    <xdr:grpSp>
      <xdr:nvGrpSpPr>
        <xdr:cNvPr id="1" name="Group 61"/>
        <xdr:cNvGrpSpPr>
          <a:grpSpLocks/>
        </xdr:cNvGrpSpPr>
      </xdr:nvGrpSpPr>
      <xdr:grpSpPr>
        <a:xfrm>
          <a:off x="4010025" y="1076325"/>
          <a:ext cx="3467100" cy="2257425"/>
          <a:chOff x="1296" y="1008"/>
          <a:chExt cx="1746" cy="1422"/>
        </a:xfrm>
        <a:solidFill>
          <a:srgbClr val="FFFFFF"/>
        </a:solidFill>
      </xdr:grpSpPr>
      <xdr:pic>
        <xdr:nvPicPr>
          <xdr:cNvPr id="2" name="Picture 6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96" y="1008"/>
            <a:ext cx="1746" cy="14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63"/>
          <xdr:cNvSpPr>
            <a:spLocks/>
          </xdr:cNvSpPr>
        </xdr:nvSpPr>
        <xdr:spPr>
          <a:xfrm flipH="1">
            <a:off x="2112" y="1200"/>
            <a:ext cx="28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AutoShape 64"/>
          <xdr:cNvSpPr>
            <a:spLocks/>
          </xdr:cNvSpPr>
        </xdr:nvSpPr>
        <xdr:spPr>
          <a:xfrm flipH="1">
            <a:off x="1296" y="1200"/>
            <a:ext cx="5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AutoShape 65"/>
          <xdr:cNvSpPr>
            <a:spLocks/>
          </xdr:cNvSpPr>
        </xdr:nvSpPr>
        <xdr:spPr>
          <a:xfrm flipV="1">
            <a:off x="1344" y="1200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9</xdr:col>
      <xdr:colOff>647700</xdr:colOff>
      <xdr:row>2</xdr:row>
      <xdr:rowOff>9525</xdr:rowOff>
    </xdr:from>
    <xdr:to>
      <xdr:col>14</xdr:col>
      <xdr:colOff>628650</xdr:colOff>
      <xdr:row>14</xdr:row>
      <xdr:rowOff>161925</xdr:rowOff>
    </xdr:to>
    <xdr:graphicFrame>
      <xdr:nvGraphicFramePr>
        <xdr:cNvPr id="6" name="Chart 54"/>
        <xdr:cNvGraphicFramePr/>
      </xdr:nvGraphicFramePr>
      <xdr:xfrm>
        <a:off x="7848600" y="466725"/>
        <a:ext cx="4267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22</xdr:row>
      <xdr:rowOff>152400</xdr:rowOff>
    </xdr:from>
    <xdr:to>
      <xdr:col>5</xdr:col>
      <xdr:colOff>581025</xdr:colOff>
      <xdr:row>32</xdr:row>
      <xdr:rowOff>123825</xdr:rowOff>
    </xdr:to>
    <xdr:grpSp>
      <xdr:nvGrpSpPr>
        <xdr:cNvPr id="1" name="Group 637"/>
        <xdr:cNvGrpSpPr>
          <a:grpSpLocks/>
        </xdr:cNvGrpSpPr>
      </xdr:nvGrpSpPr>
      <xdr:grpSpPr>
        <a:xfrm>
          <a:off x="1676400" y="5181600"/>
          <a:ext cx="3457575" cy="2257425"/>
          <a:chOff x="1296" y="1008"/>
          <a:chExt cx="1746" cy="1422"/>
        </a:xfrm>
        <a:solidFill>
          <a:srgbClr val="FFFFFF"/>
        </a:solidFill>
      </xdr:grpSpPr>
      <xdr:pic>
        <xdr:nvPicPr>
          <xdr:cNvPr id="2" name="Picture 6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96" y="1008"/>
            <a:ext cx="1746" cy="14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639"/>
          <xdr:cNvSpPr>
            <a:spLocks/>
          </xdr:cNvSpPr>
        </xdr:nvSpPr>
        <xdr:spPr>
          <a:xfrm flipH="1">
            <a:off x="2112" y="1200"/>
            <a:ext cx="28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AutoShape 640"/>
          <xdr:cNvSpPr>
            <a:spLocks/>
          </xdr:cNvSpPr>
        </xdr:nvSpPr>
        <xdr:spPr>
          <a:xfrm flipH="1">
            <a:off x="1296" y="1200"/>
            <a:ext cx="5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AutoShape 641"/>
          <xdr:cNvSpPr>
            <a:spLocks/>
          </xdr:cNvSpPr>
        </xdr:nvSpPr>
        <xdr:spPr>
          <a:xfrm flipV="1">
            <a:off x="1344" y="1200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733425</xdr:colOff>
      <xdr:row>51</xdr:row>
      <xdr:rowOff>95250</xdr:rowOff>
    </xdr:from>
    <xdr:to>
      <xdr:col>5</xdr:col>
      <xdr:colOff>876300</xdr:colOff>
      <xdr:row>54</xdr:row>
      <xdr:rowOff>152400</xdr:rowOff>
    </xdr:to>
    <xdr:pic>
      <xdr:nvPicPr>
        <xdr:cNvPr id="6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1753850"/>
          <a:ext cx="3838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56</xdr:row>
      <xdr:rowOff>200025</xdr:rowOff>
    </xdr:from>
    <xdr:to>
      <xdr:col>4</xdr:col>
      <xdr:colOff>381000</xdr:colOff>
      <xdr:row>58</xdr:row>
      <xdr:rowOff>219075</xdr:rowOff>
    </xdr:to>
    <xdr:pic>
      <xdr:nvPicPr>
        <xdr:cNvPr id="7" name="Picture 6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3001625"/>
          <a:ext cx="2238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106</xdr:row>
      <xdr:rowOff>104775</xdr:rowOff>
    </xdr:from>
    <xdr:to>
      <xdr:col>4</xdr:col>
      <xdr:colOff>619125</xdr:colOff>
      <xdr:row>112</xdr:row>
      <xdr:rowOff>209550</xdr:rowOff>
    </xdr:to>
    <xdr:pic>
      <xdr:nvPicPr>
        <xdr:cNvPr id="8" name="Picture 6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24336375"/>
          <a:ext cx="3048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104775</xdr:rowOff>
    </xdr:from>
    <xdr:to>
      <xdr:col>4</xdr:col>
      <xdr:colOff>533400</xdr:colOff>
      <xdr:row>146</xdr:row>
      <xdr:rowOff>190500</xdr:rowOff>
    </xdr:to>
    <xdr:pic>
      <xdr:nvPicPr>
        <xdr:cNvPr id="9" name="Picture 6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32108775"/>
          <a:ext cx="2981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876300</xdr:colOff>
      <xdr:row>24</xdr:row>
      <xdr:rowOff>47625</xdr:rowOff>
    </xdr:from>
    <xdr:to>
      <xdr:col>21</xdr:col>
      <xdr:colOff>95250</xdr:colOff>
      <xdr:row>42</xdr:row>
      <xdr:rowOff>171450</xdr:rowOff>
    </xdr:to>
    <xdr:graphicFrame>
      <xdr:nvGraphicFramePr>
        <xdr:cNvPr id="10" name="Chart 634"/>
        <xdr:cNvGraphicFramePr/>
      </xdr:nvGraphicFramePr>
      <xdr:xfrm>
        <a:off x="12525375" y="5534025"/>
        <a:ext cx="64579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43"/>
  <sheetViews>
    <sheetView showGridLines="0" showRowColHeaders="0" zoomScale="121" zoomScaleNormal="121" workbookViewId="0" topLeftCell="A1">
      <selection activeCell="L30" sqref="L30"/>
    </sheetView>
  </sheetViews>
  <sheetFormatPr defaultColWidth="9" defaultRowHeight="18" customHeight="1"/>
  <cols>
    <col min="1" max="1" width="3.59765625" style="168" customWidth="1"/>
    <col min="2" max="57" width="9" style="168" customWidth="1"/>
    <col min="58" max="58" width="11.69921875" style="168" customWidth="1"/>
    <col min="59" max="59" width="4.09765625" style="168" customWidth="1"/>
    <col min="60" max="60" width="13.09765625" style="168" customWidth="1"/>
    <col min="61" max="61" width="6.59765625" style="168" customWidth="1"/>
    <col min="62" max="16384" width="9" style="168" customWidth="1"/>
  </cols>
  <sheetData>
    <row r="1" spans="1:61" ht="18" customHeight="1">
      <c r="A1" s="224"/>
      <c r="B1" s="227" t="s">
        <v>222</v>
      </c>
      <c r="C1" s="226"/>
      <c r="D1" s="226"/>
      <c r="E1" s="226"/>
      <c r="F1" s="226"/>
      <c r="G1" s="167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BF1" s="169"/>
      <c r="BG1" s="169"/>
      <c r="BH1" s="169"/>
      <c r="BI1" s="169"/>
    </row>
    <row r="2" spans="1:61" ht="18" customHeight="1">
      <c r="A2" s="224"/>
      <c r="B2" s="225"/>
      <c r="C2" s="226"/>
      <c r="D2" s="226"/>
      <c r="E2" s="233" t="s">
        <v>223</v>
      </c>
      <c r="F2" s="233"/>
      <c r="G2" s="167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BF2" s="169"/>
      <c r="BG2" s="169"/>
      <c r="BH2" s="169"/>
      <c r="BI2" s="169"/>
    </row>
    <row r="3" spans="2:61" ht="18" customHeight="1">
      <c r="B3" s="174" t="s">
        <v>174</v>
      </c>
      <c r="C3" s="167"/>
      <c r="D3" s="167"/>
      <c r="E3" s="167"/>
      <c r="F3" s="167"/>
      <c r="G3" s="167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BF3" s="169"/>
      <c r="BG3" s="169"/>
      <c r="BH3" s="169"/>
      <c r="BI3" s="169"/>
    </row>
    <row r="4" spans="2:61" ht="18" customHeight="1">
      <c r="B4" s="174" t="s">
        <v>75</v>
      </c>
      <c r="C4" s="167"/>
      <c r="D4" s="167"/>
      <c r="E4" s="167"/>
      <c r="F4" s="167"/>
      <c r="G4" s="167"/>
      <c r="H4" s="170"/>
      <c r="I4" s="170"/>
      <c r="J4" s="170"/>
      <c r="K4" s="170"/>
      <c r="L4" s="170"/>
      <c r="M4" s="170"/>
      <c r="O4" s="171"/>
      <c r="P4" s="170"/>
      <c r="Q4" s="170"/>
      <c r="R4" s="170"/>
      <c r="S4" s="170"/>
      <c r="T4" s="170"/>
      <c r="U4" s="170"/>
      <c r="BF4" s="169"/>
      <c r="BG4" s="172"/>
      <c r="BH4" s="173"/>
      <c r="BI4" s="169"/>
    </row>
    <row r="5" spans="3:61" ht="18" customHeight="1">
      <c r="C5" s="218" t="s">
        <v>212</v>
      </c>
      <c r="D5" s="221">
        <v>30</v>
      </c>
      <c r="E5" s="170" t="s">
        <v>30</v>
      </c>
      <c r="G5" s="167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BF5" s="169"/>
      <c r="BG5" s="172"/>
      <c r="BH5" s="173"/>
      <c r="BI5" s="169"/>
    </row>
    <row r="6" spans="3:61" ht="18" customHeight="1">
      <c r="C6" s="217" t="s">
        <v>213</v>
      </c>
      <c r="D6" s="221">
        <v>0.6</v>
      </c>
      <c r="E6" s="170" t="s">
        <v>40</v>
      </c>
      <c r="G6" s="167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BF6" s="169"/>
      <c r="BG6" s="175"/>
      <c r="BH6" s="173"/>
      <c r="BI6" s="169"/>
    </row>
    <row r="7" spans="2:61" ht="18" customHeight="1">
      <c r="B7" s="171" t="s">
        <v>76</v>
      </c>
      <c r="C7" s="176" t="s">
        <v>61</v>
      </c>
      <c r="D7" s="109">
        <v>0.9</v>
      </c>
      <c r="E7" s="170" t="s">
        <v>40</v>
      </c>
      <c r="G7" s="174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BF7" s="169"/>
      <c r="BG7" s="175"/>
      <c r="BH7" s="173"/>
      <c r="BI7" s="169"/>
    </row>
    <row r="8" spans="2:61" ht="18" customHeight="1">
      <c r="B8" s="177" t="s">
        <v>4</v>
      </c>
      <c r="C8" s="176" t="s">
        <v>31</v>
      </c>
      <c r="D8" s="109">
        <v>0.85</v>
      </c>
      <c r="E8" s="170" t="s">
        <v>40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BF8" s="169"/>
      <c r="BG8" s="178"/>
      <c r="BH8" s="173"/>
      <c r="BI8" s="169"/>
    </row>
    <row r="9" spans="2:61" ht="18" customHeight="1">
      <c r="B9" s="177" t="s">
        <v>10</v>
      </c>
      <c r="C9" s="179" t="s">
        <v>47</v>
      </c>
      <c r="D9" s="109">
        <v>0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BF9" s="169"/>
      <c r="BG9" s="180"/>
      <c r="BH9" s="173"/>
      <c r="BI9" s="169"/>
    </row>
    <row r="10" spans="2:61" ht="18" customHeight="1">
      <c r="B10" s="174" t="s">
        <v>46</v>
      </c>
      <c r="C10" s="179" t="s">
        <v>48</v>
      </c>
      <c r="D10" s="110">
        <v>0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BF10" s="169"/>
      <c r="BG10" s="175"/>
      <c r="BH10" s="181"/>
      <c r="BI10" s="169"/>
    </row>
    <row r="11" spans="2:61" ht="18" customHeight="1">
      <c r="B11" s="182" t="s">
        <v>32</v>
      </c>
      <c r="C11" s="183" t="s">
        <v>62</v>
      </c>
      <c r="D11" s="109">
        <v>8</v>
      </c>
      <c r="E11" s="170" t="s">
        <v>33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BF11" s="169"/>
      <c r="BG11" s="184"/>
      <c r="BH11" s="173"/>
      <c r="BI11" s="169"/>
    </row>
    <row r="12" spans="2:61" ht="18" customHeight="1">
      <c r="B12" s="185" t="s">
        <v>77</v>
      </c>
      <c r="D12" s="208"/>
      <c r="E12" s="169"/>
      <c r="F12" s="169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BF12" s="169"/>
      <c r="BG12" s="172"/>
      <c r="BH12" s="173"/>
      <c r="BI12" s="169"/>
    </row>
    <row r="13" spans="2:61" ht="18" customHeight="1">
      <c r="B13" s="186" t="s">
        <v>41</v>
      </c>
      <c r="C13" s="176" t="s">
        <v>63</v>
      </c>
      <c r="D13" s="109">
        <v>10</v>
      </c>
      <c r="E13" s="170" t="s">
        <v>42</v>
      </c>
      <c r="F13" s="187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BF13" s="169"/>
      <c r="BG13" s="184"/>
      <c r="BH13" s="173"/>
      <c r="BI13" s="169"/>
    </row>
    <row r="14" spans="2:61" ht="18" customHeight="1">
      <c r="B14" s="185" t="s">
        <v>34</v>
      </c>
      <c r="C14" s="188" t="s">
        <v>85</v>
      </c>
      <c r="D14" s="209">
        <v>0.6</v>
      </c>
      <c r="E14" s="189"/>
      <c r="F14" s="187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BF14" s="169"/>
      <c r="BG14" s="184"/>
      <c r="BH14" s="173"/>
      <c r="BI14" s="169"/>
    </row>
    <row r="15" spans="2:61" ht="18" customHeight="1">
      <c r="B15" s="190" t="s">
        <v>152</v>
      </c>
      <c r="C15" s="188" t="s">
        <v>154</v>
      </c>
      <c r="D15" s="110">
        <v>18</v>
      </c>
      <c r="E15" s="191" t="s">
        <v>153</v>
      </c>
      <c r="F15" s="187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BF15" s="169"/>
      <c r="BG15" s="178"/>
      <c r="BH15" s="173"/>
      <c r="BI15" s="169"/>
    </row>
    <row r="16" spans="2:61" ht="18" customHeight="1">
      <c r="B16" s="185"/>
      <c r="C16" s="192"/>
      <c r="D16" s="184"/>
      <c r="E16" s="191"/>
      <c r="F16" s="187"/>
      <c r="G16" s="170"/>
      <c r="H16" s="170"/>
      <c r="I16" s="170"/>
      <c r="L16" s="170"/>
      <c r="M16" s="170"/>
      <c r="N16" s="170"/>
      <c r="T16" s="170"/>
      <c r="U16" s="170"/>
      <c r="V16" s="170"/>
      <c r="W16" s="170"/>
      <c r="BF16" s="169"/>
      <c r="BG16" s="187"/>
      <c r="BH16" s="173"/>
      <c r="BI16" s="169"/>
    </row>
    <row r="17" spans="2:61" ht="18" customHeight="1">
      <c r="B17" s="171" t="s">
        <v>43</v>
      </c>
      <c r="D17" s="170"/>
      <c r="E17" s="170"/>
      <c r="F17" s="170"/>
      <c r="G17" s="170"/>
      <c r="H17" s="170"/>
      <c r="I17" s="170"/>
      <c r="J17" s="171"/>
      <c r="K17" s="171"/>
      <c r="L17" s="193"/>
      <c r="M17" s="193"/>
      <c r="N17" s="193"/>
      <c r="T17" s="170"/>
      <c r="U17" s="170"/>
      <c r="V17" s="170"/>
      <c r="BF17" s="169"/>
      <c r="BG17" s="184"/>
      <c r="BH17" s="173"/>
      <c r="BI17" s="169"/>
    </row>
    <row r="18" spans="2:62" ht="18" customHeight="1">
      <c r="B18" s="234" t="s">
        <v>35</v>
      </c>
      <c r="C18" s="235"/>
      <c r="D18" s="236"/>
      <c r="E18" s="194" t="s">
        <v>11</v>
      </c>
      <c r="F18" s="194" t="s">
        <v>12</v>
      </c>
      <c r="G18" s="195" t="s">
        <v>13</v>
      </c>
      <c r="H18" s="170"/>
      <c r="I18" s="170"/>
      <c r="J18" s="210"/>
      <c r="K18" s="170"/>
      <c r="L18" s="170"/>
      <c r="M18" s="170"/>
      <c r="N18" s="170"/>
      <c r="O18" s="170"/>
      <c r="U18" s="170"/>
      <c r="V18" s="170"/>
      <c r="W18" s="170"/>
      <c r="BG18" s="169"/>
      <c r="BH18" s="178"/>
      <c r="BI18" s="173"/>
      <c r="BJ18" s="169"/>
    </row>
    <row r="19" spans="2:62" ht="18" customHeight="1">
      <c r="B19" s="231" t="s">
        <v>36</v>
      </c>
      <c r="C19" s="196" t="s">
        <v>163</v>
      </c>
      <c r="D19" s="228" t="s">
        <v>226</v>
      </c>
      <c r="E19" s="197">
        <f>'計算'!L100</f>
        <v>38.636</v>
      </c>
      <c r="F19" s="197">
        <v>3</v>
      </c>
      <c r="G19" s="198" t="str">
        <f>IF(E19&gt;F19,"OK","OUT")</f>
        <v>OK</v>
      </c>
      <c r="H19" s="170"/>
      <c r="I19" s="170"/>
      <c r="J19" s="170"/>
      <c r="K19" s="170"/>
      <c r="L19" s="170"/>
      <c r="M19" s="170"/>
      <c r="N19" s="170"/>
      <c r="O19" s="170"/>
      <c r="U19" s="170"/>
      <c r="V19" s="170"/>
      <c r="W19" s="170"/>
      <c r="BG19" s="169"/>
      <c r="BH19" s="184"/>
      <c r="BI19" s="173"/>
      <c r="BJ19" s="169"/>
    </row>
    <row r="20" spans="2:62" ht="18" customHeight="1">
      <c r="B20" s="232"/>
      <c r="C20" s="196" t="s">
        <v>162</v>
      </c>
      <c r="D20" s="196" t="s">
        <v>224</v>
      </c>
      <c r="E20" s="222">
        <f>'計算'!L135</f>
        <v>1.54</v>
      </c>
      <c r="F20" s="197">
        <f>'計算'!O135</f>
        <v>1.5</v>
      </c>
      <c r="G20" s="198" t="str">
        <f>IF(E20&gt;F20,"OK","OUT")</f>
        <v>OK</v>
      </c>
      <c r="H20" s="220" t="s">
        <v>216</v>
      </c>
      <c r="J20" s="170"/>
      <c r="K20" s="170"/>
      <c r="L20" s="170"/>
      <c r="M20" s="170"/>
      <c r="N20" s="170"/>
      <c r="O20" s="170"/>
      <c r="U20" s="170"/>
      <c r="V20" s="170"/>
      <c r="W20" s="170"/>
      <c r="BG20" s="169"/>
      <c r="BH20" s="184"/>
      <c r="BI20" s="173"/>
      <c r="BJ20" s="169"/>
    </row>
    <row r="21" spans="2:62" ht="18" customHeight="1">
      <c r="B21" s="231" t="s">
        <v>14</v>
      </c>
      <c r="C21" s="196" t="s">
        <v>163</v>
      </c>
      <c r="D21" s="196" t="s">
        <v>224</v>
      </c>
      <c r="E21" s="222">
        <f>'計算'!L104</f>
        <v>6.08</v>
      </c>
      <c r="F21" s="197">
        <v>1.5</v>
      </c>
      <c r="G21" s="198" t="str">
        <f>IF(E21&gt;F21,"OK","OUT")</f>
        <v>OK</v>
      </c>
      <c r="H21" s="219" t="s">
        <v>217</v>
      </c>
      <c r="J21" s="170"/>
      <c r="K21" s="170"/>
      <c r="L21" s="170"/>
      <c r="M21" s="170"/>
      <c r="N21" s="170"/>
      <c r="O21" s="170"/>
      <c r="U21" s="170"/>
      <c r="V21" s="170"/>
      <c r="W21" s="170"/>
      <c r="BG21" s="169"/>
      <c r="BH21" s="178"/>
      <c r="BI21" s="173"/>
      <c r="BJ21" s="169"/>
    </row>
    <row r="22" spans="2:62" ht="18" customHeight="1">
      <c r="B22" s="232"/>
      <c r="C22" s="196" t="s">
        <v>162</v>
      </c>
      <c r="D22" s="196" t="s">
        <v>224</v>
      </c>
      <c r="E22" s="230">
        <f>'計算'!L138</f>
        <v>2.32</v>
      </c>
      <c r="F22" s="200">
        <f>'計算'!O138</f>
        <v>1.5</v>
      </c>
      <c r="G22" s="198" t="str">
        <f>IF(E22&gt;F22,"OK","OUT")</f>
        <v>OK</v>
      </c>
      <c r="H22" s="219" t="s">
        <v>218</v>
      </c>
      <c r="I22" s="170"/>
      <c r="J22" s="170"/>
      <c r="K22" s="170"/>
      <c r="L22" s="170"/>
      <c r="M22" s="170"/>
      <c r="N22" s="170"/>
      <c r="O22" s="170"/>
      <c r="U22" s="170"/>
      <c r="V22" s="170"/>
      <c r="W22" s="170"/>
      <c r="BG22" s="169"/>
      <c r="BH22" s="169"/>
      <c r="BI22" s="169"/>
      <c r="BJ22" s="169"/>
    </row>
    <row r="23" spans="2:23" ht="18" customHeight="1">
      <c r="B23" s="229" t="s">
        <v>227</v>
      </c>
      <c r="C23" s="196" t="s">
        <v>228</v>
      </c>
      <c r="D23" s="198" t="s">
        <v>225</v>
      </c>
      <c r="E23" s="198" t="str">
        <f>IF(data!B26=1,'計算'!W163,"省略")</f>
        <v>省略</v>
      </c>
      <c r="F23" s="198" t="str">
        <f>IF(data!B26=1,'計算'!Q163,"省略")</f>
        <v>省略</v>
      </c>
      <c r="G23" s="198" t="str">
        <f>IF(data!B26=1,IF(E23&lt;F23,"OK","OUT"),"省略")</f>
        <v>省略</v>
      </c>
      <c r="H23" s="219" t="s">
        <v>219</v>
      </c>
      <c r="I23" s="170"/>
      <c r="J23" s="170"/>
      <c r="K23" s="170"/>
      <c r="L23" s="170"/>
      <c r="M23" s="170"/>
      <c r="N23" s="170"/>
      <c r="O23" s="170"/>
      <c r="U23" s="170"/>
      <c r="V23" s="170"/>
      <c r="W23" s="170"/>
    </row>
    <row r="24" spans="2:23" ht="18" customHeight="1">
      <c r="B24" s="184"/>
      <c r="C24" s="184"/>
      <c r="D24" s="201"/>
      <c r="E24" s="201"/>
      <c r="F24" s="201"/>
      <c r="G24" s="193"/>
      <c r="H24" s="219" t="s">
        <v>221</v>
      </c>
      <c r="I24" s="170"/>
      <c r="J24" s="170"/>
      <c r="K24" s="170"/>
      <c r="L24" s="170"/>
      <c r="M24" s="170"/>
      <c r="N24" s="170"/>
      <c r="O24" s="170"/>
      <c r="U24" s="170"/>
      <c r="V24" s="170"/>
      <c r="W24" s="170"/>
    </row>
    <row r="25" spans="2:23" ht="18" customHeight="1">
      <c r="B25" s="195" t="s">
        <v>164</v>
      </c>
      <c r="C25" s="196" t="s">
        <v>163</v>
      </c>
      <c r="D25" s="202">
        <f>'計算'!N116</f>
        <v>23.3</v>
      </c>
      <c r="E25" s="200" t="s">
        <v>166</v>
      </c>
      <c r="F25" s="201"/>
      <c r="G25" s="193"/>
      <c r="H25" s="219" t="s">
        <v>220</v>
      </c>
      <c r="I25" s="170"/>
      <c r="J25" s="170"/>
      <c r="K25" s="170"/>
      <c r="L25" s="170"/>
      <c r="M25" s="170"/>
      <c r="N25" s="170"/>
      <c r="O25" s="170"/>
      <c r="U25" s="170"/>
      <c r="V25" s="170"/>
      <c r="W25" s="170"/>
    </row>
    <row r="26" spans="2:20" ht="18" customHeight="1">
      <c r="B26" s="199" t="s">
        <v>165</v>
      </c>
      <c r="C26" s="196" t="s">
        <v>162</v>
      </c>
      <c r="D26" s="202">
        <f>'計算'!N149</f>
        <v>95.59</v>
      </c>
      <c r="E26" s="200" t="s">
        <v>166</v>
      </c>
      <c r="F26" s="193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</row>
    <row r="27" spans="2:21" ht="18" customHeight="1">
      <c r="B27" s="184"/>
      <c r="C27" s="184"/>
      <c r="D27" s="170"/>
      <c r="E27" s="170"/>
      <c r="F27" s="170"/>
      <c r="G27" s="170"/>
      <c r="M27" s="170"/>
      <c r="N27" s="170"/>
      <c r="O27" s="170"/>
      <c r="P27" s="170"/>
      <c r="Q27" s="170"/>
      <c r="R27" s="170"/>
      <c r="S27" s="170"/>
      <c r="T27" s="170"/>
      <c r="U27" s="170"/>
    </row>
    <row r="28" spans="2:21" ht="18" customHeight="1">
      <c r="B28" s="184"/>
      <c r="C28" s="184"/>
      <c r="D28" s="206"/>
      <c r="E28" s="207"/>
      <c r="F28" s="187"/>
      <c r="G28" s="170"/>
      <c r="M28" s="170"/>
      <c r="N28" s="170"/>
      <c r="O28" s="170"/>
      <c r="P28" s="170"/>
      <c r="Q28" s="170"/>
      <c r="R28" s="170"/>
      <c r="S28" s="170"/>
      <c r="T28" s="170"/>
      <c r="U28" s="170"/>
    </row>
    <row r="29" spans="2:21" ht="18" customHeight="1">
      <c r="B29" s="203"/>
      <c r="C29" s="187"/>
      <c r="D29" s="206"/>
      <c r="E29" s="207"/>
      <c r="F29" s="187"/>
      <c r="G29" s="170"/>
      <c r="M29" s="170"/>
      <c r="N29" s="170"/>
      <c r="O29" s="170"/>
      <c r="P29" s="170"/>
      <c r="Q29" s="170"/>
      <c r="R29" s="170"/>
      <c r="S29" s="170"/>
      <c r="T29" s="170"/>
      <c r="U29" s="170"/>
    </row>
    <row r="30" spans="2:21" ht="18" customHeight="1">
      <c r="B30" s="184"/>
      <c r="C30" s="184"/>
      <c r="D30" s="206"/>
      <c r="E30" s="207"/>
      <c r="F30" s="187"/>
      <c r="G30" s="170"/>
      <c r="M30" s="170"/>
      <c r="N30" s="170"/>
      <c r="O30" s="170"/>
      <c r="P30" s="170"/>
      <c r="Q30" s="170"/>
      <c r="R30" s="170"/>
      <c r="S30" s="170"/>
      <c r="T30" s="170"/>
      <c r="U30" s="170"/>
    </row>
    <row r="31" spans="2:21" ht="18" customHeight="1">
      <c r="B31" s="184"/>
      <c r="C31" s="191"/>
      <c r="D31" s="170"/>
      <c r="E31" s="170"/>
      <c r="F31" s="170"/>
      <c r="G31" s="170"/>
      <c r="M31" s="170"/>
      <c r="N31" s="170"/>
      <c r="O31" s="170"/>
      <c r="P31" s="170"/>
      <c r="Q31" s="170"/>
      <c r="R31" s="170"/>
      <c r="S31" s="170"/>
      <c r="T31" s="170"/>
      <c r="U31" s="170"/>
    </row>
    <row r="32" spans="2:7" ht="18" customHeight="1">
      <c r="B32" s="184"/>
      <c r="C32" s="191"/>
      <c r="D32" s="170"/>
      <c r="E32" s="170"/>
      <c r="F32" s="170"/>
      <c r="G32" s="170"/>
    </row>
    <row r="33" spans="2:6" ht="18" customHeight="1">
      <c r="B33" s="184"/>
      <c r="C33" s="191"/>
      <c r="D33" s="170"/>
      <c r="E33" s="170"/>
      <c r="F33" s="170"/>
    </row>
    <row r="34" spans="2:6" ht="18" customHeight="1">
      <c r="B34" s="170"/>
      <c r="C34" s="170"/>
      <c r="D34" s="170"/>
      <c r="E34" s="170"/>
      <c r="F34" s="170"/>
    </row>
    <row r="35" spans="2:3" ht="18" customHeight="1">
      <c r="B35" s="171"/>
      <c r="C35" s="204"/>
    </row>
    <row r="36" spans="2:3" ht="18" customHeight="1">
      <c r="B36" s="170"/>
      <c r="C36" s="174"/>
    </row>
    <row r="37" spans="2:3" ht="18" customHeight="1">
      <c r="B37" s="205"/>
      <c r="C37" s="187"/>
    </row>
    <row r="38" spans="2:3" ht="18" customHeight="1">
      <c r="B38" s="187"/>
      <c r="C38" s="187"/>
    </row>
    <row r="39" spans="2:3" ht="18" customHeight="1">
      <c r="B39" s="187"/>
      <c r="C39" s="187"/>
    </row>
    <row r="40" spans="2:3" ht="18" customHeight="1">
      <c r="B40" s="170"/>
      <c r="C40" s="170"/>
    </row>
    <row r="41" spans="2:3" ht="18" customHeight="1">
      <c r="B41" s="170"/>
      <c r="C41" s="170"/>
    </row>
    <row r="42" spans="2:3" ht="18" customHeight="1">
      <c r="B42" s="170"/>
      <c r="C42" s="170"/>
    </row>
    <row r="43" spans="2:3" ht="18" customHeight="1">
      <c r="B43" s="170"/>
      <c r="C43" s="170"/>
    </row>
  </sheetData>
  <sheetProtection/>
  <mergeCells count="4">
    <mergeCell ref="B19:B20"/>
    <mergeCell ref="B21:B22"/>
    <mergeCell ref="E2:F2"/>
    <mergeCell ref="B18:D18"/>
  </mergeCells>
  <conditionalFormatting sqref="E19">
    <cfRule type="cellIs" priority="1" dxfId="0" operator="lessThan" stopIfTrue="1">
      <formula>$F$19</formula>
    </cfRule>
  </conditionalFormatting>
  <conditionalFormatting sqref="E21">
    <cfRule type="cellIs" priority="2" dxfId="0" operator="lessThan" stopIfTrue="1">
      <formula>$F$21</formula>
    </cfRule>
  </conditionalFormatting>
  <conditionalFormatting sqref="C31">
    <cfRule type="cellIs" priority="3" dxfId="0" operator="greaterThan" stopIfTrue="1">
      <formula>$D$31</formula>
    </cfRule>
  </conditionalFormatting>
  <conditionalFormatting sqref="C33">
    <cfRule type="cellIs" priority="4" dxfId="0" operator="greaterThan" stopIfTrue="1">
      <formula>$D$33</formula>
    </cfRule>
  </conditionalFormatting>
  <conditionalFormatting sqref="C32">
    <cfRule type="cellIs" priority="5" dxfId="0" operator="greaterThan" stopIfTrue="1">
      <formula>$D$32</formula>
    </cfRule>
  </conditionalFormatting>
  <conditionalFormatting sqref="D24">
    <cfRule type="cellIs" priority="6" dxfId="0" operator="lessThan" stopIfTrue="1">
      <formula>$E$25</formula>
    </cfRule>
  </conditionalFormatting>
  <conditionalFormatting sqref="E23">
    <cfRule type="cellIs" priority="7" dxfId="0" operator="greaterThan" stopIfTrue="1">
      <formula>$F$23</formula>
    </cfRule>
  </conditionalFormatting>
  <conditionalFormatting sqref="E20">
    <cfRule type="cellIs" priority="8" dxfId="0" operator="lessThan" stopIfTrue="1">
      <formula>$F$20</formula>
    </cfRule>
  </conditionalFormatting>
  <conditionalFormatting sqref="E22">
    <cfRule type="cellIs" priority="9" dxfId="0" operator="lessThan" stopIfTrue="1">
      <formula>$F$22</formula>
    </cfRule>
  </conditionalFormatting>
  <printOptions/>
  <pageMargins left="0.75" right="0.75" top="1" bottom="1" header="0.512" footer="0.512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E608"/>
  <sheetViews>
    <sheetView showGridLines="0" tabSelected="1" showOutlineSymbols="0" workbookViewId="0" topLeftCell="A133">
      <selection activeCell="O104" sqref="O104"/>
    </sheetView>
  </sheetViews>
  <sheetFormatPr defaultColWidth="8.796875" defaultRowHeight="18" customHeight="1"/>
  <cols>
    <col min="1" max="1" width="9" style="7" customWidth="1"/>
    <col min="2" max="2" width="9.69921875" style="7" customWidth="1"/>
    <col min="3" max="3" width="10" style="7" customWidth="1"/>
    <col min="4" max="4" width="9.8984375" style="7" customWidth="1"/>
    <col min="5" max="5" width="9.19921875" style="7" customWidth="1"/>
    <col min="6" max="6" width="9.69921875" style="7" customWidth="1"/>
    <col min="7" max="7" width="8.8984375" style="7" customWidth="1"/>
    <col min="8" max="8" width="8.3984375" style="7" customWidth="1"/>
    <col min="9" max="23" width="9.5" style="7" customWidth="1"/>
    <col min="24" max="26" width="9" style="7" customWidth="1"/>
    <col min="27" max="27" width="9.8984375" style="7" customWidth="1"/>
    <col min="28" max="28" width="9.09765625" style="7" customWidth="1"/>
    <col min="29" max="29" width="10.09765625" style="7" bestFit="1" customWidth="1"/>
    <col min="30" max="30" width="8.09765625" style="7" customWidth="1"/>
    <col min="31" max="16384" width="9" style="7" customWidth="1"/>
  </cols>
  <sheetData>
    <row r="1" spans="1:6" ht="18" customHeight="1">
      <c r="A1" s="72" t="s">
        <v>0</v>
      </c>
      <c r="B1" s="9"/>
      <c r="F1" s="10"/>
    </row>
    <row r="2" spans="22:28" ht="18" customHeight="1">
      <c r="V2" s="7" t="s">
        <v>167</v>
      </c>
      <c r="W2" s="76" t="s">
        <v>168</v>
      </c>
      <c r="X2" s="76" t="s">
        <v>169</v>
      </c>
      <c r="Y2" s="76" t="s">
        <v>170</v>
      </c>
      <c r="Z2" s="76" t="s">
        <v>171</v>
      </c>
      <c r="AA2" s="76" t="s">
        <v>172</v>
      </c>
      <c r="AB2" s="76" t="s">
        <v>173</v>
      </c>
    </row>
    <row r="3" spans="1:23" ht="18" customHeight="1">
      <c r="A3" s="4" t="s">
        <v>86</v>
      </c>
      <c r="V3" s="7">
        <v>0</v>
      </c>
      <c r="W3" s="7">
        <v>0</v>
      </c>
    </row>
    <row r="4" spans="2:23" ht="18" customHeight="1">
      <c r="B4" s="15" t="s">
        <v>3</v>
      </c>
      <c r="C4" s="7" t="str">
        <f>J4&amp;K4&amp;L4</f>
        <v>H=0.9m</v>
      </c>
      <c r="J4" s="20" t="s">
        <v>180</v>
      </c>
      <c r="K4" s="64">
        <f>H</f>
        <v>0.9</v>
      </c>
      <c r="L4" s="19" t="s">
        <v>15</v>
      </c>
      <c r="V4" s="7">
        <f>nf*H</f>
        <v>0</v>
      </c>
      <c r="W4" s="7">
        <f>H</f>
        <v>0.9</v>
      </c>
    </row>
    <row r="5" spans="1:23" ht="18" customHeight="1">
      <c r="A5" s="18"/>
      <c r="B5" s="15" t="s">
        <v>4</v>
      </c>
      <c r="C5" s="7" t="str">
        <f aca="true" t="shared" si="0" ref="C5:C18">J5&amp;K5&amp;L5</f>
        <v>bu=0.85m</v>
      </c>
      <c r="J5" s="20" t="s">
        <v>181</v>
      </c>
      <c r="K5" s="64">
        <f>bu</f>
        <v>0.85</v>
      </c>
      <c r="L5" s="19" t="s">
        <v>15</v>
      </c>
      <c r="V5" s="7">
        <f>V4+bu</f>
        <v>0.85</v>
      </c>
      <c r="W5" s="7">
        <f>H</f>
        <v>0.9</v>
      </c>
    </row>
    <row r="6" spans="1:23" ht="18" customHeight="1">
      <c r="A6" s="18"/>
      <c r="B6" s="15" t="s">
        <v>5</v>
      </c>
      <c r="C6" s="7" t="str">
        <f t="shared" si="0"/>
        <v>B=0.85m</v>
      </c>
      <c r="J6" s="20" t="s">
        <v>182</v>
      </c>
      <c r="K6" s="223">
        <f>B</f>
        <v>0.85</v>
      </c>
      <c r="L6" s="19" t="s">
        <v>15</v>
      </c>
      <c r="V6" s="7">
        <f>B</f>
        <v>0.85</v>
      </c>
      <c r="W6" s="7">
        <v>0</v>
      </c>
    </row>
    <row r="7" spans="1:23" ht="18" customHeight="1">
      <c r="A7" s="18"/>
      <c r="B7" s="15" t="s">
        <v>6</v>
      </c>
      <c r="C7" s="7" t="str">
        <f t="shared" si="0"/>
        <v>1:nf=1:0</v>
      </c>
      <c r="J7" s="20" t="s">
        <v>183</v>
      </c>
      <c r="K7" s="46">
        <f>nf</f>
        <v>0</v>
      </c>
      <c r="L7" s="15"/>
      <c r="V7" s="7">
        <v>0</v>
      </c>
      <c r="W7" s="7">
        <v>0</v>
      </c>
    </row>
    <row r="8" spans="1:24" ht="18" customHeight="1">
      <c r="A8" s="18"/>
      <c r="B8" s="15" t="s">
        <v>108</v>
      </c>
      <c r="C8" s="7" t="str">
        <f t="shared" si="0"/>
        <v>1:nr=1:0</v>
      </c>
      <c r="J8" s="20" t="s">
        <v>184</v>
      </c>
      <c r="K8" s="46">
        <f>nr</f>
        <v>0</v>
      </c>
      <c r="L8" s="15"/>
      <c r="V8" s="7">
        <f>V5</f>
        <v>0.85</v>
      </c>
      <c r="X8" s="7">
        <f>H</f>
        <v>0.9</v>
      </c>
    </row>
    <row r="9" spans="1:24" ht="18" customHeight="1">
      <c r="A9" s="18"/>
      <c r="B9" s="5" t="s">
        <v>90</v>
      </c>
      <c r="C9" s="7" t="str">
        <f t="shared" si="0"/>
        <v>Lw=8m</v>
      </c>
      <c r="J9" s="66" t="s">
        <v>185</v>
      </c>
      <c r="K9" s="64">
        <f>Lw</f>
        <v>8</v>
      </c>
      <c r="L9" s="19" t="s">
        <v>33</v>
      </c>
      <c r="V9" s="7">
        <f>V8+H</f>
        <v>1.75</v>
      </c>
      <c r="X9" s="7">
        <f>H</f>
        <v>0.9</v>
      </c>
    </row>
    <row r="10" spans="1:25" ht="18" customHeight="1">
      <c r="A10" s="4" t="s">
        <v>91</v>
      </c>
      <c r="V10" s="7">
        <f>nf*H+bu/2-0.05</f>
        <v>0.375</v>
      </c>
      <c r="Y10" s="7">
        <f>H</f>
        <v>0.9</v>
      </c>
    </row>
    <row r="11" spans="2:25" ht="18" customHeight="1">
      <c r="B11" s="105" t="s">
        <v>21</v>
      </c>
      <c r="C11" s="7" t="str">
        <f t="shared" si="0"/>
        <v>B種</v>
      </c>
      <c r="J11" s="66" t="str">
        <f>data!C13</f>
        <v>B種</v>
      </c>
      <c r="V11" s="7">
        <f>V10</f>
        <v>0.375</v>
      </c>
      <c r="Y11" s="7">
        <f>Y10+0.75</f>
        <v>1.65</v>
      </c>
    </row>
    <row r="12" spans="1:25" s="25" customFormat="1" ht="18" customHeight="1">
      <c r="A12" s="7"/>
      <c r="B12" s="105" t="s">
        <v>92</v>
      </c>
      <c r="C12" s="7" t="str">
        <f t="shared" si="0"/>
        <v>P=30kN</v>
      </c>
      <c r="J12" s="66" t="s">
        <v>87</v>
      </c>
      <c r="K12" s="25">
        <f>P</f>
        <v>30</v>
      </c>
      <c r="L12" s="25" t="s">
        <v>37</v>
      </c>
      <c r="M12" s="25" t="str">
        <f>J12&amp;K12&amp;L12</f>
        <v>P=30kN</v>
      </c>
      <c r="V12" s="25">
        <f>V11+0.1</f>
        <v>0.475</v>
      </c>
      <c r="Y12" s="25">
        <f>Y11</f>
        <v>1.65</v>
      </c>
    </row>
    <row r="13" spans="2:25" s="25" customFormat="1" ht="18" customHeight="1">
      <c r="B13" s="105" t="s">
        <v>38</v>
      </c>
      <c r="C13" s="7" t="str">
        <f t="shared" si="0"/>
        <v>hp=0.6m</v>
      </c>
      <c r="J13" s="66" t="s">
        <v>186</v>
      </c>
      <c r="K13" s="25">
        <f>hp</f>
        <v>0.6</v>
      </c>
      <c r="L13" s="25" t="s">
        <v>39</v>
      </c>
      <c r="M13" s="25" t="str">
        <f>J13&amp;K13&amp;L13</f>
        <v>hp=0.6m</v>
      </c>
      <c r="V13" s="25">
        <f>V12</f>
        <v>0.475</v>
      </c>
      <c r="Y13" s="25">
        <f>H</f>
        <v>0.9</v>
      </c>
    </row>
    <row r="14" spans="1:26" s="25" customFormat="1" ht="18" customHeight="1">
      <c r="A14" s="4" t="s">
        <v>89</v>
      </c>
      <c r="B14" s="7"/>
      <c r="C14" s="7" t="str">
        <f t="shared" si="0"/>
        <v>q=0kN/m2</v>
      </c>
      <c r="J14" s="66" t="s">
        <v>83</v>
      </c>
      <c r="K14" s="25">
        <f>q</f>
        <v>0</v>
      </c>
      <c r="L14" s="25" t="s">
        <v>42</v>
      </c>
      <c r="V14" s="25">
        <f>V13</f>
        <v>0.475</v>
      </c>
      <c r="Z14" s="25">
        <f>H+0.6</f>
        <v>1.5</v>
      </c>
    </row>
    <row r="15" spans="1:26" ht="18" customHeight="1">
      <c r="A15" s="4" t="s">
        <v>93</v>
      </c>
      <c r="V15" s="7">
        <f>V14</f>
        <v>0.475</v>
      </c>
      <c r="Z15" s="7">
        <f>Z14+0.05</f>
        <v>1.55</v>
      </c>
    </row>
    <row r="16" spans="2:26" ht="18" customHeight="1">
      <c r="B16" s="128" t="s">
        <v>94</v>
      </c>
      <c r="C16" s="7" t="str">
        <f t="shared" si="0"/>
        <v>γ=20kN/m3</v>
      </c>
      <c r="J16" s="2" t="s">
        <v>7</v>
      </c>
      <c r="K16" s="46">
        <f>γ</f>
        <v>20</v>
      </c>
      <c r="L16" s="19" t="s">
        <v>109</v>
      </c>
      <c r="V16" s="7">
        <f>V15+0.08</f>
        <v>0.5549999999999999</v>
      </c>
      <c r="Z16" s="7">
        <f>Z15+0.05</f>
        <v>1.6</v>
      </c>
    </row>
    <row r="17" spans="2:26" ht="18" customHeight="1">
      <c r="B17" s="127" t="s">
        <v>8</v>
      </c>
      <c r="C17" s="7" t="str">
        <f t="shared" si="0"/>
        <v>φ=35度</v>
      </c>
      <c r="J17" s="2" t="s">
        <v>9</v>
      </c>
      <c r="K17" s="46">
        <f>φd</f>
        <v>35</v>
      </c>
      <c r="L17" s="5" t="s">
        <v>95</v>
      </c>
      <c r="V17" s="7">
        <f>V16</f>
        <v>0.5549999999999999</v>
      </c>
      <c r="Z17" s="7">
        <f>Z16+0.1</f>
        <v>1.7000000000000002</v>
      </c>
    </row>
    <row r="18" spans="1:26" ht="18" customHeight="1">
      <c r="A18" s="237" t="s">
        <v>96</v>
      </c>
      <c r="B18" s="238"/>
      <c r="C18" s="7" t="str">
        <f t="shared" si="0"/>
        <v>μ=0.6</v>
      </c>
      <c r="J18" s="76" t="s">
        <v>187</v>
      </c>
      <c r="K18" s="131">
        <f>μ</f>
        <v>0.6</v>
      </c>
      <c r="L18" s="19"/>
      <c r="V18" s="7">
        <f>V17-0.04</f>
        <v>0.5149999999999999</v>
      </c>
      <c r="Z18" s="7">
        <f>Z17+0.05</f>
        <v>1.7500000000000002</v>
      </c>
    </row>
    <row r="19" spans="1:27" ht="18" customHeight="1">
      <c r="A19" s="4" t="s">
        <v>155</v>
      </c>
      <c r="B19" s="160"/>
      <c r="C19" s="130"/>
      <c r="D19" s="7" t="str">
        <f>J19&amp;σck&amp;L19</f>
        <v>σck=18N/mm2</v>
      </c>
      <c r="J19" s="161" t="s">
        <v>156</v>
      </c>
      <c r="K19" s="162">
        <f>'入力'!D15</f>
        <v>18</v>
      </c>
      <c r="L19" s="19" t="s">
        <v>157</v>
      </c>
      <c r="V19" s="7">
        <f>V14</f>
        <v>0.475</v>
      </c>
      <c r="AA19" s="7">
        <f>Z14</f>
        <v>1.5</v>
      </c>
    </row>
    <row r="20" spans="1:27" ht="18" customHeight="1">
      <c r="A20" s="4" t="s">
        <v>160</v>
      </c>
      <c r="B20" s="136"/>
      <c r="C20" s="130"/>
      <c r="D20" s="131"/>
      <c r="E20" s="19"/>
      <c r="V20" s="7">
        <f>V17</f>
        <v>0.5549999999999999</v>
      </c>
      <c r="AA20" s="7">
        <f>Z14-0.05</f>
        <v>1.45</v>
      </c>
    </row>
    <row r="21" spans="1:27" ht="18" customHeight="1">
      <c r="A21" s="129"/>
      <c r="B21" s="7" t="str">
        <f>IF(data!B26=1,'計算'!L21,'計算'!L22)</f>
        <v>日本道路協会：車両用防護柵標準仕様・同解説，平成１６年３月</v>
      </c>
      <c r="C21" s="130"/>
      <c r="D21" s="131"/>
      <c r="E21" s="19"/>
      <c r="L21" s="160" t="s">
        <v>161</v>
      </c>
      <c r="V21" s="7">
        <f>V16</f>
        <v>0.5549999999999999</v>
      </c>
      <c r="AA21" s="7">
        <f>AA20-0.1</f>
        <v>1.3499999999999999</v>
      </c>
    </row>
    <row r="22" spans="12:27" ht="18" customHeight="1">
      <c r="L22" s="160" t="s">
        <v>188</v>
      </c>
      <c r="V22" s="7">
        <f>V18</f>
        <v>0.5149999999999999</v>
      </c>
      <c r="AA22" s="7">
        <f>AA21-0.05</f>
        <v>1.2999999999999998</v>
      </c>
    </row>
    <row r="23" spans="1:28" ht="18" customHeight="1">
      <c r="A23" s="4"/>
      <c r="B23" s="5"/>
      <c r="C23" s="23"/>
      <c r="D23" s="64"/>
      <c r="E23" s="19"/>
      <c r="V23" s="7">
        <f>V5</f>
        <v>0.85</v>
      </c>
      <c r="AB23" s="7">
        <f>H</f>
        <v>0.9</v>
      </c>
    </row>
    <row r="24" spans="2:28" ht="18" customHeight="1">
      <c r="B24" s="106"/>
      <c r="C24" s="16"/>
      <c r="D24" s="64"/>
      <c r="E24" s="19"/>
      <c r="V24" s="7">
        <f>V23</f>
        <v>0.85</v>
      </c>
      <c r="AB24" s="7">
        <f>H+q/γ</f>
        <v>0.9</v>
      </c>
    </row>
    <row r="25" spans="2:28" ht="18" customHeight="1">
      <c r="B25" s="107"/>
      <c r="C25" s="20"/>
      <c r="D25" s="108"/>
      <c r="E25" s="19"/>
      <c r="V25" s="7">
        <f>V9</f>
        <v>1.75</v>
      </c>
      <c r="AB25" s="7">
        <f>AB24</f>
        <v>0.9</v>
      </c>
    </row>
    <row r="26" spans="1:5" ht="18" customHeight="1">
      <c r="A26" s="18"/>
      <c r="B26" s="106"/>
      <c r="C26" s="2"/>
      <c r="D26" s="46"/>
      <c r="E26" s="15"/>
    </row>
    <row r="27" ht="18" customHeight="1">
      <c r="A27" s="18"/>
    </row>
    <row r="28" ht="18" customHeight="1">
      <c r="A28" s="18"/>
    </row>
    <row r="29" ht="18" customHeight="1">
      <c r="A29" s="18"/>
    </row>
    <row r="31" spans="9:11" ht="18" customHeight="1">
      <c r="I31" s="17"/>
      <c r="J31" s="17"/>
      <c r="K31" s="17"/>
    </row>
    <row r="32" spans="8:11" ht="18" customHeight="1">
      <c r="H32" s="84"/>
      <c r="I32" s="19"/>
      <c r="J32" s="19"/>
      <c r="K32" s="19"/>
    </row>
    <row r="33" spans="8:11" ht="18" customHeight="1">
      <c r="H33" s="134"/>
      <c r="I33" s="15"/>
      <c r="J33" s="15"/>
      <c r="K33" s="15"/>
    </row>
    <row r="34" spans="9:14" ht="18" customHeight="1">
      <c r="I34" s="15"/>
      <c r="J34" s="15"/>
      <c r="K34" s="15"/>
      <c r="N34" s="10"/>
    </row>
    <row r="35" spans="8:11" ht="18" customHeight="1">
      <c r="H35" s="84"/>
      <c r="I35" s="15"/>
      <c r="J35" s="15"/>
      <c r="K35" s="15"/>
    </row>
    <row r="36" spans="2:15" ht="18" customHeight="1">
      <c r="B36" s="14"/>
      <c r="C36" s="14"/>
      <c r="D36" s="14"/>
      <c r="E36" s="137"/>
      <c r="F36" s="8"/>
      <c r="O36" s="24"/>
    </row>
    <row r="37" spans="1:6" ht="18" customHeight="1">
      <c r="A37" s="82" t="s">
        <v>97</v>
      </c>
      <c r="B37" s="14"/>
      <c r="C37" s="8"/>
      <c r="D37" s="14"/>
      <c r="E37" s="137"/>
      <c r="F37" s="14"/>
    </row>
    <row r="38" spans="1:2" ht="18" customHeight="1">
      <c r="A38" s="97" t="s">
        <v>122</v>
      </c>
      <c r="B38" s="8"/>
    </row>
    <row r="39" spans="2:14" ht="18" customHeight="1">
      <c r="B39" s="63" t="s">
        <v>1</v>
      </c>
      <c r="C39" s="7" t="str">
        <f>"Wc=1/2γc(bu+B)H=1/2×23×("&amp;K5&amp;"+"&amp;K6&amp;")×"&amp;K4&amp;"="&amp;L39&amp;M39</f>
        <v>Wc=1/2γc(bu+B)H=1/2×23×(0.85+0.85)×0.9=17.595kN/m</v>
      </c>
      <c r="D39" s="14"/>
      <c r="K39" s="7" t="s">
        <v>200</v>
      </c>
      <c r="L39" s="105">
        <f>ROUND(23/2*(bu+B)*H,3)</f>
        <v>17.595</v>
      </c>
      <c r="M39" s="7" t="s">
        <v>202</v>
      </c>
      <c r="N39" s="65"/>
    </row>
    <row r="40" spans="4:76" ht="18" customHeight="1">
      <c r="D40" s="14"/>
      <c r="F40" s="65"/>
      <c r="G40" s="2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</row>
    <row r="41" spans="2:76" ht="18" customHeight="1">
      <c r="B41" s="99" t="s">
        <v>2</v>
      </c>
      <c r="C41" s="7" t="str">
        <f>"xc=B/2+1/6・H(2bu+B)(nf-nr)/{bu+B)"</f>
        <v>xc=B/2+1/6・H(2bu+B)(nf-nr)/{bu+B)</v>
      </c>
      <c r="D41" s="14"/>
      <c r="F41" s="65"/>
      <c r="G41" s="24"/>
      <c r="O41" s="14"/>
      <c r="P41" s="14"/>
      <c r="Q41" s="14"/>
      <c r="BF41" s="14"/>
      <c r="BG41" s="45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</row>
    <row r="42" spans="2:76" ht="18" customHeight="1">
      <c r="B42" s="48"/>
      <c r="C42" s="7" t="str">
        <f>"="&amp;K6&amp;"/2+1/6×"&amp;K4&amp;"(2×"&amp;K5&amp;"+"&amp;K6&amp;")("&amp;K7&amp;"-"&amp;K8&amp;")/("&amp;K5&amp;"+"&amp;K6&amp;")="&amp;L42&amp;M42</f>
        <v>=0.85/2+1/6×0.9(2×0.85+0.85)(0-0)/(0.85+0.85)=0.425m</v>
      </c>
      <c r="D42" s="14"/>
      <c r="F42" s="65"/>
      <c r="G42" s="24"/>
      <c r="K42" s="7" t="s">
        <v>201</v>
      </c>
      <c r="L42" s="7">
        <f>ROUND(B/2+H/6*(2*bu+B)/(bu+B)*(nf-nr),3)</f>
        <v>0.425</v>
      </c>
      <c r="M42" s="7" t="s">
        <v>88</v>
      </c>
      <c r="O42" s="14"/>
      <c r="P42" s="14"/>
      <c r="Q42" s="14"/>
      <c r="BF42" s="14"/>
      <c r="BG42" s="6"/>
      <c r="BH42" s="12"/>
      <c r="BI42" s="63"/>
      <c r="BJ42" s="13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</row>
    <row r="43" spans="2:76" ht="18" customHeight="1">
      <c r="B43" s="48"/>
      <c r="D43" s="14"/>
      <c r="E43" s="134"/>
      <c r="F43" s="65"/>
      <c r="G43" s="24"/>
      <c r="O43" s="14"/>
      <c r="P43" s="14"/>
      <c r="Q43" s="14"/>
      <c r="S43" s="14"/>
      <c r="T43" s="45"/>
      <c r="U43" s="11"/>
      <c r="V43" s="14"/>
      <c r="W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</row>
    <row r="44" spans="1:76" ht="18" customHeight="1">
      <c r="A44" s="97" t="s">
        <v>123</v>
      </c>
      <c r="B44" s="48"/>
      <c r="D44" s="14"/>
      <c r="E44" s="134"/>
      <c r="F44" s="65"/>
      <c r="G44" s="24"/>
      <c r="M44" s="14"/>
      <c r="N44" s="14"/>
      <c r="O44" s="14"/>
      <c r="P44" s="14"/>
      <c r="Q44" s="14"/>
      <c r="R44" s="15"/>
      <c r="S44" s="15"/>
      <c r="T44" s="12"/>
      <c r="U44" s="39"/>
      <c r="V44" s="12"/>
      <c r="W44" s="14"/>
      <c r="BF44" s="14"/>
      <c r="BG44" s="14"/>
      <c r="BH44" s="14"/>
      <c r="BI44" s="14"/>
      <c r="BJ44" s="14"/>
      <c r="BK44" s="14"/>
      <c r="BL44" s="47"/>
      <c r="BM44" s="47"/>
      <c r="BN44" s="14"/>
      <c r="BO44" s="47"/>
      <c r="BP44" s="47"/>
      <c r="BQ44" s="14"/>
      <c r="BR44" s="14"/>
      <c r="BS44" s="14"/>
      <c r="BT44" s="47"/>
      <c r="BU44" s="47"/>
      <c r="BV44" s="14"/>
      <c r="BW44" s="14"/>
      <c r="BX44" s="14"/>
    </row>
    <row r="45" spans="2:76" ht="18" customHeight="1">
      <c r="B45" s="99" t="s">
        <v>98</v>
      </c>
      <c r="D45" s="14"/>
      <c r="E45" s="134"/>
      <c r="F45" s="65"/>
      <c r="G45" s="24"/>
      <c r="L45" s="138"/>
      <c r="M45" s="14"/>
      <c r="N45" s="14"/>
      <c r="O45" s="14"/>
      <c r="P45" s="14"/>
      <c r="Q45" s="14"/>
      <c r="R45" s="19"/>
      <c r="S45" s="11"/>
      <c r="T45" s="11"/>
      <c r="U45" s="11"/>
      <c r="V45" s="11"/>
      <c r="W45" s="14"/>
      <c r="BF45" s="14"/>
      <c r="BG45" s="11"/>
      <c r="BH45" s="120"/>
      <c r="BI45" s="11"/>
      <c r="BJ45" s="155"/>
      <c r="BK45" s="11"/>
      <c r="BL45" s="11"/>
      <c r="BM45" s="11"/>
      <c r="BN45" s="11"/>
      <c r="BO45" s="11"/>
      <c r="BP45" s="11"/>
      <c r="BQ45" s="14"/>
      <c r="BR45" s="14"/>
      <c r="BS45" s="14"/>
      <c r="BT45" s="14"/>
      <c r="BU45" s="14"/>
      <c r="BV45" s="14"/>
      <c r="BW45" s="14"/>
      <c r="BX45" s="14"/>
    </row>
    <row r="46" spans="2:76" ht="18" customHeight="1">
      <c r="B46" s="99" t="s">
        <v>112</v>
      </c>
      <c r="D46" s="14"/>
      <c r="E46" s="134"/>
      <c r="F46" s="65"/>
      <c r="G46" s="24"/>
      <c r="L46" s="138"/>
      <c r="M46" s="14"/>
      <c r="N46" s="14"/>
      <c r="O46" s="14"/>
      <c r="P46" s="22"/>
      <c r="Q46" s="22"/>
      <c r="R46" s="15"/>
      <c r="S46" s="40"/>
      <c r="T46" s="27"/>
      <c r="U46" s="27"/>
      <c r="V46" s="27"/>
      <c r="W46" s="14"/>
      <c r="BF46" s="14"/>
      <c r="BG46" s="13"/>
      <c r="BH46" s="14"/>
      <c r="BI46" s="13"/>
      <c r="BJ46" s="13"/>
      <c r="BK46" s="13"/>
      <c r="BL46" s="13"/>
      <c r="BM46" s="13"/>
      <c r="BN46" s="14"/>
      <c r="BO46" s="14"/>
      <c r="BP46" s="14"/>
      <c r="BQ46" s="14"/>
      <c r="BR46" s="13"/>
      <c r="BS46" s="14"/>
      <c r="BT46" s="14"/>
      <c r="BU46" s="14"/>
      <c r="BV46" s="14"/>
      <c r="BW46" s="14"/>
      <c r="BX46" s="14"/>
    </row>
    <row r="47" spans="2:76" ht="18" customHeight="1">
      <c r="B47" s="48"/>
      <c r="C47" s="76" t="s">
        <v>99</v>
      </c>
      <c r="D47" s="133" t="s">
        <v>100</v>
      </c>
      <c r="E47" s="139">
        <f>γ</f>
        <v>20</v>
      </c>
      <c r="F47" s="132" t="s">
        <v>110</v>
      </c>
      <c r="G47" s="24"/>
      <c r="L47" s="135"/>
      <c r="M47" s="14"/>
      <c r="N47" s="14"/>
      <c r="O47" s="22"/>
      <c r="P47" s="27"/>
      <c r="Q47" s="140"/>
      <c r="R47" s="15"/>
      <c r="S47" s="40"/>
      <c r="T47" s="27"/>
      <c r="U47" s="27"/>
      <c r="V47" s="27"/>
      <c r="W47" s="14"/>
      <c r="BF47" s="14"/>
      <c r="BG47" s="13"/>
      <c r="BH47" s="14"/>
      <c r="BI47" s="13"/>
      <c r="BJ47" s="13"/>
      <c r="BK47" s="13"/>
      <c r="BL47" s="13"/>
      <c r="BM47" s="13"/>
      <c r="BN47" s="14"/>
      <c r="BO47" s="14"/>
      <c r="BP47" s="14"/>
      <c r="BQ47" s="14"/>
      <c r="BR47" s="13"/>
      <c r="BS47" s="14"/>
      <c r="BT47" s="14"/>
      <c r="BU47" s="14"/>
      <c r="BV47" s="14"/>
      <c r="BW47" s="14"/>
      <c r="BX47" s="14"/>
    </row>
    <row r="48" spans="2:76" ht="18" customHeight="1">
      <c r="B48" s="14"/>
      <c r="C48" s="76" t="s">
        <v>101</v>
      </c>
      <c r="D48" s="76" t="s">
        <v>102</v>
      </c>
      <c r="E48" s="7">
        <f>φd</f>
        <v>35</v>
      </c>
      <c r="F48" s="105" t="s">
        <v>103</v>
      </c>
      <c r="L48" s="135"/>
      <c r="M48" s="14"/>
      <c r="N48" s="14"/>
      <c r="O48" s="140"/>
      <c r="P48" s="39"/>
      <c r="Q48" s="140"/>
      <c r="R48" s="15"/>
      <c r="S48" s="40"/>
      <c r="T48" s="27"/>
      <c r="U48" s="78"/>
      <c r="V48" s="27"/>
      <c r="W48" s="14"/>
      <c r="BF48" s="14"/>
      <c r="BG48" s="13"/>
      <c r="BH48" s="14"/>
      <c r="BI48" s="13"/>
      <c r="BJ48" s="13"/>
      <c r="BK48" s="13"/>
      <c r="BL48" s="13"/>
      <c r="BM48" s="13"/>
      <c r="BN48" s="14"/>
      <c r="BO48" s="14"/>
      <c r="BP48" s="14"/>
      <c r="BQ48" s="14"/>
      <c r="BR48" s="13"/>
      <c r="BS48" s="14"/>
      <c r="BT48" s="14"/>
      <c r="BU48" s="14"/>
      <c r="BV48" s="14"/>
      <c r="BW48" s="14"/>
      <c r="BX48" s="14"/>
    </row>
    <row r="49" spans="3:76" ht="18" customHeight="1">
      <c r="C49" s="6" t="s">
        <v>104</v>
      </c>
      <c r="D49" s="76" t="s">
        <v>105</v>
      </c>
      <c r="E49" s="84" t="str">
        <f>"2φ/3=2×"&amp;φd&amp;"/3="&amp;L49&amp;" ゜"</f>
        <v>2φ/3=2×35/3=23.333 ゜</v>
      </c>
      <c r="F49" s="65"/>
      <c r="G49" s="24"/>
      <c r="K49" s="76" t="s">
        <v>105</v>
      </c>
      <c r="L49" s="19">
        <f>ROUND(2*E48/3,3)</f>
        <v>23.333</v>
      </c>
      <c r="M49" s="14">
        <f>2*φ/3</f>
        <v>0.4072434921320102</v>
      </c>
      <c r="N49" s="14" t="s">
        <v>111</v>
      </c>
      <c r="O49" s="140"/>
      <c r="P49" s="39"/>
      <c r="Q49" s="140"/>
      <c r="R49" s="15"/>
      <c r="S49" s="40"/>
      <c r="T49" s="27"/>
      <c r="U49" s="27"/>
      <c r="V49" s="27"/>
      <c r="W49" s="14"/>
      <c r="BF49" s="14"/>
      <c r="BG49" s="13"/>
      <c r="BH49" s="14"/>
      <c r="BI49" s="13"/>
      <c r="BJ49" s="13"/>
      <c r="BK49" s="13"/>
      <c r="BL49" s="13"/>
      <c r="BM49" s="13"/>
      <c r="BN49" s="14"/>
      <c r="BO49" s="14"/>
      <c r="BP49" s="14"/>
      <c r="BQ49" s="14"/>
      <c r="BR49" s="13"/>
      <c r="BS49" s="14"/>
      <c r="BT49" s="14"/>
      <c r="BU49" s="14"/>
      <c r="BV49" s="14"/>
      <c r="BW49" s="14"/>
      <c r="BX49" s="14"/>
    </row>
    <row r="50" spans="3:76" ht="18" customHeight="1">
      <c r="C50" s="76" t="s">
        <v>106</v>
      </c>
      <c r="D50" s="76" t="s">
        <v>107</v>
      </c>
      <c r="E50" s="7" t="str">
        <f>"ATAN(nr)="&amp;L50&amp;" ゜"</f>
        <v>ATAN(nr)=0 ゜</v>
      </c>
      <c r="K50" s="76" t="s">
        <v>107</v>
      </c>
      <c r="L50" s="14">
        <f>ROUND(M50*180/PI(),3)</f>
        <v>0</v>
      </c>
      <c r="M50" s="22">
        <f>ATAN(nr)</f>
        <v>0</v>
      </c>
      <c r="N50" s="14" t="s">
        <v>111</v>
      </c>
      <c r="O50" s="140"/>
      <c r="P50" s="39"/>
      <c r="Q50" s="140"/>
      <c r="R50" s="15"/>
      <c r="S50" s="40"/>
      <c r="T50" s="27"/>
      <c r="U50" s="27"/>
      <c r="V50" s="27"/>
      <c r="W50" s="14"/>
      <c r="BF50" s="14"/>
      <c r="BG50" s="13"/>
      <c r="BH50" s="14"/>
      <c r="BI50" s="13"/>
      <c r="BJ50" s="13"/>
      <c r="BK50" s="13"/>
      <c r="BL50" s="13"/>
      <c r="BM50" s="13"/>
      <c r="BN50" s="14"/>
      <c r="BO50" s="14"/>
      <c r="BP50" s="14"/>
      <c r="BQ50" s="14"/>
      <c r="BR50" s="13"/>
      <c r="BS50" s="14"/>
      <c r="BT50" s="14"/>
      <c r="BU50" s="14"/>
      <c r="BV50" s="14"/>
      <c r="BW50" s="14"/>
      <c r="BX50" s="14"/>
    </row>
    <row r="51" spans="2:76" ht="18" customHeight="1">
      <c r="B51" s="105" t="s">
        <v>113</v>
      </c>
      <c r="F51" s="134"/>
      <c r="G51" s="21"/>
      <c r="H51" s="18"/>
      <c r="L51" s="19"/>
      <c r="M51" s="44"/>
      <c r="N51" s="27"/>
      <c r="O51" s="140"/>
      <c r="P51" s="14"/>
      <c r="Q51" s="14"/>
      <c r="R51" s="15"/>
      <c r="S51" s="41"/>
      <c r="T51" s="27"/>
      <c r="U51" s="27"/>
      <c r="V51" s="27"/>
      <c r="W51" s="14"/>
      <c r="BF51" s="14"/>
      <c r="BG51" s="13"/>
      <c r="BH51" s="14"/>
      <c r="BI51" s="13"/>
      <c r="BJ51" s="13"/>
      <c r="BK51" s="13"/>
      <c r="BL51" s="13"/>
      <c r="BM51" s="13"/>
      <c r="BN51" s="14"/>
      <c r="BO51" s="14"/>
      <c r="BP51" s="14"/>
      <c r="BQ51" s="14"/>
      <c r="BR51" s="13"/>
      <c r="BS51" s="14"/>
      <c r="BT51" s="14"/>
      <c r="BU51" s="14"/>
      <c r="BV51" s="14"/>
      <c r="BW51" s="14"/>
      <c r="BX51" s="14"/>
    </row>
    <row r="52" spans="12:76" ht="18" customHeight="1">
      <c r="L52" s="44"/>
      <c r="M52" s="11"/>
      <c r="N52" s="39"/>
      <c r="O52" s="12"/>
      <c r="R52" s="15"/>
      <c r="S52" s="79"/>
      <c r="T52" s="27"/>
      <c r="U52" s="27"/>
      <c r="V52" s="27"/>
      <c r="W52" s="14"/>
      <c r="BF52" s="14"/>
      <c r="BG52" s="13"/>
      <c r="BH52" s="14"/>
      <c r="BI52" s="13"/>
      <c r="BJ52" s="13"/>
      <c r="BK52" s="13"/>
      <c r="BL52" s="13"/>
      <c r="BM52" s="13"/>
      <c r="BN52" s="14"/>
      <c r="BO52" s="14"/>
      <c r="BP52" s="14"/>
      <c r="BQ52" s="14"/>
      <c r="BR52" s="13"/>
      <c r="BS52" s="14"/>
      <c r="BT52" s="14"/>
      <c r="BU52" s="14"/>
      <c r="BV52" s="14"/>
      <c r="BW52" s="14"/>
      <c r="BX52" s="14"/>
    </row>
    <row r="53" spans="6:76" ht="18" customHeight="1">
      <c r="F53" s="134"/>
      <c r="G53" s="24">
        <f>ROUND((COS(φ-α))^2/(COS(α)^2*COS(α+δ)*(1+(SIN(φ+δ)*SIN(φ)/COS(α+δ)/COS(α))^0.5)^2),3)</f>
        <v>0.244</v>
      </c>
      <c r="H53" s="18"/>
      <c r="L53" s="44"/>
      <c r="M53" s="11"/>
      <c r="N53" s="39"/>
      <c r="S53" s="79"/>
      <c r="T53" s="42"/>
      <c r="U53" s="27"/>
      <c r="V53" s="27"/>
      <c r="W53" s="22"/>
      <c r="BF53" s="14"/>
      <c r="BG53" s="13"/>
      <c r="BH53" s="14"/>
      <c r="BI53" s="13"/>
      <c r="BJ53" s="13"/>
      <c r="BK53" s="13"/>
      <c r="BL53" s="13"/>
      <c r="BM53" s="13"/>
      <c r="BN53" s="14"/>
      <c r="BO53" s="14"/>
      <c r="BP53" s="14"/>
      <c r="BQ53" s="14"/>
      <c r="BR53" s="13"/>
      <c r="BS53" s="14"/>
      <c r="BT53" s="14"/>
      <c r="BU53" s="14"/>
      <c r="BV53" s="14"/>
      <c r="BW53" s="14"/>
      <c r="BX53" s="14"/>
    </row>
    <row r="54" spans="6:76" ht="18" customHeight="1">
      <c r="F54" s="134"/>
      <c r="G54" s="21"/>
      <c r="H54" s="18"/>
      <c r="L54" s="44"/>
      <c r="M54" s="11"/>
      <c r="N54" s="39"/>
      <c r="R54" s="15"/>
      <c r="S54" s="40"/>
      <c r="T54" s="43"/>
      <c r="U54" s="43"/>
      <c r="V54" s="27"/>
      <c r="W54" s="18"/>
      <c r="BF54" s="14"/>
      <c r="BG54" s="13"/>
      <c r="BH54" s="14"/>
      <c r="BI54" s="13"/>
      <c r="BJ54" s="13"/>
      <c r="BK54" s="13"/>
      <c r="BL54" s="13"/>
      <c r="BM54" s="13"/>
      <c r="BN54" s="14"/>
      <c r="BO54" s="14"/>
      <c r="BP54" s="14"/>
      <c r="BQ54" s="14"/>
      <c r="BR54" s="13"/>
      <c r="BS54" s="14"/>
      <c r="BT54" s="14"/>
      <c r="BU54" s="14"/>
      <c r="BV54" s="14"/>
      <c r="BW54" s="14"/>
      <c r="BX54" s="14"/>
    </row>
    <row r="55" spans="12:76" ht="18" customHeight="1">
      <c r="L55" s="44"/>
      <c r="M55" s="45"/>
      <c r="N55" s="45"/>
      <c r="R55" s="15"/>
      <c r="S55" s="17"/>
      <c r="T55" s="17"/>
      <c r="U55" s="17"/>
      <c r="V55" s="17"/>
      <c r="W55" s="18"/>
      <c r="BF55" s="14"/>
      <c r="BG55" s="13"/>
      <c r="BH55" s="14"/>
      <c r="BI55" s="13"/>
      <c r="BJ55" s="13"/>
      <c r="BK55" s="13"/>
      <c r="BL55" s="13"/>
      <c r="BM55" s="13"/>
      <c r="BN55" s="14"/>
      <c r="BO55" s="14"/>
      <c r="BP55" s="14"/>
      <c r="BQ55" s="14"/>
      <c r="BR55" s="13"/>
      <c r="BS55" s="14"/>
      <c r="BT55" s="14"/>
      <c r="BU55" s="14"/>
      <c r="BV55" s="14"/>
      <c r="BW55" s="14"/>
      <c r="BX55" s="14"/>
    </row>
    <row r="56" spans="12:76" ht="18" customHeight="1">
      <c r="L56" s="14"/>
      <c r="R56" s="15"/>
      <c r="S56" s="15"/>
      <c r="T56" s="15"/>
      <c r="U56" s="15"/>
      <c r="V56" s="15"/>
      <c r="W56" s="18"/>
      <c r="BF56" s="14"/>
      <c r="BG56" s="13"/>
      <c r="BH56" s="14"/>
      <c r="BI56" s="13"/>
      <c r="BJ56" s="13"/>
      <c r="BK56" s="13"/>
      <c r="BL56" s="13"/>
      <c r="BM56" s="13"/>
      <c r="BN56" s="14"/>
      <c r="BO56" s="14"/>
      <c r="BP56" s="14"/>
      <c r="BQ56" s="14"/>
      <c r="BR56" s="13"/>
      <c r="BS56" s="14"/>
      <c r="BT56" s="14"/>
      <c r="BU56" s="14"/>
      <c r="BV56" s="14"/>
      <c r="BW56" s="14"/>
      <c r="BX56" s="14"/>
    </row>
    <row r="57" spans="2:76" ht="18" customHeight="1">
      <c r="B57" s="1" t="s">
        <v>114</v>
      </c>
      <c r="R57" s="15"/>
      <c r="S57" s="15"/>
      <c r="T57" s="15"/>
      <c r="U57" s="15"/>
      <c r="V57" s="15"/>
      <c r="W57" s="18"/>
      <c r="BF57" s="14"/>
      <c r="BG57" s="13"/>
      <c r="BH57" s="14"/>
      <c r="BI57" s="13"/>
      <c r="BJ57" s="13"/>
      <c r="BK57" s="13"/>
      <c r="BL57" s="13"/>
      <c r="BM57" s="13"/>
      <c r="BN57" s="14"/>
      <c r="BO57" s="14"/>
      <c r="BP57" s="14"/>
      <c r="BQ57" s="14"/>
      <c r="BR57" s="13"/>
      <c r="BS57" s="14"/>
      <c r="BT57" s="14"/>
      <c r="BU57" s="14"/>
      <c r="BV57" s="14"/>
      <c r="BW57" s="14"/>
      <c r="BX57" s="14"/>
    </row>
    <row r="58" spans="2:76" ht="18" customHeight="1">
      <c r="B58" s="1"/>
      <c r="R58" s="15"/>
      <c r="S58" s="15"/>
      <c r="T58" s="15"/>
      <c r="U58" s="15"/>
      <c r="V58" s="15"/>
      <c r="W58" s="18"/>
      <c r="BF58" s="14"/>
      <c r="BG58" s="13"/>
      <c r="BH58" s="14"/>
      <c r="BI58" s="13"/>
      <c r="BJ58" s="13"/>
      <c r="BK58" s="13"/>
      <c r="BL58" s="13"/>
      <c r="BM58" s="13"/>
      <c r="BN58" s="14"/>
      <c r="BO58" s="14"/>
      <c r="BP58" s="14"/>
      <c r="BQ58" s="14"/>
      <c r="BR58" s="13"/>
      <c r="BS58" s="14"/>
      <c r="BT58" s="14"/>
      <c r="BU58" s="14"/>
      <c r="BV58" s="14"/>
      <c r="BW58" s="14"/>
      <c r="BX58" s="14"/>
    </row>
    <row r="59" spans="2:76" ht="18" customHeight="1">
      <c r="B59" s="1"/>
      <c r="L59" s="33">
        <f>ROUND(0.5*γ*H^2*KA*(1+2*q/γ/H),3)</f>
        <v>1.976</v>
      </c>
      <c r="R59" s="15"/>
      <c r="S59" s="15"/>
      <c r="T59" s="15"/>
      <c r="U59" s="15"/>
      <c r="V59" s="15"/>
      <c r="W59" s="18"/>
      <c r="BF59" s="14"/>
      <c r="BG59" s="13"/>
      <c r="BH59" s="14"/>
      <c r="BI59" s="13"/>
      <c r="BJ59" s="13"/>
      <c r="BK59" s="13"/>
      <c r="BL59" s="13"/>
      <c r="BM59" s="13"/>
      <c r="BN59" s="14"/>
      <c r="BO59" s="14"/>
      <c r="BP59" s="14"/>
      <c r="BQ59" s="14"/>
      <c r="BR59" s="13"/>
      <c r="BS59" s="14"/>
      <c r="BT59" s="14"/>
      <c r="BU59" s="14"/>
      <c r="BV59" s="14"/>
      <c r="BW59" s="14"/>
      <c r="BX59" s="14"/>
    </row>
    <row r="60" spans="12:76" ht="18" customHeight="1">
      <c r="L60" s="7">
        <f>ROUND(L59*SIN(δ+α),3)</f>
        <v>0.783</v>
      </c>
      <c r="R60" s="15"/>
      <c r="S60" s="15"/>
      <c r="T60" s="15"/>
      <c r="U60" s="15"/>
      <c r="V60" s="15"/>
      <c r="W60" s="18"/>
      <c r="BF60" s="14"/>
      <c r="BG60" s="13"/>
      <c r="BH60" s="14"/>
      <c r="BI60" s="13"/>
      <c r="BJ60" s="13"/>
      <c r="BK60" s="13"/>
      <c r="BL60" s="13"/>
      <c r="BM60" s="13"/>
      <c r="BN60" s="14"/>
      <c r="BO60" s="14"/>
      <c r="BP60" s="14"/>
      <c r="BQ60" s="14"/>
      <c r="BR60" s="13"/>
      <c r="BS60" s="14"/>
      <c r="BT60" s="14"/>
      <c r="BU60" s="14"/>
      <c r="BV60" s="14"/>
      <c r="BW60" s="14"/>
      <c r="BX60" s="14"/>
    </row>
    <row r="61" spans="3:76" ht="18" customHeight="1">
      <c r="C61" s="105" t="s">
        <v>115</v>
      </c>
      <c r="E61" s="7" t="str">
        <f>"(q="&amp;q&amp;" kN/m2)"</f>
        <v>(q=0 kN/m2)</v>
      </c>
      <c r="L61" s="7">
        <f>ROUND(L59*COS(δ+α),3)</f>
        <v>1.814</v>
      </c>
      <c r="R61" s="15"/>
      <c r="S61" s="15"/>
      <c r="T61" s="15"/>
      <c r="U61" s="15"/>
      <c r="V61" s="15"/>
      <c r="W61" s="18"/>
      <c r="BF61" s="14"/>
      <c r="BG61" s="13"/>
      <c r="BH61" s="14"/>
      <c r="BI61" s="13"/>
      <c r="BJ61" s="13"/>
      <c r="BK61" s="13"/>
      <c r="BL61" s="13"/>
      <c r="BM61" s="13"/>
      <c r="BN61" s="14"/>
      <c r="BO61" s="14"/>
      <c r="BP61" s="14"/>
      <c r="BQ61" s="14"/>
      <c r="BR61" s="13"/>
      <c r="BS61" s="14"/>
      <c r="BT61" s="14"/>
      <c r="BU61" s="14"/>
      <c r="BV61" s="14"/>
      <c r="BW61" s="14"/>
      <c r="BX61" s="14"/>
    </row>
    <row r="62" spans="3:76" ht="18" customHeight="1">
      <c r="C62" s="66" t="s">
        <v>189</v>
      </c>
      <c r="D62" s="33" t="str">
        <f>"0.5×"&amp;γ&amp;"×"&amp;H&amp;"^2×"&amp;KA&amp;"×(1+2×"&amp;q&amp;"/"&amp;γ&amp;"/"&amp;H&amp;")="&amp;L59&amp;" kN/m"</f>
        <v>0.5×20×0.9^2×0.244×(1+2×0/20/0.9)=1.976 kN/m</v>
      </c>
      <c r="R62" s="15"/>
      <c r="S62" s="80"/>
      <c r="T62" s="18"/>
      <c r="U62" s="18"/>
      <c r="V62" s="18"/>
      <c r="W62" s="18"/>
      <c r="BF62" s="14"/>
      <c r="BG62" s="13"/>
      <c r="BH62" s="14"/>
      <c r="BI62" s="13"/>
      <c r="BJ62" s="13"/>
      <c r="BK62" s="13"/>
      <c r="BL62" s="13"/>
      <c r="BM62" s="13"/>
      <c r="BN62" s="14"/>
      <c r="BO62" s="14"/>
      <c r="BP62" s="14"/>
      <c r="BQ62" s="14"/>
      <c r="BR62" s="13"/>
      <c r="BS62" s="14"/>
      <c r="BT62" s="14"/>
      <c r="BU62" s="14"/>
      <c r="BV62" s="14"/>
      <c r="BW62" s="14"/>
      <c r="BX62" s="14"/>
    </row>
    <row r="63" spans="3:76" ht="18" customHeight="1">
      <c r="C63" s="66" t="s">
        <v>190</v>
      </c>
      <c r="D63" s="7" t="str">
        <f>L59&amp;"×sin("&amp;L49&amp;"+"&amp;L50&amp;")="&amp;L60&amp;" kN/m"</f>
        <v>1.976×sin(23.333+0)=0.783 kN/m</v>
      </c>
      <c r="S63" s="80"/>
      <c r="T63" s="18"/>
      <c r="U63" s="18"/>
      <c r="V63" s="18"/>
      <c r="W63" s="18"/>
      <c r="BF63" s="14"/>
      <c r="BG63" s="13"/>
      <c r="BH63" s="14"/>
      <c r="BI63" s="13"/>
      <c r="BJ63" s="13"/>
      <c r="BK63" s="13"/>
      <c r="BL63" s="13"/>
      <c r="BM63" s="13"/>
      <c r="BN63" s="14"/>
      <c r="BO63" s="14"/>
      <c r="BP63" s="14"/>
      <c r="BQ63" s="14"/>
      <c r="BR63" s="13"/>
      <c r="BS63" s="14"/>
      <c r="BT63" s="14"/>
      <c r="BU63" s="14"/>
      <c r="BV63" s="14"/>
      <c r="BW63" s="14"/>
      <c r="BX63" s="14"/>
    </row>
    <row r="64" spans="3:76" ht="18" customHeight="1">
      <c r="C64" s="66" t="s">
        <v>191</v>
      </c>
      <c r="D64" s="7" t="str">
        <f>L59&amp;"×cos("&amp;L49&amp;"+"&amp;L50&amp;")="&amp;L61&amp;" kN/m"</f>
        <v>1.976×cos(23.333+0)=1.814 kN/m</v>
      </c>
      <c r="L64" s="33">
        <f>ROUND(0.5*γ*H^2*KA*(1+2*0/γ/H),3)</f>
        <v>1.976</v>
      </c>
      <c r="S64" s="80"/>
      <c r="T64" s="18"/>
      <c r="U64" s="18"/>
      <c r="V64" s="18"/>
      <c r="W64" s="18"/>
      <c r="BF64" s="14"/>
      <c r="BG64" s="13"/>
      <c r="BH64" s="14"/>
      <c r="BI64" s="13"/>
      <c r="BJ64" s="13"/>
      <c r="BK64" s="13"/>
      <c r="BL64" s="13"/>
      <c r="BM64" s="13"/>
      <c r="BN64" s="14"/>
      <c r="BO64" s="14"/>
      <c r="BP64" s="14"/>
      <c r="BQ64" s="14"/>
      <c r="BR64" s="13"/>
      <c r="BS64" s="14"/>
      <c r="BT64" s="14"/>
      <c r="BU64" s="14"/>
      <c r="BV64" s="14"/>
      <c r="BW64" s="14"/>
      <c r="BX64" s="14"/>
    </row>
    <row r="65" spans="12:76" ht="18" customHeight="1">
      <c r="L65" s="7">
        <f>ROUND(L64*SIN(δ+α),3)</f>
        <v>0.783</v>
      </c>
      <c r="S65" s="80"/>
      <c r="T65" s="18"/>
      <c r="U65" s="18"/>
      <c r="V65" s="18"/>
      <c r="W65" s="18"/>
      <c r="BF65" s="14"/>
      <c r="BG65" s="13"/>
      <c r="BH65" s="14"/>
      <c r="BI65" s="13"/>
      <c r="BJ65" s="13"/>
      <c r="BK65" s="13"/>
      <c r="BL65" s="13"/>
      <c r="BM65" s="13"/>
      <c r="BN65" s="14"/>
      <c r="BO65" s="14"/>
      <c r="BP65" s="14"/>
      <c r="BQ65" s="14"/>
      <c r="BR65" s="13"/>
      <c r="BS65" s="14"/>
      <c r="BT65" s="14"/>
      <c r="BU65" s="14"/>
      <c r="BV65" s="14"/>
      <c r="BW65" s="14"/>
      <c r="BX65" s="14"/>
    </row>
    <row r="66" spans="3:76" ht="18" customHeight="1">
      <c r="C66" s="105" t="s">
        <v>116</v>
      </c>
      <c r="E66" s="7" t="str">
        <f>"(q=0.0 kN/m2)"</f>
        <v>(q=0.0 kN/m2)</v>
      </c>
      <c r="L66" s="7">
        <f>ROUND(L64*COS(δ+α),3)</f>
        <v>1.814</v>
      </c>
      <c r="S66" s="80"/>
      <c r="T66" s="18"/>
      <c r="U66" s="18"/>
      <c r="V66" s="18"/>
      <c r="W66" s="18"/>
      <c r="BF66" s="14"/>
      <c r="BG66" s="13"/>
      <c r="BH66" s="14"/>
      <c r="BI66" s="13"/>
      <c r="BJ66" s="13"/>
      <c r="BK66" s="13"/>
      <c r="BL66" s="13"/>
      <c r="BM66" s="13"/>
      <c r="BN66" s="14"/>
      <c r="BO66" s="14"/>
      <c r="BP66" s="14"/>
      <c r="BQ66" s="14"/>
      <c r="BR66" s="13"/>
      <c r="BS66" s="14"/>
      <c r="BT66" s="14"/>
      <c r="BU66" s="14"/>
      <c r="BV66" s="14"/>
      <c r="BW66" s="14"/>
      <c r="BX66" s="14"/>
    </row>
    <row r="67" spans="3:76" ht="18" customHeight="1">
      <c r="C67" s="66" t="s">
        <v>189</v>
      </c>
      <c r="D67" s="33" t="str">
        <f>"0.5×"&amp;γ&amp;"×"&amp;H&amp;"^2×"&amp;KA&amp;"×(1+2×0.0/"&amp;γ&amp;"/"&amp;H&amp;")="&amp;L64&amp;" kN/m"</f>
        <v>0.5×20×0.9^2×0.244×(1+2×0.0/20/0.9)=1.976 kN/m</v>
      </c>
      <c r="S67" s="80"/>
      <c r="T67" s="18"/>
      <c r="U67" s="18"/>
      <c r="V67" s="18"/>
      <c r="W67" s="18"/>
      <c r="BA67" s="14"/>
      <c r="BB67" s="14"/>
      <c r="BC67" s="14"/>
      <c r="BF67" s="14"/>
      <c r="BG67" s="13"/>
      <c r="BH67" s="14"/>
      <c r="BI67" s="13"/>
      <c r="BJ67" s="13"/>
      <c r="BK67" s="13"/>
      <c r="BL67" s="13"/>
      <c r="BM67" s="13"/>
      <c r="BN67" s="14"/>
      <c r="BO67" s="14"/>
      <c r="BP67" s="14"/>
      <c r="BQ67" s="14"/>
      <c r="BR67" s="13"/>
      <c r="BS67" s="14"/>
      <c r="BT67" s="14"/>
      <c r="BU67" s="14"/>
      <c r="BV67" s="14"/>
      <c r="BW67" s="14"/>
      <c r="BX67" s="14"/>
    </row>
    <row r="68" spans="3:76" ht="18" customHeight="1">
      <c r="C68" s="66" t="s">
        <v>190</v>
      </c>
      <c r="D68" s="7" t="str">
        <f>L64&amp;"×sin("&amp;L49&amp;"+"&amp;L50&amp;")="&amp;L65&amp;" kN/m"</f>
        <v>1.976×sin(23.333+0)=0.783 kN/m</v>
      </c>
      <c r="S68" s="80"/>
      <c r="T68" s="18"/>
      <c r="U68" s="18"/>
      <c r="V68" s="18"/>
      <c r="W68" s="18"/>
      <c r="BA68" s="14"/>
      <c r="BB68" s="14"/>
      <c r="BC68" s="14"/>
      <c r="BF68" s="14"/>
      <c r="BG68" s="13"/>
      <c r="BH68" s="14"/>
      <c r="BI68" s="13"/>
      <c r="BJ68" s="13"/>
      <c r="BK68" s="13"/>
      <c r="BL68" s="13"/>
      <c r="BM68" s="13"/>
      <c r="BN68" s="14"/>
      <c r="BO68" s="14"/>
      <c r="BP68" s="14"/>
      <c r="BQ68" s="14"/>
      <c r="BR68" s="13"/>
      <c r="BS68" s="14"/>
      <c r="BT68" s="14"/>
      <c r="BU68" s="14"/>
      <c r="BV68" s="14"/>
      <c r="BW68" s="14"/>
      <c r="BX68" s="14"/>
    </row>
    <row r="69" spans="3:76" ht="18" customHeight="1">
      <c r="C69" s="66" t="s">
        <v>191</v>
      </c>
      <c r="D69" s="7" t="str">
        <f>L64&amp;"×cos("&amp;L49&amp;"+"&amp;L50&amp;")="&amp;L66&amp;" kN/m"</f>
        <v>1.976×cos(23.333+0)=1.814 kN/m</v>
      </c>
      <c r="R69" s="14"/>
      <c r="T69" s="18"/>
      <c r="U69" s="18"/>
      <c r="V69" s="18"/>
      <c r="W69" s="18"/>
      <c r="BA69" s="14"/>
      <c r="BB69" s="14"/>
      <c r="BC69" s="14"/>
      <c r="BF69" s="14"/>
      <c r="BG69" s="13"/>
      <c r="BH69" s="14"/>
      <c r="BI69" s="13"/>
      <c r="BJ69" s="13"/>
      <c r="BK69" s="13"/>
      <c r="BL69" s="13"/>
      <c r="BM69" s="13"/>
      <c r="BN69" s="14"/>
      <c r="BO69" s="14"/>
      <c r="BP69" s="14"/>
      <c r="BQ69" s="14"/>
      <c r="BR69" s="13"/>
      <c r="BS69" s="14"/>
      <c r="BT69" s="14"/>
      <c r="BU69" s="14"/>
      <c r="BV69" s="14"/>
      <c r="BW69" s="14"/>
      <c r="BX69" s="14"/>
    </row>
    <row r="70" spans="18:76" ht="18" customHeight="1">
      <c r="R70" s="14"/>
      <c r="T70" s="18"/>
      <c r="U70" s="18"/>
      <c r="V70" s="18"/>
      <c r="W70" s="18"/>
      <c r="BF70" s="14"/>
      <c r="BG70" s="13"/>
      <c r="BH70" s="14"/>
      <c r="BI70" s="13"/>
      <c r="BJ70" s="13"/>
      <c r="BK70" s="13"/>
      <c r="BL70" s="13"/>
      <c r="BM70" s="13"/>
      <c r="BN70" s="14"/>
      <c r="BO70" s="14"/>
      <c r="BP70" s="14"/>
      <c r="BQ70" s="14"/>
      <c r="BR70" s="13"/>
      <c r="BS70" s="14"/>
      <c r="BT70" s="14"/>
      <c r="BU70" s="14"/>
      <c r="BV70" s="14"/>
      <c r="BW70" s="14"/>
      <c r="BX70" s="14"/>
    </row>
    <row r="71" spans="2:76" ht="18" customHeight="1">
      <c r="B71" s="105" t="s">
        <v>117</v>
      </c>
      <c r="R71" s="14"/>
      <c r="T71" s="18"/>
      <c r="U71" s="18"/>
      <c r="V71" s="18"/>
      <c r="W71" s="18"/>
      <c r="BF71" s="14"/>
      <c r="BG71" s="13"/>
      <c r="BH71" s="14"/>
      <c r="BI71" s="13"/>
      <c r="BJ71" s="13"/>
      <c r="BK71" s="13"/>
      <c r="BL71" s="13"/>
      <c r="BM71" s="13"/>
      <c r="BN71" s="14"/>
      <c r="BO71" s="14"/>
      <c r="BP71" s="14"/>
      <c r="BQ71" s="14"/>
      <c r="BR71" s="13"/>
      <c r="BS71" s="14"/>
      <c r="BT71" s="14"/>
      <c r="BU71" s="14"/>
      <c r="BV71" s="14"/>
      <c r="BW71" s="14"/>
      <c r="BX71" s="14"/>
    </row>
    <row r="72" spans="3:76" ht="18" customHeight="1">
      <c r="C72" s="66" t="s">
        <v>192</v>
      </c>
      <c r="D72" s="7" t="str">
        <f>"H/3="&amp;H&amp;"/3="&amp;L72&amp;" m"</f>
        <v>H/3=0.9/3=0.3 m</v>
      </c>
      <c r="L72" s="7">
        <f>ROUND(H/3,3)</f>
        <v>0.3</v>
      </c>
      <c r="R72" s="14"/>
      <c r="T72" s="18"/>
      <c r="U72" s="18"/>
      <c r="V72" s="18"/>
      <c r="W72" s="18"/>
      <c r="BF72" s="14"/>
      <c r="BG72" s="13"/>
      <c r="BH72" s="14"/>
      <c r="BI72" s="13"/>
      <c r="BJ72" s="13"/>
      <c r="BK72" s="13"/>
      <c r="BL72" s="13"/>
      <c r="BM72" s="13"/>
      <c r="BN72" s="14"/>
      <c r="BO72" s="14"/>
      <c r="BP72" s="14"/>
      <c r="BQ72" s="14"/>
      <c r="BR72" s="13"/>
      <c r="BS72" s="14"/>
      <c r="BT72" s="14"/>
      <c r="BU72" s="14"/>
      <c r="BV72" s="14"/>
      <c r="BW72" s="14"/>
      <c r="BX72" s="14"/>
    </row>
    <row r="73" spans="3:76" ht="18" customHeight="1">
      <c r="C73" s="66" t="s">
        <v>193</v>
      </c>
      <c r="D73" s="7" t="str">
        <f>"B-yA×tanα="&amp;B&amp;"-"&amp;L72&amp;"×TAN("&amp;L50&amp;")="&amp;L73&amp;" m"</f>
        <v>B-yA×tanα=0.85-0.3×TAN(0)=0.85 m</v>
      </c>
      <c r="L73" s="7">
        <f>ROUND(B-L72*TAN(α),3)</f>
        <v>0.85</v>
      </c>
      <c r="R73" s="14"/>
      <c r="T73" s="18"/>
      <c r="U73" s="18"/>
      <c r="V73" s="18"/>
      <c r="W73" s="18"/>
      <c r="BF73" s="14"/>
      <c r="BG73" s="13"/>
      <c r="BH73" s="14"/>
      <c r="BI73" s="13"/>
      <c r="BJ73" s="13"/>
      <c r="BK73" s="13"/>
      <c r="BL73" s="13"/>
      <c r="BM73" s="13"/>
      <c r="BN73" s="14"/>
      <c r="BO73" s="14"/>
      <c r="BP73" s="14"/>
      <c r="BQ73" s="14"/>
      <c r="BR73" s="13"/>
      <c r="BS73" s="14"/>
      <c r="BT73" s="14"/>
      <c r="BU73" s="14"/>
      <c r="BV73" s="14"/>
      <c r="BW73" s="14"/>
      <c r="BX73" s="14"/>
    </row>
    <row r="74" spans="18:76" ht="18" customHeight="1">
      <c r="R74" s="14"/>
      <c r="T74" s="18"/>
      <c r="U74" s="18"/>
      <c r="V74" s="18"/>
      <c r="W74" s="18"/>
      <c r="BF74" s="14"/>
      <c r="BG74" s="13"/>
      <c r="BH74" s="14"/>
      <c r="BI74" s="13"/>
      <c r="BJ74" s="13"/>
      <c r="BK74" s="13"/>
      <c r="BL74" s="13"/>
      <c r="BM74" s="13"/>
      <c r="BN74" s="14"/>
      <c r="BO74" s="14"/>
      <c r="BP74" s="14"/>
      <c r="BQ74" s="14"/>
      <c r="BR74" s="13"/>
      <c r="BS74" s="14"/>
      <c r="BT74" s="14"/>
      <c r="BU74" s="14"/>
      <c r="BV74" s="14"/>
      <c r="BW74" s="14"/>
      <c r="BX74" s="14"/>
    </row>
    <row r="75" spans="1:76" ht="18" customHeight="1">
      <c r="A75" s="97" t="s">
        <v>124</v>
      </c>
      <c r="R75" s="14"/>
      <c r="T75" s="18"/>
      <c r="U75" s="18"/>
      <c r="V75" s="18"/>
      <c r="W75" s="18"/>
      <c r="BF75" s="14"/>
      <c r="BG75" s="13"/>
      <c r="BH75" s="14"/>
      <c r="BI75" s="13"/>
      <c r="BJ75" s="13"/>
      <c r="BK75" s="13"/>
      <c r="BL75" s="13"/>
      <c r="BM75" s="13"/>
      <c r="BN75" s="14"/>
      <c r="BO75" s="14"/>
      <c r="BP75" s="14"/>
      <c r="BQ75" s="14"/>
      <c r="BR75" s="13"/>
      <c r="BS75" s="14"/>
      <c r="BT75" s="14"/>
      <c r="BU75" s="14"/>
      <c r="BV75" s="14"/>
      <c r="BW75" s="14"/>
      <c r="BX75" s="14"/>
    </row>
    <row r="76" spans="3:76" ht="18" customHeight="1">
      <c r="C76" s="7" t="str">
        <f>data!C13&amp;"ガードレールを使用"</f>
        <v>B種ガードレールを使用</v>
      </c>
      <c r="R76" s="14"/>
      <c r="T76" s="18"/>
      <c r="U76" s="18"/>
      <c r="V76" s="18"/>
      <c r="W76" s="18"/>
      <c r="BF76" s="14"/>
      <c r="BG76" s="13"/>
      <c r="BH76" s="14"/>
      <c r="BI76" s="13"/>
      <c r="BJ76" s="13"/>
      <c r="BK76" s="13"/>
      <c r="BL76" s="13"/>
      <c r="BM76" s="13"/>
      <c r="BN76" s="14"/>
      <c r="BO76" s="14"/>
      <c r="BP76" s="14"/>
      <c r="BQ76" s="14"/>
      <c r="BR76" s="13"/>
      <c r="BS76" s="14"/>
      <c r="BT76" s="14"/>
      <c r="BU76" s="14"/>
      <c r="BV76" s="14"/>
      <c r="BW76" s="14"/>
      <c r="BX76" s="14"/>
    </row>
    <row r="77" spans="3:76" ht="18" customHeight="1">
      <c r="C77" s="105" t="s">
        <v>118</v>
      </c>
      <c r="D77" s="66" t="s">
        <v>87</v>
      </c>
      <c r="E77" s="7" t="str">
        <f>P&amp;" kN ( "&amp;L77&amp;"  kN/m )"</f>
        <v>30 kN ( 3.75  kN/m )</v>
      </c>
      <c r="K77" s="66" t="s">
        <v>87</v>
      </c>
      <c r="L77" s="7">
        <f>ROUND(P/Lw,3)</f>
        <v>3.75</v>
      </c>
      <c r="R77" s="14"/>
      <c r="T77" s="18"/>
      <c r="U77" s="18"/>
      <c r="V77" s="18"/>
      <c r="W77" s="18"/>
      <c r="BF77" s="14"/>
      <c r="BG77" s="13"/>
      <c r="BH77" s="14"/>
      <c r="BI77" s="13"/>
      <c r="BJ77" s="13"/>
      <c r="BK77" s="13"/>
      <c r="BL77" s="13"/>
      <c r="BM77" s="13"/>
      <c r="BN77" s="14"/>
      <c r="BO77" s="14"/>
      <c r="BP77" s="14"/>
      <c r="BQ77" s="14"/>
      <c r="BR77" s="13"/>
      <c r="BS77" s="14"/>
      <c r="BT77" s="14"/>
      <c r="BU77" s="14"/>
      <c r="BV77" s="14"/>
      <c r="BW77" s="14"/>
      <c r="BX77" s="14"/>
    </row>
    <row r="78" spans="3:76" ht="18" customHeight="1">
      <c r="C78" s="105" t="s">
        <v>119</v>
      </c>
      <c r="D78" s="66" t="s">
        <v>82</v>
      </c>
      <c r="E78" s="7">
        <f>Lw</f>
        <v>8</v>
      </c>
      <c r="F78" s="7" t="s">
        <v>88</v>
      </c>
      <c r="R78" s="14"/>
      <c r="T78" s="18"/>
      <c r="U78" s="18"/>
      <c r="V78" s="18"/>
      <c r="W78" s="18"/>
      <c r="BF78" s="14"/>
      <c r="BG78" s="13"/>
      <c r="BH78" s="14"/>
      <c r="BI78" s="13"/>
      <c r="BJ78" s="13"/>
      <c r="BK78" s="13"/>
      <c r="BL78" s="13"/>
      <c r="BM78" s="13"/>
      <c r="BN78" s="14"/>
      <c r="BO78" s="14"/>
      <c r="BP78" s="14"/>
      <c r="BQ78" s="14"/>
      <c r="BR78" s="13"/>
      <c r="BS78" s="14"/>
      <c r="BT78" s="14"/>
      <c r="BU78" s="14"/>
      <c r="BV78" s="14"/>
      <c r="BW78" s="14"/>
      <c r="BX78" s="14"/>
    </row>
    <row r="79" spans="3:76" ht="18" customHeight="1">
      <c r="C79" s="105" t="s">
        <v>120</v>
      </c>
      <c r="D79" s="66" t="s">
        <v>121</v>
      </c>
      <c r="E79" s="7" t="str">
        <f>H&amp;"+"&amp;hp&amp;"="&amp;L79&amp;" m"</f>
        <v>0.9+0.6=1.5 m</v>
      </c>
      <c r="K79" s="66" t="s">
        <v>121</v>
      </c>
      <c r="L79" s="7">
        <f>H+hp</f>
        <v>1.5</v>
      </c>
      <c r="R79" s="14"/>
      <c r="T79" s="18"/>
      <c r="U79" s="18"/>
      <c r="V79" s="18"/>
      <c r="W79" s="18"/>
      <c r="BF79" s="14"/>
      <c r="BG79" s="13"/>
      <c r="BH79" s="14"/>
      <c r="BI79" s="13"/>
      <c r="BJ79" s="13"/>
      <c r="BK79" s="13"/>
      <c r="BL79" s="13"/>
      <c r="BM79" s="13"/>
      <c r="BN79" s="14"/>
      <c r="BO79" s="14"/>
      <c r="BP79" s="14"/>
      <c r="BQ79" s="14"/>
      <c r="BR79" s="13"/>
      <c r="BS79" s="14"/>
      <c r="BT79" s="14"/>
      <c r="BU79" s="14"/>
      <c r="BV79" s="14"/>
      <c r="BW79" s="14"/>
      <c r="BX79" s="14"/>
    </row>
    <row r="80" spans="18:76" ht="18" customHeight="1">
      <c r="R80" s="14"/>
      <c r="T80" s="18"/>
      <c r="U80" s="18"/>
      <c r="V80" s="18"/>
      <c r="W80" s="18"/>
      <c r="BF80" s="14"/>
      <c r="BG80" s="13"/>
      <c r="BH80" s="14"/>
      <c r="BI80" s="13"/>
      <c r="BJ80" s="13"/>
      <c r="BK80" s="13"/>
      <c r="BL80" s="13"/>
      <c r="BM80" s="13"/>
      <c r="BN80" s="14"/>
      <c r="BO80" s="14"/>
      <c r="BP80" s="14"/>
      <c r="BQ80" s="14"/>
      <c r="BR80" s="13"/>
      <c r="BS80" s="14"/>
      <c r="BT80" s="14"/>
      <c r="BU80" s="14"/>
      <c r="BV80" s="14"/>
      <c r="BW80" s="14"/>
      <c r="BX80" s="14"/>
    </row>
    <row r="81" spans="1:83" ht="18" customHeight="1">
      <c r="A81" s="97" t="s">
        <v>194</v>
      </c>
      <c r="Y81" s="14"/>
      <c r="AA81" s="18"/>
      <c r="AB81" s="18"/>
      <c r="AC81" s="18"/>
      <c r="AD81" s="18"/>
      <c r="BM81" s="14"/>
      <c r="BN81" s="13"/>
      <c r="BO81" s="14"/>
      <c r="BP81" s="13"/>
      <c r="BQ81" s="13"/>
      <c r="BR81" s="13"/>
      <c r="BS81" s="13"/>
      <c r="BT81" s="13"/>
      <c r="BU81" s="14"/>
      <c r="BV81" s="14"/>
      <c r="BW81" s="14"/>
      <c r="BX81" s="14"/>
      <c r="BY81" s="13"/>
      <c r="BZ81" s="14"/>
      <c r="CA81" s="14"/>
      <c r="CB81" s="14"/>
      <c r="CC81" s="14"/>
      <c r="CD81" s="14"/>
      <c r="CE81" s="14"/>
    </row>
    <row r="82" spans="2:83" ht="18" customHeight="1">
      <c r="B82" s="105" t="s">
        <v>195</v>
      </c>
      <c r="D82" s="66" t="str">
        <f>K82&amp;L82&amp;M82&amp;"  ( "&amp;N82&amp;O82&amp;" )"</f>
        <v>Wt=25kN  ( 3.13kN/m )</v>
      </c>
      <c r="K82" s="66" t="s">
        <v>196</v>
      </c>
      <c r="L82" s="7">
        <f>IF(data!B26=2,25,0)</f>
        <v>25</v>
      </c>
      <c r="M82" s="7" t="s">
        <v>197</v>
      </c>
      <c r="N82" s="7">
        <f>ROUND(L82/K9,2)</f>
        <v>3.13</v>
      </c>
      <c r="O82" s="7" t="s">
        <v>202</v>
      </c>
      <c r="Y82" s="14"/>
      <c r="AA82" s="18"/>
      <c r="AB82" s="18"/>
      <c r="AC82" s="18"/>
      <c r="AD82" s="18"/>
      <c r="BM82" s="14"/>
      <c r="BN82" s="13"/>
      <c r="BO82" s="14"/>
      <c r="BP82" s="13"/>
      <c r="BQ82" s="13"/>
      <c r="BR82" s="13"/>
      <c r="BS82" s="13"/>
      <c r="BT82" s="13"/>
      <c r="BU82" s="14"/>
      <c r="BV82" s="14"/>
      <c r="BW82" s="14"/>
      <c r="BX82" s="14"/>
      <c r="BY82" s="13"/>
      <c r="BZ82" s="14"/>
      <c r="CA82" s="14"/>
      <c r="CB82" s="14"/>
      <c r="CC82" s="14"/>
      <c r="CD82" s="14"/>
      <c r="CE82" s="14"/>
    </row>
    <row r="83" spans="25:83" ht="18" customHeight="1">
      <c r="Y83" s="14"/>
      <c r="AA83" s="18"/>
      <c r="AB83" s="18"/>
      <c r="AC83" s="18"/>
      <c r="AD83" s="18"/>
      <c r="BM83" s="14"/>
      <c r="BN83" s="13"/>
      <c r="BO83" s="14"/>
      <c r="BP83" s="13"/>
      <c r="BQ83" s="13"/>
      <c r="BR83" s="13"/>
      <c r="BS83" s="13"/>
      <c r="BT83" s="13"/>
      <c r="BU83" s="14"/>
      <c r="BV83" s="14"/>
      <c r="BW83" s="14"/>
      <c r="BX83" s="14"/>
      <c r="BY83" s="13"/>
      <c r="BZ83" s="14"/>
      <c r="CA83" s="14"/>
      <c r="CB83" s="14"/>
      <c r="CC83" s="14"/>
      <c r="CD83" s="14"/>
      <c r="CE83" s="14"/>
    </row>
    <row r="84" spans="25:83" ht="18" customHeight="1">
      <c r="Y84" s="14"/>
      <c r="AA84" s="18"/>
      <c r="AB84" s="18"/>
      <c r="AC84" s="18"/>
      <c r="AD84" s="18"/>
      <c r="BM84" s="14"/>
      <c r="BN84" s="13"/>
      <c r="BO84" s="14"/>
      <c r="BP84" s="13"/>
      <c r="BQ84" s="13"/>
      <c r="BR84" s="13"/>
      <c r="BS84" s="13"/>
      <c r="BT84" s="13"/>
      <c r="BU84" s="14"/>
      <c r="BV84" s="14"/>
      <c r="BW84" s="14"/>
      <c r="BX84" s="14"/>
      <c r="BY84" s="13"/>
      <c r="BZ84" s="14"/>
      <c r="CA84" s="14"/>
      <c r="CB84" s="14"/>
      <c r="CC84" s="14"/>
      <c r="CD84" s="14"/>
      <c r="CE84" s="14"/>
    </row>
    <row r="85" spans="1:83" ht="18" customHeight="1">
      <c r="A85" s="82" t="s">
        <v>147</v>
      </c>
      <c r="Y85" s="14"/>
      <c r="AA85" s="18"/>
      <c r="AB85" s="18"/>
      <c r="AC85" s="18"/>
      <c r="AD85" s="18"/>
      <c r="BM85" s="14"/>
      <c r="BN85" s="13"/>
      <c r="BO85" s="14"/>
      <c r="BP85" s="13"/>
      <c r="BQ85" s="13"/>
      <c r="BR85" s="13"/>
      <c r="BS85" s="13"/>
      <c r="BT85" s="13"/>
      <c r="BU85" s="14"/>
      <c r="BV85" s="14"/>
      <c r="BW85" s="14"/>
      <c r="BX85" s="14"/>
      <c r="BY85" s="13"/>
      <c r="BZ85" s="14"/>
      <c r="CA85" s="14"/>
      <c r="CB85" s="14"/>
      <c r="CC85" s="14"/>
      <c r="CD85" s="14"/>
      <c r="CE85" s="14"/>
    </row>
    <row r="86" spans="1:83" ht="18" customHeight="1">
      <c r="A86" s="97" t="s">
        <v>125</v>
      </c>
      <c r="Y86" s="14"/>
      <c r="AA86" s="18"/>
      <c r="AB86" s="18"/>
      <c r="AC86" s="18"/>
      <c r="AD86" s="18"/>
      <c r="BM86" s="14"/>
      <c r="BN86" s="13"/>
      <c r="BO86" s="14"/>
      <c r="BP86" s="13"/>
      <c r="BQ86" s="13"/>
      <c r="BR86" s="13"/>
      <c r="BS86" s="13"/>
      <c r="BT86" s="13"/>
      <c r="BU86" s="14"/>
      <c r="BV86" s="14"/>
      <c r="BW86" s="14"/>
      <c r="BX86" s="14"/>
      <c r="BY86" s="13"/>
      <c r="BZ86" s="14"/>
      <c r="CA86" s="14"/>
      <c r="CB86" s="14"/>
      <c r="CC86" s="14"/>
      <c r="CD86" s="14"/>
      <c r="CE86" s="14"/>
    </row>
    <row r="87" spans="1:83" ht="18" customHeight="1">
      <c r="A87" s="83" t="s">
        <v>126</v>
      </c>
      <c r="Y87" s="14"/>
      <c r="AA87" s="18"/>
      <c r="AB87" s="18"/>
      <c r="AC87" s="18"/>
      <c r="AD87" s="18"/>
      <c r="BM87" s="14"/>
      <c r="BN87" s="13"/>
      <c r="BO87" s="14"/>
      <c r="BP87" s="13"/>
      <c r="BQ87" s="13"/>
      <c r="BR87" s="13"/>
      <c r="BS87" s="13"/>
      <c r="BT87" s="13"/>
      <c r="BU87" s="14"/>
      <c r="BV87" s="14"/>
      <c r="BW87" s="14"/>
      <c r="BX87" s="14"/>
      <c r="BY87" s="13"/>
      <c r="BZ87" s="14"/>
      <c r="CA87" s="14"/>
      <c r="CB87" s="14"/>
      <c r="CC87" s="14"/>
      <c r="CD87" s="14"/>
      <c r="CE87" s="14"/>
    </row>
    <row r="88" spans="18:76" ht="18" customHeight="1">
      <c r="R88" s="14"/>
      <c r="T88" s="18"/>
      <c r="U88" s="18"/>
      <c r="V88" s="18"/>
      <c r="W88" s="18"/>
      <c r="BF88" s="14"/>
      <c r="BG88" s="13"/>
      <c r="BH88" s="14"/>
      <c r="BI88" s="13"/>
      <c r="BJ88" s="13"/>
      <c r="BK88" s="13"/>
      <c r="BL88" s="13"/>
      <c r="BM88" s="13"/>
      <c r="BN88" s="14"/>
      <c r="BO88" s="14"/>
      <c r="BP88" s="14"/>
      <c r="BQ88" s="14"/>
      <c r="BR88" s="13"/>
      <c r="BS88" s="14"/>
      <c r="BT88" s="14"/>
      <c r="BU88" s="14"/>
      <c r="BV88" s="14"/>
      <c r="BW88" s="14"/>
      <c r="BX88" s="14"/>
    </row>
    <row r="89" spans="2:76" ht="18" customHeight="1">
      <c r="B89" s="148"/>
      <c r="C89" s="149" t="s">
        <v>129</v>
      </c>
      <c r="D89" s="149" t="s">
        <v>130</v>
      </c>
      <c r="E89" s="149" t="s">
        <v>131</v>
      </c>
      <c r="F89" s="149" t="s">
        <v>132</v>
      </c>
      <c r="G89" s="150" t="s">
        <v>133</v>
      </c>
      <c r="H89" s="151" t="s">
        <v>134</v>
      </c>
      <c r="R89" s="14"/>
      <c r="T89" s="18"/>
      <c r="U89" s="18"/>
      <c r="V89" s="18"/>
      <c r="W89" s="18"/>
      <c r="BF89" s="14"/>
      <c r="BG89" s="13"/>
      <c r="BH89" s="14"/>
      <c r="BI89" s="13"/>
      <c r="BJ89" s="13"/>
      <c r="BK89" s="13"/>
      <c r="BL89" s="13"/>
      <c r="BM89" s="13"/>
      <c r="BN89" s="14"/>
      <c r="BO89" s="14"/>
      <c r="BP89" s="14"/>
      <c r="BQ89" s="14"/>
      <c r="BR89" s="13"/>
      <c r="BS89" s="14"/>
      <c r="BT89" s="14"/>
      <c r="BU89" s="14"/>
      <c r="BV89" s="14"/>
      <c r="BW89" s="14"/>
      <c r="BX89" s="14"/>
    </row>
    <row r="90" spans="2:76" ht="18" customHeight="1">
      <c r="B90" s="152" t="s">
        <v>127</v>
      </c>
      <c r="C90" s="211">
        <f>L39</f>
        <v>17.595</v>
      </c>
      <c r="D90" s="211">
        <v>0</v>
      </c>
      <c r="E90" s="211">
        <f>L42</f>
        <v>0.425</v>
      </c>
      <c r="F90" s="211">
        <v>0</v>
      </c>
      <c r="G90" s="211">
        <f>ROUND(C90*E90,3)</f>
        <v>7.478</v>
      </c>
      <c r="H90" s="212">
        <f>ROUND(D90*F90,3)</f>
        <v>0</v>
      </c>
      <c r="R90" s="14"/>
      <c r="T90" s="18"/>
      <c r="U90" s="18"/>
      <c r="V90" s="18"/>
      <c r="W90" s="18"/>
      <c r="BF90" s="14"/>
      <c r="BG90" s="13"/>
      <c r="BH90" s="14"/>
      <c r="BI90" s="13"/>
      <c r="BJ90" s="13"/>
      <c r="BK90" s="13"/>
      <c r="BL90" s="13"/>
      <c r="BM90" s="13"/>
      <c r="BN90" s="14"/>
      <c r="BO90" s="14"/>
      <c r="BP90" s="14"/>
      <c r="BQ90" s="14"/>
      <c r="BR90" s="13"/>
      <c r="BS90" s="14"/>
      <c r="BT90" s="14"/>
      <c r="BU90" s="14"/>
      <c r="BV90" s="14"/>
      <c r="BW90" s="14"/>
      <c r="BX90" s="14"/>
    </row>
    <row r="91" spans="2:76" ht="18" customHeight="1">
      <c r="B91" s="152" t="s">
        <v>114</v>
      </c>
      <c r="C91" s="211">
        <f>L60</f>
        <v>0.783</v>
      </c>
      <c r="D91" s="211">
        <f>L61</f>
        <v>1.814</v>
      </c>
      <c r="E91" s="211">
        <f>L73</f>
        <v>0.85</v>
      </c>
      <c r="F91" s="211">
        <f>L72</f>
        <v>0.3</v>
      </c>
      <c r="G91" s="211">
        <f>ROUND(C91*E91,3)</f>
        <v>0.666</v>
      </c>
      <c r="H91" s="212">
        <f>ROUND(D91*F91,3)</f>
        <v>0.544</v>
      </c>
      <c r="R91" s="14"/>
      <c r="T91" s="18"/>
      <c r="U91" s="18"/>
      <c r="V91" s="18"/>
      <c r="W91" s="18"/>
      <c r="BF91" s="14"/>
      <c r="BG91" s="13"/>
      <c r="BH91" s="14"/>
      <c r="BI91" s="13"/>
      <c r="BJ91" s="13"/>
      <c r="BK91" s="13"/>
      <c r="BL91" s="13"/>
      <c r="BM91" s="13"/>
      <c r="BN91" s="14"/>
      <c r="BO91" s="14"/>
      <c r="BP91" s="14"/>
      <c r="BQ91" s="14"/>
      <c r="BR91" s="13"/>
      <c r="BS91" s="14"/>
      <c r="BT91" s="14"/>
      <c r="BU91" s="14"/>
      <c r="BV91" s="14"/>
      <c r="BW91" s="14"/>
      <c r="BX91" s="14"/>
    </row>
    <row r="92" spans="2:76" ht="18" customHeight="1">
      <c r="B92" s="152" t="s">
        <v>128</v>
      </c>
      <c r="C92" s="211">
        <v>0</v>
      </c>
      <c r="D92" s="211">
        <v>0</v>
      </c>
      <c r="E92" s="211">
        <v>0</v>
      </c>
      <c r="F92" s="211">
        <v>0</v>
      </c>
      <c r="G92" s="211">
        <f>ROUND(C92*E92,2)</f>
        <v>0</v>
      </c>
      <c r="H92" s="212">
        <f>ROUND(D92*F92,2)</f>
        <v>0</v>
      </c>
      <c r="R92" s="14"/>
      <c r="T92" s="18"/>
      <c r="U92" s="18"/>
      <c r="V92" s="18"/>
      <c r="W92" s="18"/>
      <c r="BF92" s="14"/>
      <c r="BG92" s="13"/>
      <c r="BH92" s="14"/>
      <c r="BI92" s="13"/>
      <c r="BJ92" s="13"/>
      <c r="BK92" s="13"/>
      <c r="BL92" s="13"/>
      <c r="BM92" s="13"/>
      <c r="BN92" s="14"/>
      <c r="BO92" s="14"/>
      <c r="BP92" s="14"/>
      <c r="BQ92" s="14"/>
      <c r="BR92" s="13"/>
      <c r="BS92" s="14"/>
      <c r="BT92" s="14"/>
      <c r="BU92" s="14"/>
      <c r="BV92" s="14"/>
      <c r="BW92" s="14"/>
      <c r="BX92" s="14"/>
    </row>
    <row r="93" spans="2:76" ht="18" customHeight="1">
      <c r="B93" s="153" t="s">
        <v>135</v>
      </c>
      <c r="C93" s="62">
        <f>SUM(C90:C92)</f>
        <v>18.378</v>
      </c>
      <c r="D93" s="62">
        <f>SUM(D90:D92)</f>
        <v>1.814</v>
      </c>
      <c r="E93" s="215" t="s">
        <v>199</v>
      </c>
      <c r="F93" s="215" t="s">
        <v>199</v>
      </c>
      <c r="G93" s="62">
        <f>SUM(G90:G92)</f>
        <v>8.144</v>
      </c>
      <c r="H93" s="154">
        <f>SUM(H90:H92)</f>
        <v>0.544</v>
      </c>
      <c r="R93" s="14"/>
      <c r="T93" s="18"/>
      <c r="U93" s="18"/>
      <c r="V93" s="18"/>
      <c r="W93" s="18"/>
      <c r="BF93" s="14"/>
      <c r="BG93" s="13"/>
      <c r="BH93" s="14"/>
      <c r="BI93" s="13"/>
      <c r="BJ93" s="13"/>
      <c r="BK93" s="13"/>
      <c r="BL93" s="13"/>
      <c r="BM93" s="13"/>
      <c r="BN93" s="14"/>
      <c r="BO93" s="14"/>
      <c r="BP93" s="14"/>
      <c r="BQ93" s="14"/>
      <c r="BR93" s="13"/>
      <c r="BS93" s="14"/>
      <c r="BT93" s="14"/>
      <c r="BU93" s="14"/>
      <c r="BV93" s="14"/>
      <c r="BW93" s="14"/>
      <c r="BX93" s="14"/>
    </row>
    <row r="94" spans="18:76" ht="18" customHeight="1">
      <c r="R94" s="14"/>
      <c r="T94" s="18"/>
      <c r="U94" s="18"/>
      <c r="V94" s="18"/>
      <c r="W94" s="18"/>
      <c r="BF94" s="14"/>
      <c r="BG94" s="13"/>
      <c r="BH94" s="14"/>
      <c r="BI94" s="13"/>
      <c r="BJ94" s="13"/>
      <c r="BK94" s="13"/>
      <c r="BL94" s="13"/>
      <c r="BM94" s="13"/>
      <c r="BN94" s="14"/>
      <c r="BO94" s="14"/>
      <c r="BP94" s="14"/>
      <c r="BQ94" s="14"/>
      <c r="BR94" s="13"/>
      <c r="BS94" s="14"/>
      <c r="BT94" s="14"/>
      <c r="BU94" s="14"/>
      <c r="BV94" s="14"/>
      <c r="BW94" s="14"/>
      <c r="BX94" s="14"/>
    </row>
    <row r="95" spans="2:76" ht="18" customHeight="1">
      <c r="B95" s="105" t="s">
        <v>136</v>
      </c>
      <c r="D95" s="7" t="str">
        <f>"d=(ΣVx-Σhy)/ΣV=( "&amp;G93&amp;"-"&amp;H93&amp;" )/"&amp;C93&amp;"="&amp;M95&amp;" m"</f>
        <v>d=(ΣVx-Σhy)/ΣV=( 8.144-0.544 )/18.378=0.414 m</v>
      </c>
      <c r="L95" s="7" t="s">
        <v>203</v>
      </c>
      <c r="M95" s="7">
        <f>ROUND((G93-H93)/C93,3)</f>
        <v>0.414</v>
      </c>
      <c r="N95" s="7" t="s">
        <v>88</v>
      </c>
      <c r="T95" s="18"/>
      <c r="U95" s="18"/>
      <c r="V95" s="18"/>
      <c r="W95" s="18"/>
      <c r="BF95" s="14"/>
      <c r="BG95" s="13"/>
      <c r="BH95" s="14"/>
      <c r="BI95" s="13"/>
      <c r="BJ95" s="13"/>
      <c r="BK95" s="13"/>
      <c r="BL95" s="13"/>
      <c r="BM95" s="13"/>
      <c r="BN95" s="14"/>
      <c r="BO95" s="14"/>
      <c r="BP95" s="14"/>
      <c r="BQ95" s="14"/>
      <c r="BR95" s="13"/>
      <c r="BS95" s="14"/>
      <c r="BT95" s="14"/>
      <c r="BU95" s="14"/>
      <c r="BV95" s="14"/>
      <c r="BW95" s="14"/>
      <c r="BX95" s="14"/>
    </row>
    <row r="96" spans="20:76" ht="18" customHeight="1">
      <c r="T96" s="18"/>
      <c r="U96" s="18"/>
      <c r="V96" s="18"/>
      <c r="W96" s="18"/>
      <c r="BF96" s="14"/>
      <c r="BG96" s="13"/>
      <c r="BH96" s="14"/>
      <c r="BI96" s="13"/>
      <c r="BJ96" s="13"/>
      <c r="BK96" s="13"/>
      <c r="BL96" s="13"/>
      <c r="BM96" s="13"/>
      <c r="BN96" s="14"/>
      <c r="BO96" s="14"/>
      <c r="BP96" s="14"/>
      <c r="BQ96" s="14"/>
      <c r="BR96" s="13"/>
      <c r="BS96" s="14"/>
      <c r="BT96" s="14"/>
      <c r="BU96" s="14"/>
      <c r="BV96" s="14"/>
      <c r="BW96" s="14"/>
      <c r="BX96" s="14"/>
    </row>
    <row r="97" spans="2:76" ht="18" customHeight="1">
      <c r="B97" s="105" t="s">
        <v>137</v>
      </c>
      <c r="D97" s="7" t="str">
        <f>"e=B/2-d="&amp;B&amp;"/2-"&amp;M95&amp;"="&amp;L97&amp;" m"</f>
        <v>e=B/2-d=0.85/2-0.414=0.011 m</v>
      </c>
      <c r="K97" s="66" t="s">
        <v>204</v>
      </c>
      <c r="L97" s="7">
        <f>ROUND(B/2-M95,3)</f>
        <v>0.011</v>
      </c>
      <c r="M97" s="7">
        <f>ABS(L97)</f>
        <v>0.011</v>
      </c>
      <c r="T97" s="18"/>
      <c r="U97" s="18"/>
      <c r="V97" s="18"/>
      <c r="W97" s="18"/>
      <c r="BF97" s="14"/>
      <c r="BG97" s="13"/>
      <c r="BH97" s="14"/>
      <c r="BI97" s="13"/>
      <c r="BJ97" s="13"/>
      <c r="BK97" s="13"/>
      <c r="BL97" s="13"/>
      <c r="BM97" s="13"/>
      <c r="BN97" s="14"/>
      <c r="BO97" s="14"/>
      <c r="BP97" s="14"/>
      <c r="BQ97" s="14"/>
      <c r="BR97" s="13"/>
      <c r="BS97" s="14"/>
      <c r="BT97" s="14"/>
      <c r="BU97" s="14"/>
      <c r="BV97" s="14"/>
      <c r="BW97" s="14"/>
      <c r="BX97" s="14"/>
    </row>
    <row r="98" spans="20:76" ht="18" customHeight="1">
      <c r="T98" s="18"/>
      <c r="U98" s="18"/>
      <c r="V98" s="18"/>
      <c r="W98" s="18"/>
      <c r="AS98" s="26"/>
      <c r="BE98" s="14"/>
      <c r="BF98" s="45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</row>
    <row r="99" spans="1:76" ht="18" customHeight="1">
      <c r="A99" s="83" t="s">
        <v>138</v>
      </c>
      <c r="T99" s="18"/>
      <c r="U99" s="18"/>
      <c r="V99" s="18"/>
      <c r="W99" s="18"/>
      <c r="BE99" s="14"/>
      <c r="BF99" s="45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</row>
    <row r="100" spans="2:76" ht="18" customHeight="1">
      <c r="B100" s="105" t="s">
        <v>205</v>
      </c>
      <c r="C100" s="7" t="str">
        <f>"Ft=B/|2e|="&amp;B&amp;"/(2×"&amp;M97&amp;")="&amp;L100&amp;N100&amp;O100&amp;P100</f>
        <v>Ft=B/|2e|=0.85/(2×0.011)=38.636   &gt;   3 ( safe ) </v>
      </c>
      <c r="K100" s="105" t="s">
        <v>206</v>
      </c>
      <c r="L100" s="7">
        <f>IF(L97=0,100,ROUND(B/ABS(2*L97),3))</f>
        <v>38.636</v>
      </c>
      <c r="N100" s="98" t="str">
        <f>IF(L100&gt;O100,"   &gt;   ","   &lt;   ")</f>
        <v>   &gt;   </v>
      </c>
      <c r="O100" s="7">
        <v>3</v>
      </c>
      <c r="P100" s="7" t="str">
        <f>IF(L100&gt;O100," ( safe ) "," ( out ) ")</f>
        <v> ( safe ) </v>
      </c>
      <c r="T100" s="18"/>
      <c r="U100" s="18"/>
      <c r="V100" s="18"/>
      <c r="W100" s="18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</row>
    <row r="101" spans="18:76" ht="18" customHeight="1">
      <c r="R101" s="14"/>
      <c r="T101" s="18"/>
      <c r="U101" s="18"/>
      <c r="V101" s="18"/>
      <c r="W101" s="18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</row>
    <row r="102" spans="1:76" ht="18" customHeight="1">
      <c r="A102" s="83" t="s">
        <v>139</v>
      </c>
      <c r="R102" s="14"/>
      <c r="T102" s="18"/>
      <c r="U102" s="18"/>
      <c r="V102" s="18"/>
      <c r="W102" s="18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</row>
    <row r="103" spans="2:76" ht="18" customHeight="1">
      <c r="B103" s="28"/>
      <c r="C103" s="88"/>
      <c r="D103" s="34"/>
      <c r="E103" s="34"/>
      <c r="F103" s="71"/>
      <c r="G103" s="12"/>
      <c r="H103" s="14"/>
      <c r="N103" s="81"/>
      <c r="R103" s="14"/>
      <c r="T103" s="18"/>
      <c r="U103" s="18"/>
      <c r="V103" s="18"/>
      <c r="W103" s="18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</row>
    <row r="104" spans="2:76" ht="18" customHeight="1">
      <c r="B104" s="143"/>
      <c r="C104" s="14" t="str">
        <f>"Fs=ΣV×μ/ΣH="&amp;C93&amp;"×"&amp;μ&amp;"/"&amp;D93&amp;"="&amp;L104&amp;N104&amp;O104&amp;P104</f>
        <v>Fs=ΣV×μ/ΣH=18.378×0.6/1.814=6.08   &gt;   1.5 ( safe ) </v>
      </c>
      <c r="E104" s="14"/>
      <c r="F104" s="143"/>
      <c r="K104" s="7" t="s">
        <v>207</v>
      </c>
      <c r="L104" s="7">
        <f>ROUND(C93/D93*μ,2)</f>
        <v>6.08</v>
      </c>
      <c r="N104" s="98" t="str">
        <f>IF(L104&gt;O104,"   &gt;   ","   &lt;   ")</f>
        <v>   &gt;   </v>
      </c>
      <c r="O104" s="7">
        <v>1.5</v>
      </c>
      <c r="P104" s="7" t="str">
        <f>IF(L104&gt;O104," ( safe ) "," ( out ) ")</f>
        <v> ( safe ) </v>
      </c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</row>
    <row r="105" spans="2:68" ht="18" customHeight="1">
      <c r="B105" s="143"/>
      <c r="C105" s="144"/>
      <c r="D105" s="14"/>
      <c r="E105" s="14"/>
      <c r="F105" s="6"/>
      <c r="G105" s="14"/>
      <c r="H105" s="14"/>
      <c r="BH105" s="66"/>
      <c r="BI105" s="24"/>
      <c r="BL105" s="14"/>
      <c r="BM105" s="14"/>
      <c r="BN105" s="14"/>
      <c r="BO105" s="14"/>
      <c r="BP105" s="14"/>
    </row>
    <row r="106" spans="1:68" ht="18" customHeight="1">
      <c r="A106" s="83" t="s">
        <v>140</v>
      </c>
      <c r="B106" s="28"/>
      <c r="C106" s="145"/>
      <c r="D106" s="34"/>
      <c r="E106" s="34"/>
      <c r="F106" s="143"/>
      <c r="G106" s="12"/>
      <c r="H106" s="14"/>
      <c r="BL106" s="14"/>
      <c r="BM106" s="14"/>
      <c r="BN106" s="14"/>
      <c r="BO106" s="14"/>
      <c r="BP106" s="14"/>
    </row>
    <row r="107" spans="1:68" s="25" customFormat="1" ht="18" customHeight="1">
      <c r="A107" s="7"/>
      <c r="B107" s="28"/>
      <c r="C107" s="146"/>
      <c r="D107" s="34"/>
      <c r="E107" s="34"/>
      <c r="F107" s="143"/>
      <c r="G107" s="13"/>
      <c r="H107" s="14"/>
      <c r="I107" s="7"/>
      <c r="J107" s="7"/>
      <c r="K107" s="7"/>
      <c r="L107" s="7"/>
      <c r="M107" s="7"/>
      <c r="N107" s="7"/>
      <c r="O107" s="7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</row>
    <row r="108" spans="1:68" s="25" customFormat="1" ht="18" customHeight="1">
      <c r="A108" s="7"/>
      <c r="B108" s="14"/>
      <c r="C108" s="14"/>
      <c r="D108" s="14"/>
      <c r="E108" s="14"/>
      <c r="F108" s="14"/>
      <c r="G108" s="14"/>
      <c r="H108" s="14"/>
      <c r="I108" s="7"/>
      <c r="J108" s="7"/>
      <c r="K108" s="7"/>
      <c r="L108" s="7"/>
      <c r="M108" s="7"/>
      <c r="N108" s="7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</row>
    <row r="109" spans="1:67" s="25" customFormat="1" ht="18" customHeight="1">
      <c r="A109" s="7"/>
      <c r="B109" s="14"/>
      <c r="C109" s="14"/>
      <c r="D109" s="45"/>
      <c r="E109" s="21"/>
      <c r="F109" s="18"/>
      <c r="G109" s="14"/>
      <c r="H109" s="14"/>
      <c r="I109" s="7"/>
      <c r="J109" s="7"/>
      <c r="K109" s="7"/>
      <c r="L109" s="7"/>
      <c r="M109" s="7"/>
      <c r="N109" s="7"/>
      <c r="BF109" s="34"/>
      <c r="BG109" s="141"/>
      <c r="BH109" s="34"/>
      <c r="BI109" s="34"/>
      <c r="BJ109" s="34"/>
      <c r="BK109" s="91"/>
      <c r="BL109" s="91"/>
      <c r="BM109" s="91"/>
      <c r="BN109" s="91"/>
      <c r="BO109" s="91"/>
    </row>
    <row r="110" spans="1:66" s="25" customFormat="1" ht="18" customHeight="1">
      <c r="A110" s="7"/>
      <c r="B110" s="14"/>
      <c r="C110" s="14"/>
      <c r="D110" s="14"/>
      <c r="E110" s="14"/>
      <c r="F110" s="14"/>
      <c r="G110" s="14"/>
      <c r="H110" s="14"/>
      <c r="I110" s="7"/>
      <c r="J110" s="7"/>
      <c r="K110" s="7"/>
      <c r="L110" s="7"/>
      <c r="M110" s="7"/>
      <c r="N110" s="7"/>
      <c r="BF110" s="34"/>
      <c r="BG110" s="35"/>
      <c r="BH110" s="35"/>
      <c r="BI110" s="35"/>
      <c r="BJ110" s="35"/>
      <c r="BK110" s="34"/>
      <c r="BL110" s="34"/>
      <c r="BM110" s="34"/>
      <c r="BN110" s="34"/>
    </row>
    <row r="111" spans="1:66" ht="18" customHeight="1">
      <c r="A111" s="14"/>
      <c r="B111" s="14"/>
      <c r="C111" s="14"/>
      <c r="D111" s="14"/>
      <c r="E111" s="14"/>
      <c r="F111" s="14"/>
      <c r="G111" s="14"/>
      <c r="H111" s="14"/>
      <c r="O111" s="25"/>
      <c r="BF111" s="14"/>
      <c r="BG111" s="13"/>
      <c r="BH111" s="13"/>
      <c r="BI111" s="13"/>
      <c r="BJ111" s="13"/>
      <c r="BK111" s="14"/>
      <c r="BL111" s="14"/>
      <c r="BM111" s="14"/>
      <c r="BN111" s="14"/>
    </row>
    <row r="112" spans="2:66" ht="18" customHeight="1">
      <c r="B112" s="147"/>
      <c r="C112" s="61"/>
      <c r="D112" s="61"/>
      <c r="E112" s="61"/>
      <c r="F112" s="61"/>
      <c r="G112" s="34"/>
      <c r="H112" s="69"/>
      <c r="I112" s="14"/>
      <c r="J112" s="14"/>
      <c r="K112" s="14"/>
      <c r="BF112" s="14"/>
      <c r="BG112" s="13"/>
      <c r="BH112" s="13"/>
      <c r="BI112" s="13"/>
      <c r="BJ112" s="13"/>
      <c r="BK112" s="14"/>
      <c r="BL112" s="14"/>
      <c r="BM112" s="14"/>
      <c r="BN112" s="14"/>
    </row>
    <row r="113" spans="2:66" ht="18" customHeight="1">
      <c r="B113" s="11"/>
      <c r="C113" s="11"/>
      <c r="D113" s="27"/>
      <c r="E113" s="27"/>
      <c r="F113" s="27"/>
      <c r="G113" s="14"/>
      <c r="H113" s="14"/>
      <c r="I113" s="61"/>
      <c r="J113" s="61"/>
      <c r="K113" s="61"/>
      <c r="BF113" s="14"/>
      <c r="BG113" s="13"/>
      <c r="BH113" s="13"/>
      <c r="BI113" s="13"/>
      <c r="BJ113" s="13"/>
      <c r="BK113" s="14"/>
      <c r="BL113" s="14"/>
      <c r="BM113" s="14"/>
      <c r="BN113" s="14"/>
    </row>
    <row r="114" spans="2:66" ht="18" customHeight="1">
      <c r="B114" s="11"/>
      <c r="C114" s="11"/>
      <c r="D114" s="27"/>
      <c r="E114" s="27"/>
      <c r="F114" s="27"/>
      <c r="G114" s="14"/>
      <c r="H114" s="14"/>
      <c r="I114" s="61"/>
      <c r="J114" s="61"/>
      <c r="K114" s="61"/>
      <c r="L114" s="25"/>
      <c r="M114" s="25"/>
      <c r="N114" s="25"/>
      <c r="BF114" s="14"/>
      <c r="BG114" s="13"/>
      <c r="BH114" s="13"/>
      <c r="BI114" s="13"/>
      <c r="BJ114" s="13"/>
      <c r="BK114" s="14"/>
      <c r="BL114" s="14"/>
      <c r="BM114" s="14"/>
      <c r="BN114" s="14"/>
    </row>
    <row r="115" spans="1:66" ht="18" customHeight="1">
      <c r="A115" s="25"/>
      <c r="B115" s="142" t="s">
        <v>144</v>
      </c>
      <c r="C115" s="25" t="str">
        <f>IF(L100&gt;=3,C93&amp;"/"&amp;B&amp;"×(1+6×"&amp;L97&amp;"/"&amp;B&amp;")","2×"&amp;C93&amp;"/(3×"&amp;M95&amp;")")&amp;"="&amp;M115&amp;" kN/m2"</f>
        <v>18.378/0.85×(1+6×0.011/0.85)=23.3 kN/m2</v>
      </c>
      <c r="D115" s="70"/>
      <c r="E115" s="70"/>
      <c r="F115" s="70"/>
      <c r="G115" s="34"/>
      <c r="H115" s="34"/>
      <c r="I115" s="34"/>
      <c r="J115" s="34"/>
      <c r="K115" s="34"/>
      <c r="L115" s="105" t="s">
        <v>141</v>
      </c>
      <c r="M115" s="25">
        <f>ROUND(IF(L100&gt;=3,C93/B*(1+6*L97/B),2*C93/(3*M95)),2)</f>
        <v>23.3</v>
      </c>
      <c r="N115" s="25"/>
      <c r="BF115" s="14"/>
      <c r="BG115" s="13"/>
      <c r="BH115" s="13"/>
      <c r="BI115" s="13"/>
      <c r="BJ115" s="13"/>
      <c r="BK115" s="14"/>
      <c r="BL115" s="14"/>
      <c r="BM115" s="14"/>
      <c r="BN115" s="14"/>
    </row>
    <row r="116" spans="1:66" ht="18" customHeight="1">
      <c r="A116" s="25"/>
      <c r="B116" s="142" t="s">
        <v>143</v>
      </c>
      <c r="C116" s="25" t="str">
        <f>IF(L100&gt;=3,C93&amp;"/"&amp;B&amp;"×(1-6×"&amp;L97&amp;"/"&amp;B&amp;")","0")&amp;"="&amp;M116&amp;" kN/m2"</f>
        <v>18.378/0.85×(1-6×0.011/0.85)=19.94 kN/m2</v>
      </c>
      <c r="D116" s="70"/>
      <c r="E116" s="70"/>
      <c r="F116" s="70"/>
      <c r="G116" s="34"/>
      <c r="H116" s="34"/>
      <c r="I116" s="34"/>
      <c r="J116" s="34"/>
      <c r="K116" s="34"/>
      <c r="L116" s="105" t="s">
        <v>142</v>
      </c>
      <c r="M116" s="25">
        <f>ROUND(IF(L100&gt;=3,C93/B*(1-6*L97/B),0),2)</f>
        <v>19.94</v>
      </c>
      <c r="N116" s="25">
        <f>MAX(M115:M116)</f>
        <v>23.3</v>
      </c>
      <c r="BF116" s="14"/>
      <c r="BG116" s="13"/>
      <c r="BH116" s="13"/>
      <c r="BI116" s="13"/>
      <c r="BJ116" s="13"/>
      <c r="BK116" s="14"/>
      <c r="BL116" s="14"/>
      <c r="BM116" s="14"/>
      <c r="BN116" s="14"/>
    </row>
    <row r="117" spans="1:66" ht="18" customHeight="1">
      <c r="A117" s="25"/>
      <c r="B117" s="91"/>
      <c r="C117" s="91"/>
      <c r="D117" s="70"/>
      <c r="E117" s="70"/>
      <c r="F117" s="70"/>
      <c r="G117" s="34"/>
      <c r="H117" s="34"/>
      <c r="I117" s="34"/>
      <c r="J117" s="34"/>
      <c r="K117" s="34"/>
      <c r="L117" s="25"/>
      <c r="M117" s="25"/>
      <c r="N117" s="25"/>
      <c r="BF117" s="14"/>
      <c r="BG117" s="13"/>
      <c r="BH117" s="13"/>
      <c r="BI117" s="13"/>
      <c r="BJ117" s="13"/>
      <c r="BK117" s="14"/>
      <c r="BL117" s="14"/>
      <c r="BM117" s="14"/>
      <c r="BN117" s="14"/>
    </row>
    <row r="118" spans="1:66" ht="18" customHeight="1">
      <c r="A118" s="97" t="s">
        <v>145</v>
      </c>
      <c r="BF118" s="14"/>
      <c r="BG118" s="13"/>
      <c r="BH118" s="13"/>
      <c r="BI118" s="13"/>
      <c r="BJ118" s="13"/>
      <c r="BK118" s="14"/>
      <c r="BL118" s="14"/>
      <c r="BM118" s="14"/>
      <c r="BN118" s="14"/>
    </row>
    <row r="119" spans="58:66" ht="18" customHeight="1">
      <c r="BF119" s="14"/>
      <c r="BG119" s="14"/>
      <c r="BH119" s="13"/>
      <c r="BI119" s="13"/>
      <c r="BJ119" s="13"/>
      <c r="BK119" s="14"/>
      <c r="BL119" s="14"/>
      <c r="BM119" s="14"/>
      <c r="BN119" s="14"/>
    </row>
    <row r="120" spans="1:68" ht="18" customHeight="1">
      <c r="A120" s="83" t="s">
        <v>126</v>
      </c>
      <c r="BI120" s="14"/>
      <c r="BJ120" s="14"/>
      <c r="BK120" s="14"/>
      <c r="BL120" s="14"/>
      <c r="BM120" s="14"/>
      <c r="BN120" s="14"/>
      <c r="BO120" s="14"/>
      <c r="BP120" s="14"/>
    </row>
    <row r="121" spans="61:68" ht="18" customHeight="1">
      <c r="BI121" s="45"/>
      <c r="BJ121" s="84"/>
      <c r="BK121" s="14"/>
      <c r="BM121" s="14"/>
      <c r="BN121" s="14"/>
      <c r="BO121" s="14"/>
      <c r="BP121" s="14"/>
    </row>
    <row r="122" spans="2:68" ht="18" customHeight="1">
      <c r="B122" s="148"/>
      <c r="C122" s="149" t="s">
        <v>129</v>
      </c>
      <c r="D122" s="149" t="s">
        <v>130</v>
      </c>
      <c r="E122" s="149" t="s">
        <v>131</v>
      </c>
      <c r="F122" s="149" t="s">
        <v>132</v>
      </c>
      <c r="G122" s="150" t="s">
        <v>133</v>
      </c>
      <c r="H122" s="151" t="s">
        <v>134</v>
      </c>
      <c r="BI122" s="6"/>
      <c r="BJ122" s="13"/>
      <c r="BK122" s="14"/>
      <c r="BM122" s="14"/>
      <c r="BN122" s="14"/>
      <c r="BO122" s="14"/>
      <c r="BP122" s="14"/>
    </row>
    <row r="123" spans="2:68" ht="18" customHeight="1">
      <c r="B123" s="152" t="s">
        <v>127</v>
      </c>
      <c r="C123" s="211">
        <f>L39</f>
        <v>17.595</v>
      </c>
      <c r="D123" s="211">
        <v>0</v>
      </c>
      <c r="E123" s="211">
        <f>L42</f>
        <v>0.425</v>
      </c>
      <c r="F123" s="211">
        <v>0</v>
      </c>
      <c r="G123" s="211">
        <f aca="true" t="shared" si="1" ref="G123:H126">ROUND(C123*E123,2)</f>
        <v>7.48</v>
      </c>
      <c r="H123" s="212">
        <f t="shared" si="1"/>
        <v>0</v>
      </c>
      <c r="BI123" s="6"/>
      <c r="BJ123" s="13"/>
      <c r="BK123" s="14"/>
      <c r="BM123" s="14"/>
      <c r="BN123" s="14"/>
      <c r="BO123" s="14"/>
      <c r="BP123" s="14"/>
    </row>
    <row r="124" spans="2:68" ht="18" customHeight="1">
      <c r="B124" s="152" t="s">
        <v>114</v>
      </c>
      <c r="C124" s="211">
        <f>L65</f>
        <v>0.783</v>
      </c>
      <c r="D124" s="211">
        <f>L66</f>
        <v>1.814</v>
      </c>
      <c r="E124" s="211">
        <f>L73</f>
        <v>0.85</v>
      </c>
      <c r="F124" s="211">
        <f>L72</f>
        <v>0.3</v>
      </c>
      <c r="G124" s="211">
        <f t="shared" si="1"/>
        <v>0.67</v>
      </c>
      <c r="H124" s="212">
        <f t="shared" si="1"/>
        <v>0.54</v>
      </c>
      <c r="BI124" s="6"/>
      <c r="BJ124" s="13"/>
      <c r="BK124" s="85"/>
      <c r="BM124" s="85"/>
      <c r="BN124" s="85"/>
      <c r="BO124" s="85"/>
      <c r="BP124" s="85"/>
    </row>
    <row r="125" spans="2:68" ht="18" customHeight="1">
      <c r="B125" s="152" t="s">
        <v>198</v>
      </c>
      <c r="C125" s="211">
        <f>N82</f>
        <v>3.13</v>
      </c>
      <c r="D125" s="211">
        <v>0</v>
      </c>
      <c r="E125" s="211">
        <f>ROUND(K4*K7+K5/2,2)</f>
        <v>0.43</v>
      </c>
      <c r="F125" s="211">
        <v>0</v>
      </c>
      <c r="G125" s="211">
        <f t="shared" si="1"/>
        <v>1.35</v>
      </c>
      <c r="H125" s="212">
        <v>0</v>
      </c>
      <c r="BI125" s="6"/>
      <c r="BJ125" s="13"/>
      <c r="BK125" s="85"/>
      <c r="BM125" s="85"/>
      <c r="BN125" s="85"/>
      <c r="BO125" s="85"/>
      <c r="BP125" s="85"/>
    </row>
    <row r="126" spans="2:68" ht="18" customHeight="1">
      <c r="B126" s="152" t="s">
        <v>128</v>
      </c>
      <c r="C126" s="211">
        <v>0</v>
      </c>
      <c r="D126" s="211">
        <f>L77</f>
        <v>3.75</v>
      </c>
      <c r="E126" s="211">
        <v>0</v>
      </c>
      <c r="F126" s="211">
        <f>L79</f>
        <v>1.5</v>
      </c>
      <c r="G126" s="211">
        <f t="shared" si="1"/>
        <v>0</v>
      </c>
      <c r="H126" s="212">
        <f t="shared" si="1"/>
        <v>5.63</v>
      </c>
      <c r="BI126" s="6"/>
      <c r="BJ126" s="13"/>
      <c r="BK126" s="14"/>
      <c r="BM126" s="14"/>
      <c r="BN126" s="14"/>
      <c r="BO126" s="14"/>
      <c r="BP126" s="14"/>
    </row>
    <row r="127" spans="2:68" ht="18" customHeight="1">
      <c r="B127" s="153" t="s">
        <v>135</v>
      </c>
      <c r="C127" s="213">
        <f>SUM(C123:C126)</f>
        <v>21.508</v>
      </c>
      <c r="D127" s="213">
        <f>SUM(D123:D126)</f>
        <v>5.564</v>
      </c>
      <c r="E127" s="215" t="s">
        <v>199</v>
      </c>
      <c r="F127" s="215" t="s">
        <v>199</v>
      </c>
      <c r="G127" s="213">
        <f>SUM(G123:G126)</f>
        <v>9.5</v>
      </c>
      <c r="H127" s="214">
        <f>SUM(H123:H126)</f>
        <v>6.17</v>
      </c>
      <c r="BI127" s="86"/>
      <c r="BJ127" s="13"/>
      <c r="BK127" s="14"/>
      <c r="BM127" s="14"/>
      <c r="BN127" s="14"/>
      <c r="BO127" s="14"/>
      <c r="BP127" s="14"/>
    </row>
    <row r="128" spans="61:68" ht="18" customHeight="1">
      <c r="BI128" s="45"/>
      <c r="BJ128" s="14"/>
      <c r="BK128" s="14"/>
      <c r="BM128" s="14"/>
      <c r="BN128" s="14"/>
      <c r="BO128" s="14"/>
      <c r="BP128" s="14"/>
    </row>
    <row r="129" spans="2:68" ht="18" customHeight="1">
      <c r="B129" s="105" t="s">
        <v>136</v>
      </c>
      <c r="D129" s="7" t="str">
        <f>"d=(ΣVx-ΣHy)/ΣV=( "&amp;G127&amp;"-"&amp;H127&amp;" )/"&amp;C127&amp;"="&amp;L129&amp;" m"</f>
        <v>d=(ΣVx-ΣHy)/ΣV=( 9.5-6.17 )/21.508=0.15 m</v>
      </c>
      <c r="K129" s="7" t="s">
        <v>203</v>
      </c>
      <c r="L129" s="7">
        <f>ROUND((G127-H127)/C127,2)</f>
        <v>0.15</v>
      </c>
      <c r="BI129" s="14"/>
      <c r="BJ129" s="14"/>
      <c r="BK129" s="14"/>
      <c r="BM129" s="14"/>
      <c r="BN129" s="14"/>
      <c r="BO129" s="14"/>
      <c r="BP129" s="14"/>
    </row>
    <row r="130" spans="61:68" ht="18" customHeight="1">
      <c r="BI130" s="45"/>
      <c r="BJ130" s="14"/>
      <c r="BK130" s="14"/>
      <c r="BM130" s="14"/>
      <c r="BN130" s="14"/>
      <c r="BO130" s="14"/>
      <c r="BP130" s="14"/>
    </row>
    <row r="131" spans="1:68" s="25" customFormat="1" ht="18" customHeight="1">
      <c r="A131" s="7"/>
      <c r="B131" s="105" t="s">
        <v>137</v>
      </c>
      <c r="C131" s="7"/>
      <c r="D131" s="7" t="str">
        <f>"e=B/2-d="&amp;B&amp;"/2-"&amp;L129&amp;"="&amp;L131&amp;" m"</f>
        <v>e=B/2-d=0.85/2-0.15=0.28 m</v>
      </c>
      <c r="K131" s="25" t="s">
        <v>204</v>
      </c>
      <c r="L131" s="7">
        <f>ROUND(B/2-L129,2)</f>
        <v>0.28</v>
      </c>
      <c r="N131" s="7"/>
      <c r="O131" s="7"/>
      <c r="BI131" s="142"/>
      <c r="BJ131" s="34"/>
      <c r="BK131" s="34"/>
      <c r="BM131" s="34"/>
      <c r="BN131" s="34"/>
      <c r="BO131" s="34"/>
      <c r="BP131" s="34"/>
    </row>
    <row r="132" spans="1:68" s="25" customFormat="1" ht="18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BI132" s="142"/>
      <c r="BJ132" s="34"/>
      <c r="BK132" s="34"/>
      <c r="BL132" s="34"/>
      <c r="BM132" s="34"/>
      <c r="BN132" s="34"/>
      <c r="BO132" s="34"/>
      <c r="BP132" s="34"/>
    </row>
    <row r="133" spans="1:68" s="25" customFormat="1" ht="18" customHeight="1">
      <c r="A133" s="83" t="s">
        <v>138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BI133" s="34"/>
      <c r="BJ133" s="34"/>
      <c r="BK133" s="34"/>
      <c r="BL133" s="34"/>
      <c r="BM133" s="34"/>
      <c r="BN133" s="34"/>
      <c r="BO133" s="34"/>
      <c r="BP133" s="34"/>
    </row>
    <row r="134" spans="1:68" s="25" customFormat="1" ht="18" customHeight="1">
      <c r="A134" s="7"/>
      <c r="B134" s="105" t="s">
        <v>208</v>
      </c>
      <c r="C134" s="7" t="str">
        <f>"Ft=B/|2e|="&amp;B&amp;"/(2×"&amp;L131&amp;")="&amp;L134&amp;N134&amp;O134&amp;P134</f>
        <v>Ft=B/|2e|=0.85/(2×0.28)=1.52   &gt;   1.5 ( safe ) </v>
      </c>
      <c r="D134" s="7"/>
      <c r="F134" s="7"/>
      <c r="G134" s="7"/>
      <c r="H134" s="7"/>
      <c r="I134" s="7"/>
      <c r="J134" s="7"/>
      <c r="K134" s="105" t="s">
        <v>206</v>
      </c>
      <c r="L134" s="7">
        <f>ABS(ROUND(B/(2*L131),2))</f>
        <v>1.52</v>
      </c>
      <c r="M134" s="7"/>
      <c r="N134" s="98" t="str">
        <f>IF(L134&gt;O134,"   &gt;   ","   &lt;   ")</f>
        <v>   &gt;   </v>
      </c>
      <c r="O134" s="7">
        <v>1.5</v>
      </c>
      <c r="P134" s="7" t="str">
        <f>IF(L134&gt;O134," ( safe ) "," ( out ) ")</f>
        <v> ( safe ) </v>
      </c>
      <c r="BH134" s="36"/>
      <c r="BI134" s="32"/>
      <c r="BJ134" s="34"/>
      <c r="BK134" s="34"/>
      <c r="BL134" s="34"/>
      <c r="BM134" s="34"/>
      <c r="BN134" s="34"/>
      <c r="BO134" s="34"/>
      <c r="BP134" s="34"/>
    </row>
    <row r="135" spans="1:16" s="25" customFormat="1" ht="18" customHeight="1">
      <c r="A135" s="7"/>
      <c r="B135" s="105" t="s">
        <v>209</v>
      </c>
      <c r="C135" s="7" t="str">
        <f>"Ft=ΣVx/ΣHy="&amp;G127&amp;"/"&amp;H127&amp;"="&amp;L135&amp;N135&amp;O135&amp;P135</f>
        <v>Ft=ΣVx/ΣHy=9.5/6.17=1.54   &gt;   1.5 ( safe ) </v>
      </c>
      <c r="F135" s="7"/>
      <c r="G135" s="7"/>
      <c r="H135" s="7"/>
      <c r="I135" s="7"/>
      <c r="J135" s="7"/>
      <c r="K135" s="105" t="s">
        <v>207</v>
      </c>
      <c r="L135" s="25">
        <f>ROUND(G127/H127,2)</f>
        <v>1.54</v>
      </c>
      <c r="M135" s="7"/>
      <c r="N135" s="98" t="str">
        <f>IF(L135&gt;O135,"   &gt;   ","   &lt;   ")</f>
        <v>   &gt;   </v>
      </c>
      <c r="O135" s="7">
        <f>IF(data!B26=1,1.2,1.5)</f>
        <v>1.5</v>
      </c>
      <c r="P135" s="7" t="str">
        <f>IF(L135&gt;O135," ( safe ) "," ( out ) ")</f>
        <v> ( safe ) </v>
      </c>
    </row>
    <row r="136" ht="18" customHeight="1">
      <c r="O136" s="25"/>
    </row>
    <row r="137" spans="1:15" s="25" customFormat="1" ht="18" customHeight="1">
      <c r="A137" s="83" t="s">
        <v>139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O137" s="7"/>
    </row>
    <row r="138" spans="2:16" ht="18" customHeight="1">
      <c r="B138" s="105" t="s">
        <v>209</v>
      </c>
      <c r="C138" s="14" t="str">
        <f>"ΣV×μ/ΣH="&amp;C127&amp;"×"&amp;μ&amp;"/"&amp;D127&amp;"="&amp;L138&amp;N138&amp;O138&amp;P138</f>
        <v>ΣV×μ/ΣH=21.508×0.6/5.564=2.32   &gt;   1.5 ( safe ) </v>
      </c>
      <c r="D138" s="34"/>
      <c r="E138" s="34"/>
      <c r="F138" s="71"/>
      <c r="G138" s="12"/>
      <c r="H138" s="14"/>
      <c r="K138" s="7" t="s">
        <v>207</v>
      </c>
      <c r="L138" s="7">
        <f>ROUND(C127/D127*μ,2)</f>
        <v>2.32</v>
      </c>
      <c r="N138" s="98" t="str">
        <f>IF(L138&gt;O138,"   &gt;   ","   &lt;   ")</f>
        <v>   &gt;   </v>
      </c>
      <c r="O138" s="7">
        <f>IF(data!B26=1,1.2,1.5)</f>
        <v>1.5</v>
      </c>
      <c r="P138" s="7" t="str">
        <f>IF(L138&gt;O138," ( safe ) "," ( out ) ")</f>
        <v> ( safe ) </v>
      </c>
    </row>
    <row r="139" spans="1:14" s="25" customFormat="1" ht="18" customHeight="1">
      <c r="A139" s="7"/>
      <c r="B139" s="143"/>
      <c r="C139" s="144"/>
      <c r="D139" s="14"/>
      <c r="E139" s="14"/>
      <c r="F139" s="6"/>
      <c r="G139" s="14"/>
      <c r="H139" s="14"/>
      <c r="I139" s="7"/>
      <c r="J139" s="7"/>
      <c r="K139" s="7"/>
      <c r="L139" s="7"/>
      <c r="M139" s="7"/>
      <c r="N139" s="7"/>
    </row>
    <row r="140" spans="1:15" ht="18" customHeight="1">
      <c r="A140" s="83" t="s">
        <v>140</v>
      </c>
      <c r="B140" s="28"/>
      <c r="C140" s="145"/>
      <c r="D140" s="34"/>
      <c r="E140" s="34"/>
      <c r="F140" s="143"/>
      <c r="G140" s="12"/>
      <c r="H140" s="14"/>
      <c r="O140" s="25"/>
    </row>
    <row r="141" spans="2:14" ht="18" customHeight="1">
      <c r="B141" s="28"/>
      <c r="C141" s="146"/>
      <c r="D141" s="34"/>
      <c r="E141" s="34"/>
      <c r="F141" s="143"/>
      <c r="G141" s="13"/>
      <c r="H141" s="14"/>
      <c r="N141" s="25"/>
    </row>
    <row r="142" spans="2:8" ht="18" customHeight="1">
      <c r="B142" s="14"/>
      <c r="C142" s="14"/>
      <c r="D142" s="14"/>
      <c r="E142" s="14"/>
      <c r="F142" s="14"/>
      <c r="G142" s="14"/>
      <c r="H142" s="14"/>
    </row>
    <row r="143" spans="2:41" ht="18" customHeight="1">
      <c r="B143" s="14"/>
      <c r="C143" s="14"/>
      <c r="D143" s="45"/>
      <c r="E143" s="21"/>
      <c r="F143" s="18"/>
      <c r="G143" s="14"/>
      <c r="H143" s="14"/>
      <c r="N143" s="25"/>
      <c r="AD143" s="11"/>
      <c r="AE143" s="67"/>
      <c r="AF143" s="67"/>
      <c r="AG143" s="68"/>
      <c r="AH143" s="67"/>
      <c r="AI143" s="1"/>
      <c r="AJ143" s="1"/>
      <c r="AK143" s="1"/>
      <c r="AL143" s="1"/>
      <c r="AM143" s="1"/>
      <c r="AN143" s="1"/>
      <c r="AO143" s="1"/>
    </row>
    <row r="144" spans="2:34" ht="18" customHeight="1">
      <c r="B144" s="14"/>
      <c r="C144" s="14"/>
      <c r="D144" s="14"/>
      <c r="E144" s="14"/>
      <c r="F144" s="14"/>
      <c r="G144" s="14"/>
      <c r="H144" s="14"/>
      <c r="AD144" s="14"/>
      <c r="AE144" s="14"/>
      <c r="AF144" s="14"/>
      <c r="AG144" s="14"/>
      <c r="AH144" s="14"/>
    </row>
    <row r="145" spans="1:34" ht="18" customHeight="1">
      <c r="A145" s="14"/>
      <c r="B145" s="14"/>
      <c r="C145" s="14"/>
      <c r="D145" s="14"/>
      <c r="E145" s="14"/>
      <c r="F145" s="14"/>
      <c r="G145" s="14"/>
      <c r="H145" s="14"/>
      <c r="N145" s="25"/>
      <c r="AD145" s="14"/>
      <c r="AE145" s="14"/>
      <c r="AF145" s="14"/>
      <c r="AG145" s="14"/>
      <c r="AH145" s="14"/>
    </row>
    <row r="146" spans="2:34" ht="18" customHeight="1">
      <c r="B146" s="147"/>
      <c r="C146" s="61"/>
      <c r="D146" s="61"/>
      <c r="E146" s="61"/>
      <c r="F146" s="61"/>
      <c r="G146" s="34"/>
      <c r="H146" s="69"/>
      <c r="I146" s="14"/>
      <c r="J146" s="14"/>
      <c r="K146" s="14"/>
      <c r="N146" s="25"/>
      <c r="AD146" s="14"/>
      <c r="AE146" s="14"/>
      <c r="AF146" s="14"/>
      <c r="AG146" s="14"/>
      <c r="AH146" s="14"/>
    </row>
    <row r="147" spans="2:34" ht="18" customHeight="1">
      <c r="B147" s="11"/>
      <c r="C147" s="11"/>
      <c r="D147" s="27"/>
      <c r="E147" s="27"/>
      <c r="F147" s="27"/>
      <c r="G147" s="14"/>
      <c r="H147" s="14"/>
      <c r="I147" s="61"/>
      <c r="J147" s="61"/>
      <c r="K147" s="61"/>
      <c r="L147" s="25"/>
      <c r="M147" s="25"/>
      <c r="AD147" s="14"/>
      <c r="AE147" s="14"/>
      <c r="AF147" s="14"/>
      <c r="AG147" s="14"/>
      <c r="AH147" s="14"/>
    </row>
    <row r="148" spans="2:41" ht="18" customHeight="1">
      <c r="B148" s="11"/>
      <c r="C148" s="11"/>
      <c r="D148" s="27"/>
      <c r="E148" s="27"/>
      <c r="F148" s="27"/>
      <c r="G148" s="14"/>
      <c r="H148" s="14"/>
      <c r="I148" s="61"/>
      <c r="J148" s="61"/>
      <c r="K148" s="61"/>
      <c r="L148" s="105" t="s">
        <v>141</v>
      </c>
      <c r="M148" s="25">
        <f>ROUND(IF(L134&gt;=3,C127/B*(1+6*L131/B),2*C127/(3*L129)),2)</f>
        <v>95.59</v>
      </c>
      <c r="AD148" s="14"/>
      <c r="AE148" s="14"/>
      <c r="AF148" s="14"/>
      <c r="AG148" s="14"/>
      <c r="AH148" s="14"/>
      <c r="AJ148" s="14"/>
      <c r="AK148" s="14"/>
      <c r="AL148" s="14"/>
      <c r="AM148" s="14"/>
      <c r="AN148" s="14"/>
      <c r="AO148" s="14"/>
    </row>
    <row r="149" spans="1:41" ht="18" customHeight="1">
      <c r="A149" s="25"/>
      <c r="B149" s="142" t="s">
        <v>144</v>
      </c>
      <c r="C149" s="25" t="str">
        <f>IF(L134&gt;=3,C127&amp;"/"&amp;B&amp;"×(1+6×"&amp;L131&amp;"/"&amp;B&amp;")","2×"&amp;C127&amp;"/(3×"&amp;L129&amp;")")&amp;"="&amp;M148&amp;" kN/m2"</f>
        <v>2×21.508/(3×0.15)=95.59 kN/m2</v>
      </c>
      <c r="D149" s="70"/>
      <c r="E149" s="70"/>
      <c r="F149" s="70"/>
      <c r="G149" s="34"/>
      <c r="H149" s="34"/>
      <c r="I149" s="34"/>
      <c r="J149" s="34"/>
      <c r="K149" s="34"/>
      <c r="L149" s="105" t="s">
        <v>142</v>
      </c>
      <c r="M149" s="25">
        <f>ROUND(IF(L134&gt;=3,C127/B*(1-6*L131/B),0),2)</f>
        <v>0</v>
      </c>
      <c r="N149" s="7">
        <f>MAX(M148:M149)</f>
        <v>95.59</v>
      </c>
      <c r="AD149" s="14"/>
      <c r="AE149" s="14"/>
      <c r="AF149" s="14"/>
      <c r="AG149" s="14"/>
      <c r="AH149" s="14"/>
      <c r="AJ149" s="14"/>
      <c r="AK149" s="14"/>
      <c r="AL149" s="14"/>
      <c r="AM149" s="14"/>
      <c r="AN149" s="14"/>
      <c r="AO149" s="14"/>
    </row>
    <row r="150" spans="1:41" ht="18" customHeight="1">
      <c r="A150" s="25"/>
      <c r="B150" s="142" t="s">
        <v>143</v>
      </c>
      <c r="C150" s="25" t="str">
        <f>IF(L134&gt;=3,C127&amp;"/"&amp;B&amp;"×(1-6×"&amp;L131&amp;"/"&amp;B&amp;")","0")&amp;"="&amp;M149&amp;" kN/m2"</f>
        <v>0=0 kN/m2</v>
      </c>
      <c r="D150" s="70"/>
      <c r="E150" s="70"/>
      <c r="F150" s="70"/>
      <c r="G150" s="34"/>
      <c r="H150" s="34"/>
      <c r="I150" s="34"/>
      <c r="J150" s="34"/>
      <c r="K150" s="34"/>
      <c r="L150" s="14"/>
      <c r="M150" s="14"/>
      <c r="AD150" s="14"/>
      <c r="AE150" s="14"/>
      <c r="AF150" s="14"/>
      <c r="AG150" s="14"/>
      <c r="AH150" s="14"/>
      <c r="AJ150" s="14"/>
      <c r="AK150" s="14"/>
      <c r="AL150" s="14"/>
      <c r="AM150" s="14"/>
      <c r="AN150" s="14"/>
      <c r="AO150" s="14"/>
    </row>
    <row r="151" spans="1:41" ht="18" customHeight="1">
      <c r="A151" s="9"/>
      <c r="B151" s="27"/>
      <c r="C151" s="27"/>
      <c r="D151" s="27"/>
      <c r="E151" s="26"/>
      <c r="F151" s="26"/>
      <c r="G151" s="26"/>
      <c r="H151" s="26"/>
      <c r="L151" s="14"/>
      <c r="M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ht="18" customHeight="1">
      <c r="A152" s="9"/>
      <c r="B152" s="27"/>
      <c r="C152" s="27"/>
      <c r="D152" s="27"/>
      <c r="E152" s="26"/>
      <c r="F152" s="26"/>
      <c r="G152" s="26"/>
      <c r="H152" s="26"/>
      <c r="L152" s="14"/>
      <c r="M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22" ht="18" customHeight="1">
      <c r="A153" s="7">
        <f>IF(data!$B$26=1,'計算'!K153,"")</f>
      </c>
      <c r="K153" s="82" t="s">
        <v>146</v>
      </c>
      <c r="L153" s="27"/>
      <c r="M153" s="27"/>
      <c r="N153" s="27"/>
      <c r="O153" s="26"/>
      <c r="P153" s="26"/>
      <c r="Q153" s="26"/>
      <c r="R153" s="26"/>
      <c r="V153" s="14"/>
    </row>
    <row r="154" spans="11:22" ht="18" customHeight="1">
      <c r="K154" s="9"/>
      <c r="L154" s="27"/>
      <c r="M154" s="27"/>
      <c r="N154" s="27"/>
      <c r="O154" s="26"/>
      <c r="P154" s="26"/>
      <c r="Q154" s="26"/>
      <c r="R154" s="26"/>
      <c r="V154" s="14"/>
    </row>
    <row r="155" spans="1:44" ht="18" customHeight="1">
      <c r="A155" s="7">
        <f>IF(data!$B$26=1,L155,"")</f>
      </c>
      <c r="K155" s="9"/>
      <c r="L155" s="158" t="s">
        <v>148</v>
      </c>
      <c r="M155" s="27"/>
      <c r="N155" s="27"/>
      <c r="O155" s="26"/>
      <c r="P155" s="26"/>
      <c r="Q155" s="26"/>
      <c r="R155" s="26"/>
      <c r="V155" s="14"/>
      <c r="AN155" s="14"/>
      <c r="AO155" s="14"/>
      <c r="AP155" s="14"/>
      <c r="AQ155" s="14"/>
      <c r="AR155" s="14"/>
    </row>
    <row r="156" spans="1:44" ht="18" customHeight="1">
      <c r="A156" s="7">
        <f>IF(data!$B$26=1,L156,"")</f>
      </c>
      <c r="K156" s="9"/>
      <c r="L156" s="158" t="s">
        <v>149</v>
      </c>
      <c r="M156" s="27"/>
      <c r="N156" s="27"/>
      <c r="O156" s="26"/>
      <c r="P156" s="26"/>
      <c r="Q156" s="26"/>
      <c r="R156" s="26"/>
      <c r="V156" s="14"/>
      <c r="AN156" s="14"/>
      <c r="AO156" s="14"/>
      <c r="AP156" s="13"/>
      <c r="AQ156" s="14"/>
      <c r="AR156" s="14"/>
    </row>
    <row r="157" spans="11:44" ht="18" customHeight="1">
      <c r="K157" s="9"/>
      <c r="L157" s="27"/>
      <c r="M157" s="27"/>
      <c r="N157" s="27"/>
      <c r="O157" s="26"/>
      <c r="P157" s="26"/>
      <c r="Q157" s="26"/>
      <c r="R157" s="26"/>
      <c r="V157" s="14"/>
      <c r="AN157" s="14"/>
      <c r="AO157" s="14"/>
      <c r="AP157" s="13"/>
      <c r="AQ157" s="14"/>
      <c r="AR157" s="14"/>
    </row>
    <row r="158" spans="1:44" ht="18" customHeight="1">
      <c r="A158" s="7">
        <f>IF(data!$B$26=1,L158,"")</f>
      </c>
      <c r="K158" s="9"/>
      <c r="L158" s="158" t="s">
        <v>150</v>
      </c>
      <c r="M158" s="27"/>
      <c r="N158" s="27"/>
      <c r="O158" s="26"/>
      <c r="P158" s="26"/>
      <c r="Q158" s="26"/>
      <c r="R158" s="26"/>
      <c r="AN158" s="14"/>
      <c r="AO158" s="14"/>
      <c r="AP158" s="14"/>
      <c r="AQ158" s="14"/>
      <c r="AR158" s="14"/>
    </row>
    <row r="159" spans="2:44" s="25" customFormat="1" ht="18" customHeight="1">
      <c r="B159" s="7">
        <f>IF(data!$B$26=1,M159,"")</f>
      </c>
      <c r="K159" s="9"/>
      <c r="L159" s="27"/>
      <c r="M159" s="159" t="str">
        <f>"Mp=P×hp="&amp;P&amp;"×"&amp;hp&amp;"="&amp;W159&amp;" kNm"</f>
        <v>Mp=P×hp=30×0.6=18 kNm</v>
      </c>
      <c r="N159" s="27"/>
      <c r="O159" s="26"/>
      <c r="P159" s="26"/>
      <c r="Q159" s="26"/>
      <c r="R159" s="26"/>
      <c r="S159" s="7"/>
      <c r="T159" s="7"/>
      <c r="U159" s="7"/>
      <c r="V159" s="105" t="s">
        <v>210</v>
      </c>
      <c r="W159" s="7">
        <f>P*hp</f>
        <v>18</v>
      </c>
      <c r="X159" s="7"/>
      <c r="Y159" s="7"/>
      <c r="AN159" s="34"/>
      <c r="AO159" s="34"/>
      <c r="AP159" s="34"/>
      <c r="AQ159" s="34"/>
      <c r="AR159" s="34"/>
    </row>
    <row r="160" spans="11:44" ht="18" customHeight="1">
      <c r="K160" s="9"/>
      <c r="L160" s="27"/>
      <c r="M160" s="27"/>
      <c r="N160" s="27"/>
      <c r="O160" s="26"/>
      <c r="P160" s="26"/>
      <c r="Q160" s="26"/>
      <c r="R160" s="26"/>
      <c r="Y160" s="25"/>
      <c r="AN160" s="14"/>
      <c r="AO160" s="14"/>
      <c r="AP160" s="14"/>
      <c r="AQ160" s="14"/>
      <c r="AR160" s="14"/>
    </row>
    <row r="161" spans="1:44" ht="18" customHeight="1">
      <c r="A161" s="7">
        <f>IF(data!$B$26=1,L161,"")</f>
      </c>
      <c r="K161" s="9"/>
      <c r="L161" s="158" t="s">
        <v>151</v>
      </c>
      <c r="M161" s="27"/>
      <c r="N161" s="27"/>
      <c r="O161" s="26"/>
      <c r="P161" s="26"/>
      <c r="Q161" s="26"/>
      <c r="R161" s="26"/>
      <c r="AN161" s="14"/>
      <c r="AO161" s="14"/>
      <c r="AP161" s="14"/>
      <c r="AQ161" s="14"/>
      <c r="AR161" s="14"/>
    </row>
    <row r="162" spans="2:44" ht="18" customHeight="1">
      <c r="B162" s="7">
        <f>IF(data!$B$26=1,M162,"")</f>
      </c>
      <c r="K162" s="9"/>
      <c r="L162" s="163"/>
      <c r="M162" s="159" t="str">
        <f>"σt=6Mp/(1.0×bu^2)=6×"&amp;W159&amp;"/(1.0×"&amp;bu&amp;"^2)="&amp;W162&amp;" kN/m2"</f>
        <v>σt=6Mp/(1.0×bu^2)=6×18/(1.0×0.85^2)=149 kN/m2</v>
      </c>
      <c r="N162" s="27"/>
      <c r="O162" s="26"/>
      <c r="P162" s="26"/>
      <c r="Q162" s="26"/>
      <c r="R162" s="26"/>
      <c r="W162" s="158">
        <f>ROUND(6*W159/(1*bu^2),0)</f>
        <v>149</v>
      </c>
      <c r="AN162" s="14"/>
      <c r="AO162" s="14"/>
      <c r="AP162" s="14"/>
      <c r="AQ162" s="14"/>
      <c r="AR162" s="14"/>
    </row>
    <row r="163" spans="2:44" ht="18" customHeight="1">
      <c r="B163" s="7">
        <f>IF(data!$B$26=1,M163,"")</f>
      </c>
      <c r="K163" s="9"/>
      <c r="L163" s="164"/>
      <c r="M163" s="27" t="str">
        <f>"="&amp;W163&amp;" N/mm2"&amp;O163&amp;P163&amp;Q163&amp;R163&amp;S163</f>
        <v>=0.149 N/mm2&lt;σta=0.34kN/mm2( safe ) </v>
      </c>
      <c r="N163" s="27"/>
      <c r="O163" s="166" t="str">
        <f>IF(W163&lt;=Q163,"&lt;","&gt;")</f>
        <v>&lt;</v>
      </c>
      <c r="P163" s="165" t="s">
        <v>158</v>
      </c>
      <c r="Q163" s="33">
        <f>ROUND(σck/80*1.5,2)</f>
        <v>0.34</v>
      </c>
      <c r="R163" s="26" t="s">
        <v>159</v>
      </c>
      <c r="S163" s="166" t="str">
        <f>IF(W163&lt;=Q163,"( safe ) "," ( out ) ")</f>
        <v>( safe ) </v>
      </c>
      <c r="T163" s="166"/>
      <c r="U163" s="166"/>
      <c r="W163" s="7">
        <f>W162/1000</f>
        <v>0.149</v>
      </c>
      <c r="AN163" s="14"/>
      <c r="AO163" s="14"/>
      <c r="AP163" s="14"/>
      <c r="AQ163" s="14"/>
      <c r="AR163" s="14"/>
    </row>
    <row r="164" spans="11:44" ht="18" customHeight="1">
      <c r="K164" s="9"/>
      <c r="L164" s="27"/>
      <c r="M164" s="27"/>
      <c r="N164" s="27"/>
      <c r="O164" s="26"/>
      <c r="P164" s="26"/>
      <c r="Q164" s="26"/>
      <c r="R164" s="26"/>
      <c r="AN164" s="14"/>
      <c r="AO164" s="14"/>
      <c r="AP164" s="14"/>
      <c r="AQ164" s="14"/>
      <c r="AR164" s="14"/>
    </row>
    <row r="165" spans="1:34" s="25" customFormat="1" ht="18" customHeight="1">
      <c r="A165" s="9"/>
      <c r="B165" s="27"/>
      <c r="C165" s="27"/>
      <c r="D165" s="27"/>
      <c r="E165" s="26"/>
      <c r="F165" s="26"/>
      <c r="G165" s="26"/>
      <c r="H165" s="26"/>
      <c r="I165" s="7"/>
      <c r="J165" s="7"/>
      <c r="K165" s="7"/>
      <c r="L165" s="7"/>
      <c r="M165" s="7"/>
      <c r="N165" s="7"/>
      <c r="O165" s="7"/>
      <c r="AD165" s="34"/>
      <c r="AE165" s="34"/>
      <c r="AF165" s="34"/>
      <c r="AG165" s="34"/>
      <c r="AH165" s="34"/>
    </row>
    <row r="166" spans="1:34" s="25" customFormat="1" ht="18" customHeight="1">
      <c r="A166" s="83"/>
      <c r="B166" s="27"/>
      <c r="C166" s="27"/>
      <c r="D166" s="27"/>
      <c r="E166" s="26"/>
      <c r="F166" s="26"/>
      <c r="G166" s="26"/>
      <c r="H166" s="26"/>
      <c r="I166" s="7"/>
      <c r="J166" s="7"/>
      <c r="K166" s="7"/>
      <c r="L166" s="7"/>
      <c r="M166" s="7"/>
      <c r="AD166" s="34"/>
      <c r="AE166" s="34"/>
      <c r="AF166" s="34"/>
      <c r="AG166" s="34"/>
      <c r="AH166" s="34"/>
    </row>
    <row r="167" spans="1:35" ht="18" customHeight="1">
      <c r="A167" s="8"/>
      <c r="B167" s="27"/>
      <c r="C167" s="27"/>
      <c r="D167" s="27"/>
      <c r="E167" s="13"/>
      <c r="F167" s="13"/>
      <c r="G167" s="13"/>
      <c r="H167" s="13"/>
      <c r="L167" s="25"/>
      <c r="O167" s="25"/>
      <c r="AD167" s="26"/>
      <c r="AI167" s="26"/>
    </row>
    <row r="168" spans="1:30" s="25" customFormat="1" ht="18" customHeight="1">
      <c r="A168" s="14"/>
      <c r="B168" s="120"/>
      <c r="C168" s="61"/>
      <c r="D168" s="61"/>
      <c r="E168" s="61"/>
      <c r="F168" s="61"/>
      <c r="G168" s="61"/>
      <c r="H168" s="61"/>
      <c r="L168" s="7"/>
      <c r="N168" s="7"/>
      <c r="O168" s="7"/>
      <c r="AD168" s="32"/>
    </row>
    <row r="169" spans="1:36" ht="18" customHeight="1">
      <c r="A169" s="34"/>
      <c r="B169" s="155"/>
      <c r="C169" s="79"/>
      <c r="D169" s="79"/>
      <c r="E169" s="39"/>
      <c r="F169" s="39"/>
      <c r="G169" s="79"/>
      <c r="H169" s="79"/>
      <c r="M169" s="25"/>
      <c r="O169" s="25"/>
      <c r="AD169" s="26"/>
      <c r="AJ169" s="26"/>
    </row>
    <row r="170" spans="1:36" ht="18" customHeight="1">
      <c r="A170" s="14"/>
      <c r="B170" s="155"/>
      <c r="C170" s="79"/>
      <c r="D170" s="79"/>
      <c r="E170" s="39"/>
      <c r="F170" s="39"/>
      <c r="G170" s="79"/>
      <c r="H170" s="79"/>
      <c r="L170" s="9"/>
      <c r="AJ170" s="26"/>
    </row>
    <row r="171" spans="1:39" s="25" customFormat="1" ht="18" customHeight="1">
      <c r="A171" s="14"/>
      <c r="B171" s="120"/>
      <c r="C171" s="11"/>
      <c r="D171" s="79"/>
      <c r="E171" s="11"/>
      <c r="F171" s="11"/>
      <c r="G171" s="11"/>
      <c r="H171" s="79"/>
      <c r="I171" s="7"/>
      <c r="J171" s="7"/>
      <c r="K171" s="7"/>
      <c r="L171" s="9"/>
      <c r="N171" s="7"/>
      <c r="O171" s="7"/>
      <c r="AD171" s="32"/>
      <c r="AK171" s="32"/>
      <c r="AL171" s="32"/>
      <c r="AM171" s="32"/>
    </row>
    <row r="172" spans="1:15" ht="18" customHeight="1">
      <c r="A172" s="14"/>
      <c r="B172" s="120"/>
      <c r="C172" s="79"/>
      <c r="D172" s="79"/>
      <c r="E172" s="11"/>
      <c r="F172" s="11"/>
      <c r="G172" s="79"/>
      <c r="H172" s="79"/>
      <c r="L172" s="9"/>
      <c r="N172" s="25"/>
      <c r="O172" s="25"/>
    </row>
    <row r="173" spans="1:24" ht="18" customHeight="1">
      <c r="A173" s="14"/>
      <c r="B173" s="14"/>
      <c r="C173" s="14"/>
      <c r="D173" s="14"/>
      <c r="E173" s="14"/>
      <c r="F173" s="14"/>
      <c r="G173" s="14"/>
      <c r="H173" s="14"/>
      <c r="L173" s="30"/>
      <c r="N173" s="25"/>
      <c r="P173" s="34"/>
      <c r="Q173" s="34"/>
      <c r="R173" s="34"/>
      <c r="S173" s="34"/>
      <c r="T173" s="34"/>
      <c r="U173" s="34"/>
      <c r="V173" s="24"/>
      <c r="W173" s="14"/>
      <c r="X173" s="14"/>
    </row>
    <row r="174" spans="1:24" s="25" customFormat="1" ht="18" customHeight="1">
      <c r="A174" s="7"/>
      <c r="B174" s="7"/>
      <c r="C174" s="1"/>
      <c r="D174" s="7"/>
      <c r="E174" s="16"/>
      <c r="F174" s="37"/>
      <c r="L174" s="30"/>
      <c r="N174" s="7"/>
      <c r="O174" s="34"/>
      <c r="P174" s="34"/>
      <c r="Q174" s="34"/>
      <c r="R174" s="34"/>
      <c r="S174" s="34"/>
      <c r="T174" s="34"/>
      <c r="U174" s="34"/>
      <c r="V174" s="35"/>
      <c r="W174" s="34"/>
      <c r="X174" s="34"/>
    </row>
    <row r="175" spans="19:31" s="25" customFormat="1" ht="18" customHeight="1">
      <c r="S175" s="7"/>
      <c r="T175" s="7"/>
      <c r="V175" s="91"/>
      <c r="W175" s="34"/>
      <c r="X175" s="34"/>
      <c r="Y175" s="34"/>
      <c r="Z175" s="34"/>
      <c r="AA175" s="34"/>
      <c r="AB175" s="34"/>
      <c r="AC175" s="34"/>
      <c r="AD175" s="34"/>
      <c r="AE175" s="34"/>
    </row>
    <row r="176" spans="1:31" ht="18" customHeight="1">
      <c r="A176" s="25"/>
      <c r="B176" s="25"/>
      <c r="C176" s="25"/>
      <c r="D176" s="25"/>
      <c r="E176" s="31"/>
      <c r="F176" s="33"/>
      <c r="S176" s="30"/>
      <c r="T176" s="25"/>
      <c r="V176" s="90"/>
      <c r="W176" s="12"/>
      <c r="X176" s="12"/>
      <c r="Y176" s="14"/>
      <c r="Z176" s="13"/>
      <c r="AA176" s="14"/>
      <c r="AB176" s="14"/>
      <c r="AC176" s="24"/>
      <c r="AD176" s="14"/>
      <c r="AE176" s="14"/>
    </row>
    <row r="177" spans="3:31" ht="18" customHeight="1">
      <c r="C177" s="1"/>
      <c r="E177" s="16"/>
      <c r="F177" s="37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9"/>
      <c r="T177" s="25"/>
      <c r="V177" s="27"/>
      <c r="W177" s="88"/>
      <c r="X177" s="88"/>
      <c r="Y177" s="34"/>
      <c r="Z177" s="35"/>
      <c r="AA177" s="34"/>
      <c r="AB177" s="34"/>
      <c r="AC177" s="24"/>
      <c r="AD177" s="14"/>
      <c r="AE177" s="14"/>
    </row>
    <row r="178" spans="1:31" ht="18" customHeight="1">
      <c r="A178" s="25"/>
      <c r="B178" s="25"/>
      <c r="C178" s="25"/>
      <c r="D178" s="25"/>
      <c r="E178" s="31"/>
      <c r="F178" s="33"/>
      <c r="S178" s="9"/>
      <c r="U178" s="25"/>
      <c r="V178" s="70"/>
      <c r="W178" s="88"/>
      <c r="X178" s="88"/>
      <c r="Y178" s="34"/>
      <c r="Z178" s="35"/>
      <c r="AA178" s="34"/>
      <c r="AB178" s="34"/>
      <c r="AC178" s="24"/>
      <c r="AD178" s="14"/>
      <c r="AE178" s="14"/>
    </row>
    <row r="179" spans="3:31" ht="18" customHeight="1">
      <c r="C179" s="3"/>
      <c r="D179" s="23"/>
      <c r="E179" s="29"/>
      <c r="F179" s="25"/>
      <c r="G179" s="38"/>
      <c r="H179" s="92"/>
      <c r="S179" s="25"/>
      <c r="V179" s="70"/>
      <c r="W179" s="88"/>
      <c r="X179" s="88"/>
      <c r="Y179" s="34"/>
      <c r="Z179" s="35"/>
      <c r="AA179" s="34"/>
      <c r="AB179" s="34"/>
      <c r="AC179" s="24"/>
      <c r="AD179" s="14"/>
      <c r="AE179" s="14"/>
    </row>
    <row r="180" spans="4:31" ht="18" customHeight="1">
      <c r="D180" s="23"/>
      <c r="E180" s="29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T180" s="25"/>
      <c r="U180" s="25"/>
      <c r="V180" s="70"/>
      <c r="W180" s="88"/>
      <c r="X180" s="88"/>
      <c r="Y180" s="34"/>
      <c r="Z180" s="35"/>
      <c r="AA180" s="34"/>
      <c r="AB180" s="34"/>
      <c r="AC180" s="24"/>
      <c r="AD180" s="14"/>
      <c r="AE180" s="14"/>
    </row>
    <row r="181" spans="1:31" ht="18" customHeight="1">
      <c r="A181" s="25"/>
      <c r="B181" s="25"/>
      <c r="C181" s="25"/>
      <c r="D181" s="25"/>
      <c r="E181" s="31"/>
      <c r="F181" s="33"/>
      <c r="S181" s="25"/>
      <c r="T181" s="25"/>
      <c r="U181" s="25"/>
      <c r="V181" s="70"/>
      <c r="W181" s="88"/>
      <c r="X181" s="88"/>
      <c r="Y181" s="34"/>
      <c r="Z181" s="35"/>
      <c r="AA181" s="34"/>
      <c r="AB181" s="34"/>
      <c r="AC181" s="24"/>
      <c r="AD181" s="14"/>
      <c r="AE181" s="14"/>
    </row>
    <row r="182" spans="5:31" ht="18" customHeight="1">
      <c r="E182" s="16"/>
      <c r="F182" s="37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V182" s="70"/>
      <c r="W182" s="88"/>
      <c r="X182" s="88"/>
      <c r="Y182" s="34"/>
      <c r="Z182" s="35"/>
      <c r="AA182" s="34"/>
      <c r="AB182" s="34"/>
      <c r="AC182" s="24"/>
      <c r="AD182" s="14"/>
      <c r="AE182" s="14"/>
    </row>
    <row r="183" spans="5:31" ht="18" customHeight="1">
      <c r="E183" s="16"/>
      <c r="F183" s="37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T183" s="25"/>
      <c r="V183" s="70"/>
      <c r="W183" s="88"/>
      <c r="X183" s="88"/>
      <c r="Y183" s="34"/>
      <c r="Z183" s="35"/>
      <c r="AA183" s="34"/>
      <c r="AB183" s="34"/>
      <c r="AC183" s="24"/>
      <c r="AD183" s="14"/>
      <c r="AE183" s="14"/>
    </row>
    <row r="184" spans="1:31" ht="18" customHeight="1">
      <c r="A184" s="25"/>
      <c r="B184" s="25"/>
      <c r="C184" s="25"/>
      <c r="D184" s="25"/>
      <c r="E184" s="31"/>
      <c r="F184" s="33"/>
      <c r="T184" s="25"/>
      <c r="U184" s="25"/>
      <c r="V184" s="70"/>
      <c r="W184" s="88"/>
      <c r="X184" s="88"/>
      <c r="Y184" s="34"/>
      <c r="Z184" s="35"/>
      <c r="AA184" s="34"/>
      <c r="AB184" s="34"/>
      <c r="AC184" s="24"/>
      <c r="AD184" s="14"/>
      <c r="AE184" s="14"/>
    </row>
    <row r="185" spans="1:31" ht="18" customHeight="1">
      <c r="A185" s="25"/>
      <c r="B185" s="25"/>
      <c r="C185" s="25"/>
      <c r="D185" s="25"/>
      <c r="E185" s="31"/>
      <c r="F185" s="33"/>
      <c r="S185" s="25"/>
      <c r="T185" s="25"/>
      <c r="U185" s="25"/>
      <c r="V185" s="70"/>
      <c r="W185" s="88"/>
      <c r="X185" s="88"/>
      <c r="Y185" s="34"/>
      <c r="Z185" s="35"/>
      <c r="AA185" s="34"/>
      <c r="AB185" s="34"/>
      <c r="AC185" s="24"/>
      <c r="AD185" s="14"/>
      <c r="AE185" s="14"/>
    </row>
    <row r="186" spans="5:37" ht="18" customHeight="1">
      <c r="E186" s="16"/>
      <c r="F186" s="37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70"/>
      <c r="W186" s="88"/>
      <c r="X186" s="88"/>
      <c r="Y186" s="34"/>
      <c r="Z186" s="35"/>
      <c r="AA186" s="34"/>
      <c r="AB186" s="34"/>
      <c r="AC186" s="24"/>
      <c r="AD186" s="14"/>
      <c r="AE186" s="14"/>
      <c r="AK186" s="26"/>
    </row>
    <row r="187" spans="5:31" ht="18" customHeight="1">
      <c r="E187" s="16"/>
      <c r="F187" s="37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70"/>
      <c r="W187" s="88"/>
      <c r="X187" s="88"/>
      <c r="Y187" s="34"/>
      <c r="Z187" s="35"/>
      <c r="AA187" s="34"/>
      <c r="AB187" s="34"/>
      <c r="AC187" s="24"/>
      <c r="AD187" s="14"/>
      <c r="AE187" s="14"/>
    </row>
    <row r="188" spans="5:31" ht="18" customHeight="1">
      <c r="E188" s="16"/>
      <c r="F188" s="37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70"/>
      <c r="W188" s="88"/>
      <c r="X188" s="88"/>
      <c r="Y188" s="34"/>
      <c r="Z188" s="35"/>
      <c r="AA188" s="34"/>
      <c r="AB188" s="34"/>
      <c r="AC188" s="24"/>
      <c r="AD188" s="14"/>
      <c r="AE188" s="14"/>
    </row>
    <row r="189" spans="5:31" ht="18" customHeight="1">
      <c r="E189" s="16"/>
      <c r="F189" s="37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70"/>
      <c r="W189" s="88"/>
      <c r="X189" s="88"/>
      <c r="Y189" s="34"/>
      <c r="Z189" s="35"/>
      <c r="AA189" s="34"/>
      <c r="AB189" s="34"/>
      <c r="AC189" s="24"/>
      <c r="AD189" s="14"/>
      <c r="AE189" s="14"/>
    </row>
    <row r="190" spans="5:31" ht="18" customHeight="1">
      <c r="E190" s="16"/>
      <c r="F190" s="37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70"/>
      <c r="W190" s="12"/>
      <c r="X190" s="12"/>
      <c r="Y190" s="14"/>
      <c r="Z190" s="13"/>
      <c r="AA190" s="14"/>
      <c r="AB190" s="14"/>
      <c r="AC190" s="24"/>
      <c r="AD190" s="14"/>
      <c r="AE190" s="14"/>
    </row>
    <row r="191" spans="5:31" ht="18" customHeight="1">
      <c r="E191" s="16"/>
      <c r="F191" s="37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7"/>
      <c r="W191" s="12"/>
      <c r="X191" s="12"/>
      <c r="Y191" s="14"/>
      <c r="Z191" s="13"/>
      <c r="AA191" s="14"/>
      <c r="AB191" s="14"/>
      <c r="AC191" s="24"/>
      <c r="AD191" s="14"/>
      <c r="AE191" s="14"/>
    </row>
    <row r="192" spans="5:31" ht="18" customHeight="1">
      <c r="E192" s="16"/>
      <c r="F192" s="37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7"/>
      <c r="W192" s="88"/>
      <c r="X192" s="88"/>
      <c r="Y192" s="34"/>
      <c r="Z192" s="35"/>
      <c r="AA192" s="34"/>
      <c r="AB192" s="34"/>
      <c r="AC192" s="24"/>
      <c r="AD192" s="14"/>
      <c r="AE192" s="14"/>
    </row>
    <row r="193" spans="5:31" ht="18" customHeight="1">
      <c r="E193" s="16"/>
      <c r="F193" s="37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U193" s="25"/>
      <c r="V193" s="70"/>
      <c r="W193" s="12"/>
      <c r="X193" s="12"/>
      <c r="Y193" s="14"/>
      <c r="Z193" s="13"/>
      <c r="AA193" s="14"/>
      <c r="AB193" s="14"/>
      <c r="AC193" s="24"/>
      <c r="AD193" s="14"/>
      <c r="AE193" s="14"/>
    </row>
    <row r="194" spans="5:31" ht="18" customHeight="1">
      <c r="E194" s="16"/>
      <c r="F194" s="37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U194" s="25"/>
      <c r="V194" s="27"/>
      <c r="W194" s="12"/>
      <c r="X194" s="12"/>
      <c r="Y194" s="14"/>
      <c r="Z194" s="13"/>
      <c r="AA194" s="14"/>
      <c r="AB194" s="14"/>
      <c r="AC194" s="24"/>
      <c r="AD194" s="14"/>
      <c r="AE194" s="14"/>
    </row>
    <row r="195" spans="1:31" ht="18" customHeight="1">
      <c r="A195" s="93"/>
      <c r="B195" s="66"/>
      <c r="C195" s="23"/>
      <c r="D195" s="29"/>
      <c r="E195" s="25"/>
      <c r="F195" s="25"/>
      <c r="G195" s="36"/>
      <c r="H195" s="36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5"/>
      <c r="T195" s="25"/>
      <c r="U195" s="25"/>
      <c r="V195" s="27"/>
      <c r="W195" s="12"/>
      <c r="X195" s="12"/>
      <c r="Y195" s="14"/>
      <c r="Z195" s="13"/>
      <c r="AA195" s="14"/>
      <c r="AB195" s="14"/>
      <c r="AC195" s="24"/>
      <c r="AD195" s="14"/>
      <c r="AE195" s="14"/>
    </row>
    <row r="196" spans="1:31" ht="18" customHeight="1">
      <c r="A196" s="1"/>
      <c r="C196" s="23"/>
      <c r="D196" s="29"/>
      <c r="E196" s="25"/>
      <c r="F196" s="25"/>
      <c r="G196" s="36"/>
      <c r="H196" s="36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5"/>
      <c r="U196" s="25"/>
      <c r="V196" s="27"/>
      <c r="W196" s="12"/>
      <c r="X196" s="12"/>
      <c r="Y196" s="14"/>
      <c r="Z196" s="13"/>
      <c r="AA196" s="14"/>
      <c r="AB196" s="14"/>
      <c r="AC196" s="24"/>
      <c r="AD196" s="14"/>
      <c r="AE196" s="14"/>
    </row>
    <row r="197" spans="2:31" ht="18" customHeight="1">
      <c r="B197" s="1"/>
      <c r="C197" s="23"/>
      <c r="D197" s="94"/>
      <c r="E197" s="25"/>
      <c r="F197" s="1"/>
      <c r="G197" s="23"/>
      <c r="H197" s="36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5"/>
      <c r="V197" s="27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3:22" ht="18" customHeight="1">
      <c r="C198" s="66"/>
      <c r="D198" s="66"/>
      <c r="H198" s="23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V198" s="14"/>
    </row>
    <row r="199" spans="2:21" ht="18" customHeight="1">
      <c r="B199" s="1"/>
      <c r="D199" s="33"/>
      <c r="E199" s="98"/>
      <c r="F199" s="33"/>
      <c r="H199" s="98"/>
      <c r="U199" s="25"/>
    </row>
    <row r="200" spans="4:19" ht="18" customHeight="1">
      <c r="D200" s="33"/>
      <c r="E200" s="98"/>
      <c r="F200" s="33"/>
      <c r="H200" s="98"/>
      <c r="S200" s="25"/>
    </row>
    <row r="201" spans="1:18" ht="18" customHeight="1">
      <c r="A201" s="1"/>
      <c r="B201" s="23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2:4" ht="18" customHeight="1">
      <c r="B202" s="2"/>
      <c r="C202" s="2"/>
      <c r="D202" s="33"/>
    </row>
    <row r="203" spans="2:4" ht="18" customHeight="1">
      <c r="B203" s="2"/>
      <c r="C203" s="2"/>
      <c r="D203" s="33"/>
    </row>
    <row r="204" spans="1:22" s="25" customFormat="1" ht="18" customHeight="1">
      <c r="A204" s="7"/>
      <c r="B204" s="2"/>
      <c r="C204" s="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2:22" ht="18" customHeight="1">
      <c r="B205" s="2"/>
      <c r="C205" s="66"/>
      <c r="V205" s="25"/>
    </row>
    <row r="206" spans="1:22" s="25" customFormat="1" ht="18" customHeight="1">
      <c r="A206" s="7"/>
      <c r="B206" s="66"/>
      <c r="C206" s="28"/>
      <c r="D206" s="64"/>
      <c r="E206" s="34"/>
      <c r="F206" s="6"/>
      <c r="G206" s="46"/>
      <c r="H206" s="1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2:22" ht="18" customHeight="1">
      <c r="B207" s="66"/>
      <c r="C207" s="6"/>
      <c r="D207" s="46"/>
      <c r="E207" s="47"/>
      <c r="F207" s="28"/>
      <c r="G207" s="64"/>
      <c r="H207" s="19"/>
      <c r="T207" s="25"/>
      <c r="V207" s="25"/>
    </row>
    <row r="208" spans="1:22" s="25" customFormat="1" ht="18" customHeight="1">
      <c r="A208" s="7"/>
      <c r="B208" s="66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1" s="25" customFormat="1" ht="18" customHeight="1">
      <c r="A209" s="7"/>
      <c r="B209" s="66"/>
      <c r="C209" s="7"/>
      <c r="D209" s="66"/>
      <c r="E209" s="33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U209" s="7"/>
    </row>
    <row r="210" spans="2:22" ht="18" customHeight="1">
      <c r="B210" s="66"/>
      <c r="C210" s="66"/>
      <c r="V210" s="25"/>
    </row>
    <row r="211" spans="1:22" s="25" customFormat="1" ht="18" customHeight="1">
      <c r="A211" s="7"/>
      <c r="B211" s="66"/>
      <c r="C211" s="66"/>
      <c r="D211" s="7"/>
      <c r="E211" s="66"/>
      <c r="F211" s="26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V211" s="7"/>
    </row>
    <row r="212" spans="2:22" ht="18" customHeight="1">
      <c r="B212" s="66"/>
      <c r="C212" s="66"/>
      <c r="S212" s="25"/>
      <c r="T212" s="25"/>
      <c r="V212" s="34"/>
    </row>
    <row r="213" spans="1:22" s="25" customFormat="1" ht="18" customHeight="1">
      <c r="A213" s="7"/>
      <c r="B213" s="23"/>
      <c r="S213" s="14"/>
      <c r="T213" s="7"/>
      <c r="V213" s="14"/>
    </row>
    <row r="214" spans="1:22" ht="18" customHeight="1">
      <c r="A214" s="25"/>
      <c r="B214" s="1"/>
      <c r="F214" s="98"/>
      <c r="G214" s="33"/>
      <c r="H214" s="98"/>
      <c r="S214" s="91"/>
      <c r="T214" s="25"/>
      <c r="V214" s="34"/>
    </row>
    <row r="215" spans="3:22" ht="18" customHeight="1">
      <c r="C215" s="23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87"/>
      <c r="U215" s="25"/>
      <c r="V215" s="14"/>
    </row>
    <row r="216" spans="1:22" ht="18" customHeight="1">
      <c r="A216" s="1"/>
      <c r="B216" s="96"/>
      <c r="C216" s="23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70"/>
      <c r="U216" s="25"/>
      <c r="V216" s="14"/>
    </row>
    <row r="217" spans="2:22" ht="18" customHeight="1">
      <c r="B217" s="97"/>
      <c r="C217" s="23"/>
      <c r="D217" s="23"/>
      <c r="E217" s="29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V217" s="14"/>
    </row>
    <row r="218" spans="1:22" ht="18" customHeight="1">
      <c r="A218" s="25"/>
      <c r="B218" s="97"/>
      <c r="C218" s="23"/>
      <c r="D218" s="23"/>
      <c r="E218" s="89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U218" s="34"/>
      <c r="V218" s="14"/>
    </row>
    <row r="219" spans="1:22" ht="18" customHeight="1">
      <c r="A219" s="25"/>
      <c r="B219" s="25"/>
      <c r="C219" s="38"/>
      <c r="S219" s="25"/>
      <c r="U219" s="11"/>
      <c r="V219" s="14"/>
    </row>
    <row r="220" spans="2:22" ht="18" customHeight="1">
      <c r="B220" s="1"/>
      <c r="C220" s="23"/>
      <c r="D220" s="25"/>
      <c r="E220" s="25"/>
      <c r="F220" s="95"/>
      <c r="G220" s="37"/>
      <c r="H220" s="9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U220" s="90"/>
      <c r="V220" s="14"/>
    </row>
    <row r="221" spans="3:22" s="25" customFormat="1" ht="18" customHeight="1">
      <c r="C221" s="38"/>
      <c r="D221" s="7"/>
      <c r="E221" s="7"/>
      <c r="F221" s="98"/>
      <c r="G221" s="33"/>
      <c r="H221" s="7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7"/>
      <c r="T221" s="7"/>
      <c r="U221" s="27"/>
      <c r="V221" s="14"/>
    </row>
    <row r="222" spans="1:22" ht="18" customHeight="1">
      <c r="A222" s="14"/>
      <c r="B222" s="14"/>
      <c r="C222" s="14"/>
      <c r="D222" s="14"/>
      <c r="E222" s="14"/>
      <c r="F222" s="14"/>
      <c r="G222" s="14"/>
      <c r="H222" s="14"/>
      <c r="U222" s="27"/>
      <c r="V222" s="34"/>
    </row>
    <row r="223" spans="1:22" s="25" customFormat="1" ht="18" customHeight="1">
      <c r="A223" s="47"/>
      <c r="B223" s="14"/>
      <c r="C223" s="14"/>
      <c r="D223" s="14"/>
      <c r="E223" s="14"/>
      <c r="F223" s="14"/>
      <c r="G223" s="14"/>
      <c r="H223" s="1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27"/>
      <c r="T223" s="7"/>
      <c r="U223" s="27"/>
      <c r="V223" s="14"/>
    </row>
    <row r="224" spans="1:22" ht="18" customHeight="1">
      <c r="A224" s="14"/>
      <c r="B224" s="14"/>
      <c r="C224" s="14"/>
      <c r="D224" s="14"/>
      <c r="E224" s="14"/>
      <c r="F224" s="14"/>
      <c r="G224" s="14"/>
      <c r="S224" s="27"/>
      <c r="T224" s="25"/>
      <c r="U224" s="27"/>
      <c r="V224" s="34"/>
    </row>
    <row r="225" spans="1:22" s="25" customFormat="1" ht="18" customHeight="1">
      <c r="A225" s="14"/>
      <c r="B225" s="120"/>
      <c r="C225" s="120"/>
      <c r="D225" s="120"/>
      <c r="E225" s="120"/>
      <c r="F225" s="120"/>
      <c r="G225" s="120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27"/>
      <c r="T225" s="7"/>
      <c r="U225" s="27"/>
      <c r="V225" s="14"/>
    </row>
    <row r="226" spans="1:22" ht="18" customHeight="1">
      <c r="A226" s="14"/>
      <c r="B226" s="239"/>
      <c r="C226" s="155"/>
      <c r="D226" s="39"/>
      <c r="E226" s="11"/>
      <c r="F226" s="79"/>
      <c r="G226" s="11"/>
      <c r="S226" s="27"/>
      <c r="T226" s="25"/>
      <c r="U226" s="27"/>
      <c r="V226" s="34"/>
    </row>
    <row r="227" spans="1:22" s="25" customFormat="1" ht="18" customHeight="1">
      <c r="A227" s="14"/>
      <c r="B227" s="240"/>
      <c r="C227" s="120"/>
      <c r="D227" s="39"/>
      <c r="E227" s="11"/>
      <c r="F227" s="79"/>
      <c r="G227" s="11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27"/>
      <c r="T227" s="7"/>
      <c r="U227" s="27"/>
      <c r="V227" s="14"/>
    </row>
    <row r="228" spans="1:22" ht="18" customHeight="1">
      <c r="A228" s="14"/>
      <c r="B228" s="155"/>
      <c r="C228" s="120"/>
      <c r="D228" s="39"/>
      <c r="E228" s="11"/>
      <c r="F228" s="79"/>
      <c r="G228" s="11"/>
      <c r="S228" s="27"/>
      <c r="T228" s="25"/>
      <c r="U228" s="70"/>
      <c r="V228" s="34"/>
    </row>
    <row r="229" spans="1:22" s="25" customFormat="1" ht="18" customHeight="1">
      <c r="A229" s="14"/>
      <c r="B229" s="155"/>
      <c r="C229" s="120"/>
      <c r="D229" s="39"/>
      <c r="E229" s="11"/>
      <c r="F229" s="79"/>
      <c r="G229" s="11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0"/>
      <c r="T229" s="7"/>
      <c r="U229" s="27"/>
      <c r="V229" s="14"/>
    </row>
    <row r="230" spans="1:22" ht="18" customHeight="1">
      <c r="A230" s="14"/>
      <c r="B230" s="14"/>
      <c r="C230" s="14"/>
      <c r="D230" s="28"/>
      <c r="E230" s="88"/>
      <c r="F230" s="88"/>
      <c r="G230" s="142"/>
      <c r="H230" s="36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7"/>
      <c r="T230" s="25"/>
      <c r="U230" s="70"/>
      <c r="V230" s="34"/>
    </row>
    <row r="231" spans="4:22" s="25" customFormat="1" ht="18" customHeight="1">
      <c r="D231" s="38"/>
      <c r="E231" s="33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0"/>
      <c r="T231" s="7"/>
      <c r="U231" s="27"/>
      <c r="V231" s="14"/>
    </row>
    <row r="232" spans="1:22" ht="18" customHeight="1">
      <c r="A232" s="82"/>
      <c r="D232" s="23"/>
      <c r="E232" s="37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7"/>
      <c r="T232" s="25"/>
      <c r="U232" s="70"/>
      <c r="V232" s="34"/>
    </row>
    <row r="233" spans="4:22" s="25" customFormat="1" ht="18" customHeight="1">
      <c r="D233" s="38"/>
      <c r="E233" s="33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0"/>
      <c r="T233" s="7"/>
      <c r="U233" s="27"/>
      <c r="V233" s="14"/>
    </row>
    <row r="234" spans="1:22" ht="18" customHeight="1">
      <c r="A234" s="1"/>
      <c r="D234" s="23"/>
      <c r="E234" s="37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7"/>
      <c r="T234" s="25"/>
      <c r="U234" s="70"/>
      <c r="V234" s="34"/>
    </row>
    <row r="235" spans="4:22" s="25" customFormat="1" ht="18" customHeight="1">
      <c r="D235" s="38"/>
      <c r="E235" s="33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0"/>
      <c r="T235" s="7"/>
      <c r="U235" s="27"/>
      <c r="V235" s="14"/>
    </row>
    <row r="236" spans="4:22" ht="18" customHeight="1">
      <c r="D236" s="23"/>
      <c r="E236" s="37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7"/>
      <c r="T236" s="25"/>
      <c r="U236" s="70"/>
      <c r="V236" s="34"/>
    </row>
    <row r="237" spans="4:22" s="25" customFormat="1" ht="18" customHeight="1">
      <c r="D237" s="38"/>
      <c r="E237" s="33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T237" s="7"/>
      <c r="U237" s="27"/>
      <c r="V237" s="14"/>
    </row>
    <row r="238" spans="4:22" ht="18" customHeight="1">
      <c r="D238" s="23"/>
      <c r="E238" s="37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T238" s="25"/>
      <c r="U238" s="70"/>
      <c r="V238" s="34"/>
    </row>
    <row r="239" spans="4:22" s="25" customFormat="1" ht="18" customHeight="1">
      <c r="D239" s="38"/>
      <c r="E239" s="33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T239" s="7"/>
      <c r="U239" s="27"/>
      <c r="V239" s="14"/>
    </row>
    <row r="240" spans="4:22" ht="18" customHeight="1">
      <c r="D240" s="23"/>
      <c r="E240" s="37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T240" s="25"/>
      <c r="U240" s="70"/>
      <c r="V240" s="25"/>
    </row>
    <row r="241" spans="1:21" ht="18" customHeight="1">
      <c r="A241" s="25"/>
      <c r="B241" s="25"/>
      <c r="C241" s="25"/>
      <c r="D241" s="38"/>
      <c r="E241" s="33"/>
      <c r="S241" s="25"/>
      <c r="U241" s="27"/>
    </row>
    <row r="242" spans="4:21" ht="18" customHeight="1">
      <c r="D242" s="23"/>
      <c r="E242" s="37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T242" s="25"/>
      <c r="U242" s="34"/>
    </row>
    <row r="243" spans="1:21" ht="18" customHeight="1">
      <c r="A243" s="25"/>
      <c r="B243" s="25"/>
      <c r="C243" s="25"/>
      <c r="D243" s="38"/>
      <c r="E243" s="33"/>
      <c r="S243" s="25"/>
      <c r="U243" s="14"/>
    </row>
    <row r="244" spans="4:21" ht="18" customHeight="1">
      <c r="D244" s="23"/>
      <c r="E244" s="37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U244" s="34"/>
    </row>
    <row r="245" spans="4:22" s="25" customFormat="1" ht="18" customHeight="1">
      <c r="D245" s="38"/>
      <c r="E245" s="33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T245" s="7"/>
      <c r="U245" s="14"/>
      <c r="V245" s="7"/>
    </row>
    <row r="246" spans="1:20" s="25" customFormat="1" ht="18" customHeight="1">
      <c r="A246" s="7"/>
      <c r="B246" s="7"/>
      <c r="C246" s="7"/>
      <c r="D246" s="23"/>
      <c r="E246" s="37"/>
      <c r="S246" s="7"/>
      <c r="T246" s="7"/>
    </row>
    <row r="247" spans="4:21" s="25" customFormat="1" ht="18" customHeight="1">
      <c r="D247" s="38"/>
      <c r="E247" s="33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T247" s="7"/>
      <c r="U247" s="7"/>
    </row>
    <row r="248" spans="1:21" s="25" customFormat="1" ht="18" customHeight="1">
      <c r="A248" s="7"/>
      <c r="B248" s="7"/>
      <c r="C248" s="7"/>
      <c r="D248" s="23"/>
      <c r="E248" s="37"/>
      <c r="S248" s="7"/>
      <c r="U248" s="7"/>
    </row>
    <row r="249" spans="1:21" s="25" customFormat="1" ht="18" customHeight="1">
      <c r="A249" s="101"/>
      <c r="B249" s="99"/>
      <c r="C249" s="27"/>
      <c r="D249" s="27"/>
      <c r="E249" s="27"/>
      <c r="F249" s="27"/>
      <c r="G249" s="27"/>
      <c r="H249" s="27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7"/>
      <c r="U249" s="7"/>
    </row>
    <row r="250" spans="1:22" ht="18" customHeight="1">
      <c r="A250" s="39"/>
      <c r="B250" s="27"/>
      <c r="C250" s="27"/>
      <c r="D250" s="27"/>
      <c r="E250" s="27"/>
      <c r="F250" s="27"/>
      <c r="G250" s="27"/>
      <c r="H250" s="27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T250" s="25"/>
      <c r="V250" s="25"/>
    </row>
    <row r="251" spans="1:22" s="25" customFormat="1" ht="18" customHeight="1">
      <c r="A251" s="39"/>
      <c r="B251" s="27"/>
      <c r="C251" s="27"/>
      <c r="D251" s="27"/>
      <c r="E251" s="27"/>
      <c r="F251" s="27"/>
      <c r="G251" s="27"/>
      <c r="H251" s="27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7"/>
      <c r="U251" s="7"/>
      <c r="V251" s="7"/>
    </row>
    <row r="252" spans="1:19" s="25" customFormat="1" ht="18" customHeight="1">
      <c r="A252" s="39"/>
      <c r="B252" s="100"/>
      <c r="C252" s="27"/>
      <c r="D252" s="27"/>
      <c r="E252" s="27"/>
      <c r="F252" s="27"/>
      <c r="G252" s="27"/>
      <c r="H252" s="27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7"/>
    </row>
    <row r="253" spans="1:20" s="25" customFormat="1" ht="18" customHeight="1">
      <c r="A253" s="39"/>
      <c r="B253" s="27"/>
      <c r="C253" s="27"/>
      <c r="D253" s="27"/>
      <c r="E253" s="27"/>
      <c r="F253" s="27"/>
      <c r="G253" s="27"/>
      <c r="H253" s="27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T253" s="7"/>
    </row>
    <row r="254" spans="1:18" s="25" customFormat="1" ht="18" customHeight="1">
      <c r="A254" s="39"/>
      <c r="B254" s="27"/>
      <c r="C254" s="27"/>
      <c r="D254" s="27"/>
      <c r="E254" s="27"/>
      <c r="F254" s="27"/>
      <c r="G254" s="27"/>
      <c r="H254" s="27"/>
      <c r="I254" s="90"/>
      <c r="J254" s="90"/>
      <c r="K254" s="90"/>
      <c r="L254" s="90"/>
      <c r="M254" s="90"/>
      <c r="N254" s="90"/>
      <c r="O254" s="90"/>
      <c r="P254" s="90"/>
      <c r="Q254" s="90"/>
      <c r="R254" s="90"/>
    </row>
    <row r="255" spans="1:18" s="25" customFormat="1" ht="18" customHeight="1">
      <c r="A255" s="101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</row>
    <row r="256" spans="1:18" s="25" customFormat="1" ht="18" customHeight="1">
      <c r="A256" s="101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</row>
    <row r="257" spans="1:21" s="25" customFormat="1" ht="18" customHeight="1">
      <c r="A257" s="101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U257" s="7"/>
    </row>
    <row r="258" spans="1:19" s="25" customFormat="1" ht="18" customHeight="1">
      <c r="A258" s="101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"/>
    </row>
    <row r="259" spans="1:18" s="25" customFormat="1" ht="18" customHeight="1">
      <c r="A259" s="101"/>
      <c r="B259" s="70"/>
      <c r="C259" s="241"/>
      <c r="D259" s="156"/>
      <c r="E259" s="157"/>
      <c r="F259" s="157"/>
      <c r="G259" s="15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s="25" customFormat="1" ht="18" customHeight="1">
      <c r="A260" s="39"/>
      <c r="B260" s="27"/>
      <c r="C260" s="242"/>
      <c r="D260" s="90"/>
      <c r="E260" s="90"/>
      <c r="F260" s="90"/>
      <c r="G260" s="9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</row>
    <row r="261" spans="1:18" s="25" customFormat="1" ht="18" customHeight="1">
      <c r="A261" s="101"/>
      <c r="B261" s="70"/>
      <c r="C261" s="91"/>
      <c r="D261" s="91"/>
      <c r="E261" s="91"/>
      <c r="F261" s="91"/>
      <c r="G261" s="91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</row>
    <row r="262" spans="1:19" s="25" customFormat="1" ht="18" customHeight="1">
      <c r="A262" s="101"/>
      <c r="B262" s="70"/>
      <c r="C262" s="101"/>
      <c r="D262" s="101"/>
      <c r="E262" s="101"/>
      <c r="F262" s="101"/>
      <c r="G262" s="101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"/>
    </row>
    <row r="263" spans="1:19" s="25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25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25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25" customFormat="1" ht="18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25" customFormat="1" ht="18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25" customFormat="1" ht="18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25" customFormat="1" ht="18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119"/>
    </row>
    <row r="270" spans="1:19" s="25" customFormat="1" ht="18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95"/>
    </row>
    <row r="271" s="25" customFormat="1" ht="18" customHeight="1">
      <c r="S271" s="103"/>
    </row>
    <row r="272" s="25" customFormat="1" ht="18" customHeight="1">
      <c r="S272" s="103"/>
    </row>
    <row r="273" s="25" customFormat="1" ht="18" customHeight="1">
      <c r="S273" s="103"/>
    </row>
    <row r="274" spans="1:22" ht="18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102"/>
      <c r="T274" s="25"/>
      <c r="U274" s="25"/>
      <c r="V274" s="25"/>
    </row>
    <row r="275" spans="1:21" ht="18" customHeight="1">
      <c r="A275" s="1"/>
      <c r="S275" s="102"/>
      <c r="T275" s="25"/>
      <c r="U275" s="25"/>
    </row>
    <row r="276" spans="2:21" ht="18" customHeight="1">
      <c r="B276" s="1"/>
      <c r="S276" s="102"/>
      <c r="T276" s="25"/>
      <c r="U276" s="25"/>
    </row>
    <row r="277" spans="19:21" ht="18" customHeight="1">
      <c r="S277" s="102"/>
      <c r="U277" s="25"/>
    </row>
    <row r="278" spans="19:21" ht="18" customHeight="1">
      <c r="S278" s="102"/>
      <c r="U278" s="25"/>
    </row>
    <row r="279" spans="4:21" ht="18" customHeight="1">
      <c r="D279" s="105"/>
      <c r="S279" s="102"/>
      <c r="U279" s="25"/>
    </row>
    <row r="280" spans="19:21" ht="18" customHeight="1">
      <c r="S280" s="102"/>
      <c r="U280" s="25"/>
    </row>
    <row r="281" ht="18" customHeight="1">
      <c r="S281" s="102"/>
    </row>
    <row r="282" spans="1:22" s="25" customFormat="1" ht="18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102"/>
      <c r="T282" s="7"/>
      <c r="U282" s="7"/>
      <c r="V282" s="7"/>
    </row>
    <row r="283" spans="19:22" ht="18" customHeight="1">
      <c r="S283" s="102"/>
      <c r="V283" s="25"/>
    </row>
    <row r="284" spans="1:22" s="25" customFormat="1" ht="18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102"/>
      <c r="T284" s="7"/>
      <c r="U284" s="7"/>
      <c r="V284" s="7"/>
    </row>
    <row r="285" spans="19:22" ht="18" customHeight="1">
      <c r="S285" s="102"/>
      <c r="T285" s="25"/>
      <c r="V285" s="25"/>
    </row>
    <row r="286" spans="1:22" s="25" customFormat="1" ht="18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102"/>
      <c r="T286" s="7"/>
      <c r="U286" s="7"/>
      <c r="V286" s="7"/>
    </row>
    <row r="287" spans="1:21" s="25" customFormat="1" ht="18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103"/>
      <c r="U287" s="7"/>
    </row>
    <row r="288" spans="1:21" s="25" customFormat="1" ht="18" customHeight="1">
      <c r="A288" s="7"/>
      <c r="B288" s="7"/>
      <c r="C288" s="76"/>
      <c r="D288" s="23"/>
      <c r="S288" s="103"/>
      <c r="T288" s="7"/>
      <c r="U288" s="7"/>
    </row>
    <row r="289" spans="3:19" s="25" customFormat="1" ht="18" customHeight="1">
      <c r="C289" s="76"/>
      <c r="D289" s="23"/>
      <c r="S289" s="103"/>
    </row>
    <row r="290" spans="3:21" s="25" customFormat="1" ht="18" customHeight="1">
      <c r="C290" s="76"/>
      <c r="D290" s="23"/>
      <c r="S290" s="103"/>
      <c r="U290" s="7"/>
    </row>
    <row r="291" spans="3:19" s="25" customFormat="1" ht="18" customHeight="1">
      <c r="C291" s="76"/>
      <c r="D291" s="23"/>
      <c r="S291" s="102"/>
    </row>
    <row r="292" spans="3:21" s="25" customFormat="1" ht="18" customHeight="1">
      <c r="C292" s="76"/>
      <c r="D292" s="23"/>
      <c r="F292" s="105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U292" s="7"/>
    </row>
    <row r="293" spans="1:4" s="25" customFormat="1" ht="18" customHeight="1">
      <c r="A293" s="7"/>
      <c r="B293" s="7"/>
      <c r="C293" s="76"/>
      <c r="D293" s="23"/>
    </row>
    <row r="294" s="25" customFormat="1" ht="18" customHeight="1"/>
    <row r="295" s="25" customFormat="1" ht="18" customHeight="1"/>
    <row r="296" s="25" customFormat="1" ht="18" customHeight="1"/>
    <row r="297" s="25" customFormat="1" ht="18" customHeight="1"/>
    <row r="298" s="25" customFormat="1" ht="18" customHeight="1"/>
    <row r="299" s="25" customFormat="1" ht="18" customHeight="1"/>
    <row r="300" s="25" customFormat="1" ht="18" customHeight="1"/>
    <row r="301" s="25" customFormat="1" ht="18" customHeight="1"/>
    <row r="302" s="25" customFormat="1" ht="18" customHeight="1"/>
    <row r="303" s="25" customFormat="1" ht="18" customHeight="1"/>
    <row r="304" s="25" customFormat="1" ht="18" customHeight="1"/>
    <row r="305" s="25" customFormat="1" ht="18" customHeight="1"/>
    <row r="306" s="25" customFormat="1" ht="18" customHeight="1"/>
    <row r="307" s="25" customFormat="1" ht="18" customHeight="1"/>
    <row r="308" s="25" customFormat="1" ht="18" customHeight="1"/>
    <row r="309" s="25" customFormat="1" ht="18" customHeight="1"/>
    <row r="310" s="25" customFormat="1" ht="18" customHeight="1"/>
    <row r="311" spans="1:22" ht="18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1:21" ht="18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</row>
    <row r="313" spans="1:21" ht="18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</row>
    <row r="314" spans="1:21" ht="18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U314" s="25"/>
    </row>
    <row r="315" spans="1:21" ht="18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U315" s="25"/>
    </row>
    <row r="316" spans="1:21" ht="18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U316" s="25"/>
    </row>
    <row r="317" spans="1:21" ht="18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U317" s="25"/>
    </row>
    <row r="318" spans="1:19" ht="18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</row>
    <row r="319" spans="1:19" ht="18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</row>
    <row r="320" spans="20:22" s="25" customFormat="1" ht="18" customHeight="1">
      <c r="T320" s="7"/>
      <c r="U320" s="7"/>
      <c r="V320" s="7"/>
    </row>
    <row r="321" spans="20:21" s="25" customFormat="1" ht="18" customHeight="1">
      <c r="T321" s="7"/>
      <c r="U321" s="7"/>
    </row>
    <row r="322" spans="20:21" s="25" customFormat="1" ht="18" customHeight="1">
      <c r="T322" s="7"/>
      <c r="U322" s="7"/>
    </row>
    <row r="323" s="25" customFormat="1" ht="18" customHeight="1">
      <c r="U323" s="7"/>
    </row>
    <row r="324" s="25" customFormat="1" ht="18" customHeight="1">
      <c r="U324" s="7"/>
    </row>
    <row r="325" s="25" customFormat="1" ht="18" customHeight="1">
      <c r="U325" s="7"/>
    </row>
    <row r="326" s="25" customFormat="1" ht="18" customHeight="1">
      <c r="U326" s="7"/>
    </row>
    <row r="327" s="25" customFormat="1" ht="18" customHeight="1"/>
    <row r="328" s="25" customFormat="1" ht="18" customHeight="1"/>
    <row r="329" s="25" customFormat="1" ht="18" customHeight="1"/>
    <row r="330" s="25" customFormat="1" ht="18" customHeight="1"/>
    <row r="331" s="25" customFormat="1" ht="18" customHeight="1"/>
    <row r="332" s="25" customFormat="1" ht="18" customHeight="1"/>
    <row r="333" s="25" customFormat="1" ht="18" customHeight="1"/>
    <row r="334" s="25" customFormat="1" ht="18" customHeight="1"/>
    <row r="335" s="25" customFormat="1" ht="18" customHeight="1"/>
    <row r="336" s="25" customFormat="1" ht="18" customHeight="1"/>
    <row r="337" s="25" customFormat="1" ht="18" customHeight="1"/>
    <row r="338" s="25" customFormat="1" ht="18" customHeight="1"/>
    <row r="339" s="25" customFormat="1" ht="18" customHeight="1"/>
    <row r="340" s="25" customFormat="1" ht="18" customHeight="1"/>
    <row r="341" s="25" customFormat="1" ht="18" customHeight="1"/>
    <row r="342" s="25" customFormat="1" ht="18" customHeight="1"/>
    <row r="343" s="25" customFormat="1" ht="18" customHeight="1"/>
    <row r="344" spans="1:22" ht="18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1:21" ht="18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</row>
    <row r="346" spans="1:21" ht="18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</row>
    <row r="347" spans="1:21" ht="18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U347" s="25"/>
    </row>
    <row r="348" spans="1:21" ht="18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U348" s="25"/>
    </row>
    <row r="349" spans="1:21" ht="18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U349" s="25"/>
    </row>
    <row r="350" spans="1:21" ht="18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U350" s="25"/>
    </row>
    <row r="351" spans="20:22" s="25" customFormat="1" ht="18" customHeight="1">
      <c r="T351" s="7"/>
      <c r="U351" s="7"/>
      <c r="V351" s="7"/>
    </row>
    <row r="352" spans="20:21" s="25" customFormat="1" ht="18" customHeight="1">
      <c r="T352" s="7"/>
      <c r="U352" s="7"/>
    </row>
    <row r="353" spans="19:21" s="25" customFormat="1" ht="18" customHeight="1">
      <c r="S353" s="7"/>
      <c r="T353" s="7"/>
      <c r="U353" s="7"/>
    </row>
    <row r="354" spans="1:21" s="25" customFormat="1" ht="18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U354" s="7"/>
    </row>
    <row r="355" spans="1:21" s="25" customFormat="1" ht="18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U355" s="7"/>
    </row>
    <row r="356" spans="1:21" s="25" customFormat="1" ht="18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U356" s="7"/>
    </row>
    <row r="357" spans="1:21" s="25" customFormat="1" ht="18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U357" s="7"/>
    </row>
    <row r="358" spans="1:19" s="25" customFormat="1" ht="18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25" customFormat="1" ht="18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25" customFormat="1" ht="18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25" customFormat="1" ht="18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25" customFormat="1" ht="18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25" customFormat="1" ht="18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25" customFormat="1" ht="18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25" customFormat="1" ht="18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25" customFormat="1" ht="18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25" customFormat="1" ht="18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25" customFormat="1" ht="18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25" customFormat="1" ht="18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25" customFormat="1" ht="18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25" customFormat="1" ht="18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25" customFormat="1" ht="18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25" customFormat="1" ht="18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25" customFormat="1" ht="18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25" customFormat="1" ht="18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25" customFormat="1" ht="18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25" customFormat="1" ht="18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25" customFormat="1" ht="18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25" customFormat="1" ht="18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25" customFormat="1" ht="18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25" customFormat="1" ht="18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25" customFormat="1" ht="18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25" customFormat="1" ht="18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25" customFormat="1" ht="18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25" customFormat="1" ht="18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25" customFormat="1" ht="18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25" customFormat="1" ht="18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20:22" ht="18" customHeight="1">
      <c r="T388" s="25"/>
      <c r="U388" s="25"/>
      <c r="V388" s="25"/>
    </row>
    <row r="389" spans="20:21" ht="18" customHeight="1">
      <c r="T389" s="25"/>
      <c r="U389" s="25"/>
    </row>
    <row r="390" spans="20:21" ht="18" customHeight="1">
      <c r="T390" s="25"/>
      <c r="U390" s="25"/>
    </row>
    <row r="391" ht="18" customHeight="1">
      <c r="U391" s="25"/>
    </row>
    <row r="392" ht="18" customHeight="1">
      <c r="U392" s="25"/>
    </row>
    <row r="393" ht="18" customHeight="1">
      <c r="U393" s="25"/>
    </row>
    <row r="394" ht="18" customHeight="1">
      <c r="U394" s="25"/>
    </row>
    <row r="436" ht="18" customHeight="1">
      <c r="S436" s="66"/>
    </row>
    <row r="440" spans="1:22" s="25" customFormat="1" ht="18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1" s="25" customFormat="1" ht="18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s="25" customFormat="1" ht="18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s="25" customFormat="1" ht="18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U443" s="7"/>
    </row>
    <row r="444" spans="1:21" s="25" customFormat="1" ht="18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U444" s="7"/>
    </row>
    <row r="445" spans="20:22" ht="18" customHeight="1">
      <c r="T445" s="25"/>
      <c r="V445" s="25"/>
    </row>
    <row r="446" ht="18" customHeight="1">
      <c r="T446" s="25"/>
    </row>
    <row r="447" spans="20:21" ht="18" customHeight="1">
      <c r="T447" s="25"/>
      <c r="U447" s="25"/>
    </row>
    <row r="448" ht="18" customHeight="1">
      <c r="U448" s="25"/>
    </row>
    <row r="449" ht="18" customHeight="1">
      <c r="U449" s="25"/>
    </row>
    <row r="450" ht="18" customHeight="1">
      <c r="U450" s="25"/>
    </row>
    <row r="451" ht="18" customHeight="1">
      <c r="U451" s="25"/>
    </row>
    <row r="458" spans="1:22" s="25" customFormat="1" ht="18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1" s="25" customFormat="1" ht="18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s="25" customFormat="1" ht="18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s="25" customFormat="1" ht="18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U461" s="7"/>
    </row>
    <row r="462" spans="20:22" ht="18" customHeight="1">
      <c r="T462" s="25"/>
      <c r="V462" s="25"/>
    </row>
    <row r="463" spans="1:22" s="25" customFormat="1" ht="18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U463" s="7"/>
      <c r="V463" s="7"/>
    </row>
    <row r="464" spans="1:21" s="25" customFormat="1" ht="18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U464" s="7"/>
    </row>
    <row r="465" spans="1:20" s="25" customFormat="1" ht="18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19" s="25" customFormat="1" ht="18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25" customFormat="1" ht="18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25" customFormat="1" ht="18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21" s="25" customFormat="1" ht="18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U469" s="7"/>
    </row>
    <row r="470" spans="1:19" s="25" customFormat="1" ht="18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25" customFormat="1" ht="18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25" customFormat="1" ht="18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25" customFormat="1" ht="18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25" customFormat="1" ht="18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25" customFormat="1" ht="18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25" customFormat="1" ht="18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25" customFormat="1" ht="18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25" customFormat="1" ht="18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25" customFormat="1" ht="18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25" customFormat="1" ht="18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25" customFormat="1" ht="18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25" customFormat="1" ht="18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25" customFormat="1" ht="18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25" customFormat="1" ht="18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25" customFormat="1" ht="18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25" customFormat="1" ht="18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25" customFormat="1" ht="18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25" customFormat="1" ht="18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25" customFormat="1" ht="18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25" customFormat="1" ht="18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25" customFormat="1" ht="18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25" customFormat="1" ht="18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25" customFormat="1" ht="18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25" customFormat="1" ht="18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25" customFormat="1" ht="18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25" customFormat="1" ht="18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25" customFormat="1" ht="18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25" customFormat="1" ht="18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25" customFormat="1" ht="18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25" customFormat="1" ht="18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25" customFormat="1" ht="18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25" customFormat="1" ht="18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25" customFormat="1" ht="18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25" customFormat="1" ht="18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25" customFormat="1" ht="18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25" customFormat="1" ht="18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25" customFormat="1" ht="18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25" customFormat="1" ht="18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25" customFormat="1" ht="18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25" customFormat="1" ht="18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25" customFormat="1" ht="18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25" customFormat="1" ht="18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25" customFormat="1" ht="18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25" customFormat="1" ht="18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25" customFormat="1" ht="18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25" customFormat="1" ht="18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25" customFormat="1" ht="18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25" customFormat="1" ht="18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25" customFormat="1" ht="18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25" customFormat="1" ht="18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25" customFormat="1" ht="18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25" customFormat="1" ht="18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20:23" ht="18" customHeight="1">
      <c r="T523" s="25"/>
      <c r="U523" s="25"/>
      <c r="V523" s="25"/>
      <c r="W523" s="1"/>
    </row>
    <row r="524" spans="20:23" ht="18" customHeight="1">
      <c r="T524" s="25"/>
      <c r="U524" s="25"/>
      <c r="V524" s="1"/>
      <c r="W524" s="104"/>
    </row>
    <row r="525" spans="20:23" ht="18" customHeight="1">
      <c r="T525" s="25"/>
      <c r="U525" s="25"/>
      <c r="V525" s="104"/>
      <c r="W525" s="104"/>
    </row>
    <row r="526" spans="20:23" ht="18" customHeight="1">
      <c r="T526" s="25"/>
      <c r="U526" s="25"/>
      <c r="V526" s="104"/>
      <c r="W526" s="104"/>
    </row>
    <row r="527" spans="20:23" ht="18" customHeight="1">
      <c r="T527" s="33"/>
      <c r="U527" s="25"/>
      <c r="V527" s="104"/>
      <c r="W527" s="104"/>
    </row>
    <row r="528" spans="20:23" ht="18" customHeight="1">
      <c r="T528" s="33"/>
      <c r="U528" s="25"/>
      <c r="V528" s="104"/>
      <c r="W528" s="104"/>
    </row>
    <row r="529" spans="20:23" ht="18" customHeight="1">
      <c r="T529" s="33"/>
      <c r="U529" s="25"/>
      <c r="V529" s="104"/>
      <c r="W529" s="104"/>
    </row>
    <row r="530" spans="20:23" ht="18" customHeight="1">
      <c r="T530" s="33"/>
      <c r="U530" s="1"/>
      <c r="V530" s="104"/>
      <c r="W530" s="104"/>
    </row>
    <row r="531" spans="20:23" ht="18" customHeight="1">
      <c r="T531" s="33"/>
      <c r="U531" s="104"/>
      <c r="V531" s="104"/>
      <c r="W531" s="104"/>
    </row>
    <row r="532" spans="20:23" ht="18" customHeight="1">
      <c r="T532" s="33"/>
      <c r="U532" s="104"/>
      <c r="V532" s="104"/>
      <c r="W532" s="104"/>
    </row>
    <row r="533" spans="20:23" ht="18" customHeight="1">
      <c r="T533" s="33"/>
      <c r="U533" s="104"/>
      <c r="V533" s="104"/>
      <c r="W533" s="104"/>
    </row>
    <row r="534" spans="20:23" ht="18" customHeight="1">
      <c r="T534" s="33"/>
      <c r="U534" s="104"/>
      <c r="V534" s="104"/>
      <c r="W534" s="104"/>
    </row>
    <row r="535" spans="20:23" ht="18" customHeight="1">
      <c r="T535" s="33"/>
      <c r="U535" s="104"/>
      <c r="V535" s="104"/>
      <c r="W535" s="104"/>
    </row>
    <row r="536" spans="20:23" ht="18" customHeight="1">
      <c r="T536" s="33"/>
      <c r="U536" s="104"/>
      <c r="V536" s="104"/>
      <c r="W536" s="104"/>
    </row>
    <row r="537" spans="20:23" ht="18" customHeight="1">
      <c r="T537" s="33"/>
      <c r="U537" s="104"/>
      <c r="V537" s="104"/>
      <c r="W537" s="104"/>
    </row>
    <row r="538" spans="20:23" ht="18" customHeight="1">
      <c r="T538" s="33"/>
      <c r="U538" s="104"/>
      <c r="V538" s="104"/>
      <c r="W538" s="104"/>
    </row>
    <row r="539" spans="20:23" ht="18" customHeight="1">
      <c r="T539" s="33"/>
      <c r="U539" s="104"/>
      <c r="V539" s="104"/>
      <c r="W539" s="104"/>
    </row>
    <row r="540" spans="20:23" ht="18" customHeight="1">
      <c r="T540" s="33"/>
      <c r="U540" s="104"/>
      <c r="V540" s="104"/>
      <c r="W540" s="104"/>
    </row>
    <row r="541" spans="20:23" ht="18" customHeight="1">
      <c r="T541" s="33"/>
      <c r="U541" s="104"/>
      <c r="V541" s="104"/>
      <c r="W541" s="104"/>
    </row>
    <row r="542" spans="20:23" ht="18" customHeight="1">
      <c r="T542" s="33"/>
      <c r="U542" s="104"/>
      <c r="V542" s="104"/>
      <c r="W542" s="104"/>
    </row>
    <row r="543" spans="20:23" ht="18" customHeight="1">
      <c r="T543" s="33"/>
      <c r="U543" s="104"/>
      <c r="V543" s="104"/>
      <c r="W543" s="104"/>
    </row>
    <row r="544" spans="20:23" ht="18" customHeight="1">
      <c r="T544" s="33"/>
      <c r="U544" s="104"/>
      <c r="V544" s="104"/>
      <c r="W544" s="104"/>
    </row>
    <row r="545" spans="20:22" ht="18" customHeight="1">
      <c r="T545" s="33"/>
      <c r="U545" s="104"/>
      <c r="V545" s="104"/>
    </row>
    <row r="546" spans="20:21" ht="18" customHeight="1">
      <c r="T546" s="33"/>
      <c r="U546" s="104"/>
    </row>
    <row r="547" spans="20:21" ht="18" customHeight="1">
      <c r="T547" s="33"/>
      <c r="U547" s="104"/>
    </row>
    <row r="548" ht="18" customHeight="1">
      <c r="U548" s="104"/>
    </row>
    <row r="549" ht="18" customHeight="1">
      <c r="U549" s="104"/>
    </row>
    <row r="550" ht="18" customHeight="1">
      <c r="U550" s="104"/>
    </row>
    <row r="551" ht="18" customHeight="1">
      <c r="U551" s="104"/>
    </row>
    <row r="580" spans="23:24" ht="18" customHeight="1">
      <c r="W580" s="1"/>
      <c r="X580" s="1"/>
    </row>
    <row r="581" spans="22:24" ht="18" customHeight="1">
      <c r="V581" s="1"/>
      <c r="W581" s="26"/>
      <c r="X581" s="33"/>
    </row>
    <row r="582" spans="22:24" ht="18" customHeight="1">
      <c r="V582" s="26"/>
      <c r="W582" s="26"/>
      <c r="X582" s="33"/>
    </row>
    <row r="583" spans="20:24" ht="18" customHeight="1">
      <c r="T583" s="105"/>
      <c r="V583" s="26"/>
      <c r="W583" s="26"/>
      <c r="X583" s="33"/>
    </row>
    <row r="584" spans="22:24" ht="18" customHeight="1">
      <c r="V584" s="26"/>
      <c r="W584" s="26"/>
      <c r="X584" s="33"/>
    </row>
    <row r="585" spans="22:24" ht="18" customHeight="1">
      <c r="V585" s="26"/>
      <c r="W585" s="26"/>
      <c r="X585" s="33"/>
    </row>
    <row r="586" spans="22:24" ht="18" customHeight="1">
      <c r="V586" s="26"/>
      <c r="W586" s="26"/>
      <c r="X586" s="33"/>
    </row>
    <row r="587" spans="22:24" ht="18" customHeight="1">
      <c r="V587" s="26"/>
      <c r="W587" s="26"/>
      <c r="X587" s="33"/>
    </row>
    <row r="588" spans="21:24" ht="18" customHeight="1">
      <c r="U588" s="33"/>
      <c r="V588" s="26"/>
      <c r="W588" s="26"/>
      <c r="X588" s="33"/>
    </row>
    <row r="589" spans="21:24" ht="18" customHeight="1">
      <c r="U589" s="33"/>
      <c r="V589" s="26"/>
      <c r="W589" s="26"/>
      <c r="X589" s="33"/>
    </row>
    <row r="590" spans="21:24" ht="18" customHeight="1">
      <c r="U590" s="33"/>
      <c r="V590" s="26"/>
      <c r="W590" s="26"/>
      <c r="X590" s="33"/>
    </row>
    <row r="591" spans="21:24" ht="18" customHeight="1">
      <c r="U591" s="33"/>
      <c r="V591" s="26"/>
      <c r="W591" s="26"/>
      <c r="X591" s="33"/>
    </row>
    <row r="592" spans="21:24" ht="18" customHeight="1">
      <c r="U592" s="33"/>
      <c r="V592" s="26"/>
      <c r="W592" s="26"/>
      <c r="X592" s="33"/>
    </row>
    <row r="593" spans="21:24" ht="18" customHeight="1">
      <c r="U593" s="33"/>
      <c r="V593" s="26"/>
      <c r="W593" s="26"/>
      <c r="X593" s="33"/>
    </row>
    <row r="594" spans="21:24" ht="18" customHeight="1">
      <c r="U594" s="33"/>
      <c r="V594" s="26"/>
      <c r="W594" s="26"/>
      <c r="X594" s="33"/>
    </row>
    <row r="595" spans="21:24" ht="18" customHeight="1">
      <c r="U595" s="33"/>
      <c r="V595" s="26"/>
      <c r="W595" s="26"/>
      <c r="X595" s="33"/>
    </row>
    <row r="596" spans="21:24" ht="18" customHeight="1">
      <c r="U596" s="33"/>
      <c r="V596" s="26"/>
      <c r="W596" s="26"/>
      <c r="X596" s="33"/>
    </row>
    <row r="597" spans="21:24" ht="18" customHeight="1">
      <c r="U597" s="33"/>
      <c r="V597" s="26"/>
      <c r="W597" s="26"/>
      <c r="X597" s="33"/>
    </row>
    <row r="598" spans="21:24" ht="18" customHeight="1">
      <c r="U598" s="33"/>
      <c r="V598" s="26"/>
      <c r="W598" s="26"/>
      <c r="X598" s="33"/>
    </row>
    <row r="599" spans="21:24" ht="18" customHeight="1">
      <c r="U599" s="33"/>
      <c r="V599" s="26"/>
      <c r="W599" s="26"/>
      <c r="X599" s="33"/>
    </row>
    <row r="600" spans="21:24" ht="18" customHeight="1">
      <c r="U600" s="33"/>
      <c r="V600" s="26"/>
      <c r="W600" s="26"/>
      <c r="X600" s="33"/>
    </row>
    <row r="601" spans="21:24" ht="18" customHeight="1">
      <c r="U601" s="33"/>
      <c r="V601" s="26"/>
      <c r="W601" s="26"/>
      <c r="X601" s="33"/>
    </row>
    <row r="602" spans="21:22" ht="18" customHeight="1">
      <c r="U602" s="33"/>
      <c r="V602" s="26"/>
    </row>
    <row r="603" ht="18" customHeight="1">
      <c r="U603" s="33"/>
    </row>
    <row r="604" ht="18" customHeight="1">
      <c r="U604" s="33"/>
    </row>
    <row r="605" ht="18" customHeight="1">
      <c r="U605" s="33"/>
    </row>
    <row r="606" ht="18" customHeight="1">
      <c r="U606" s="33"/>
    </row>
    <row r="607" ht="18" customHeight="1">
      <c r="U607" s="33"/>
    </row>
    <row r="608" ht="18" customHeight="1">
      <c r="U608" s="33"/>
    </row>
  </sheetData>
  <sheetProtection sheet="1" objects="1" scenarios="1"/>
  <mergeCells count="3">
    <mergeCell ref="A18:B18"/>
    <mergeCell ref="B226:B227"/>
    <mergeCell ref="C259:C260"/>
  </mergeCells>
  <printOptions/>
  <pageMargins left="1" right="0.5905511811023623" top="0.7874015748031497" bottom="0.7874015748031497" header="0.5" footer="0.5"/>
  <pageSetup horizontalDpi="600" verticalDpi="600" orientation="portrait" paperSize="9" r:id="rId3"/>
  <headerFooter alignWithMargins="0">
    <oddHeader>&amp;C&amp;9ガードレール基礎</oddHeader>
    <oddFooter>&amp;C&amp;10- &amp;P -</oddFooter>
  </headerFooter>
  <rowBreaks count="5" manualBreakCount="5">
    <brk id="36" max="255" man="1"/>
    <brk id="74" max="255" man="1"/>
    <brk id="105" max="255" man="1"/>
    <brk id="139" max="255" man="1"/>
    <brk id="444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F28"/>
  <sheetViews>
    <sheetView showGridLines="0" workbookViewId="0" topLeftCell="A1">
      <selection activeCell="B26" sqref="B26"/>
    </sheetView>
  </sheetViews>
  <sheetFormatPr defaultColWidth="8.796875" defaultRowHeight="14.25"/>
  <cols>
    <col min="2" max="2" width="9" style="57" customWidth="1"/>
    <col min="7" max="7" width="13" style="0" customWidth="1"/>
    <col min="11" max="11" width="9" style="56" customWidth="1"/>
    <col min="17" max="17" width="6.69921875" style="0" customWidth="1"/>
    <col min="18" max="18" width="11.59765625" style="0" customWidth="1"/>
    <col min="19" max="19" width="10.5" style="0" customWidth="1"/>
    <col min="20" max="20" width="12.69921875" style="0" customWidth="1"/>
    <col min="29" max="29" width="13.09765625" style="0" customWidth="1"/>
    <col min="30" max="30" width="11" style="0" customWidth="1"/>
    <col min="31" max="31" width="10.19921875" style="0" customWidth="1"/>
    <col min="32" max="32" width="12.19921875" style="0" customWidth="1"/>
  </cols>
  <sheetData>
    <row r="2" spans="6:24" ht="13.5">
      <c r="F2" s="250" t="s">
        <v>176</v>
      </c>
      <c r="G2" s="250"/>
      <c r="H2" s="250" t="s">
        <v>177</v>
      </c>
      <c r="I2" s="250"/>
      <c r="K2" s="55"/>
      <c r="Q2" s="122"/>
      <c r="R2" s="122"/>
      <c r="S2" s="122"/>
      <c r="T2" s="122"/>
      <c r="U2" s="122"/>
      <c r="V2" s="122"/>
      <c r="W2" s="122"/>
      <c r="X2" s="122"/>
    </row>
    <row r="3" spans="1:28" ht="15">
      <c r="A3" t="s">
        <v>20</v>
      </c>
      <c r="B3" s="50" t="s">
        <v>16</v>
      </c>
      <c r="C3" s="52" t="s">
        <v>17</v>
      </c>
      <c r="D3" s="52" t="s">
        <v>18</v>
      </c>
      <c r="E3" s="52"/>
      <c r="F3" s="216" t="s">
        <v>178</v>
      </c>
      <c r="G3" s="216" t="s">
        <v>179</v>
      </c>
      <c r="H3" s="216" t="s">
        <v>178</v>
      </c>
      <c r="I3" s="216" t="s">
        <v>179</v>
      </c>
      <c r="J3" s="49"/>
      <c r="K3" t="s">
        <v>20</v>
      </c>
      <c r="L3" t="s">
        <v>49</v>
      </c>
      <c r="M3" t="s">
        <v>51</v>
      </c>
      <c r="N3" t="s">
        <v>50</v>
      </c>
      <c r="O3" t="s">
        <v>52</v>
      </c>
      <c r="Q3" s="122"/>
      <c r="R3" s="122"/>
      <c r="S3" s="122"/>
      <c r="T3" s="122"/>
      <c r="U3" s="122"/>
      <c r="V3" s="122"/>
      <c r="W3" s="122"/>
      <c r="X3" s="122"/>
      <c r="Z3" t="s">
        <v>20</v>
      </c>
      <c r="AA3" t="s">
        <v>56</v>
      </c>
      <c r="AB3" t="s">
        <v>60</v>
      </c>
    </row>
    <row r="4" spans="1:28" ht="15">
      <c r="A4">
        <v>1</v>
      </c>
      <c r="B4" s="59" t="s">
        <v>23</v>
      </c>
      <c r="C4" s="49">
        <f>IF($B$26=1,F4,H4)</f>
        <v>30</v>
      </c>
      <c r="D4" s="49">
        <v>0.6</v>
      </c>
      <c r="E4" s="49"/>
      <c r="F4" s="49">
        <v>30</v>
      </c>
      <c r="G4" s="49">
        <v>0.6</v>
      </c>
      <c r="H4" s="49">
        <v>30</v>
      </c>
      <c r="I4" s="49">
        <v>0.6</v>
      </c>
      <c r="J4" s="49"/>
      <c r="K4">
        <v>1</v>
      </c>
      <c r="L4" t="s">
        <v>53</v>
      </c>
      <c r="M4">
        <v>20</v>
      </c>
      <c r="N4">
        <v>35</v>
      </c>
      <c r="O4">
        <v>0</v>
      </c>
      <c r="Q4" s="122"/>
      <c r="R4" s="122"/>
      <c r="S4" s="123"/>
      <c r="T4" s="123"/>
      <c r="U4" s="123"/>
      <c r="V4" s="122"/>
      <c r="W4" s="122"/>
      <c r="X4" s="122"/>
      <c r="Z4">
        <v>1</v>
      </c>
      <c r="AA4" t="s">
        <v>57</v>
      </c>
      <c r="AB4" s="74">
        <v>1</v>
      </c>
    </row>
    <row r="5" spans="1:28" ht="15">
      <c r="A5">
        <v>2</v>
      </c>
      <c r="B5" s="59" t="s">
        <v>24</v>
      </c>
      <c r="C5" s="49">
        <f aca="true" t="shared" si="0" ref="C5:C10">IF($B$26=1,F5,H5)</f>
        <v>30</v>
      </c>
      <c r="D5" s="49">
        <v>0.6</v>
      </c>
      <c r="E5" s="49"/>
      <c r="F5" s="49">
        <v>30</v>
      </c>
      <c r="G5" s="49">
        <v>0.6</v>
      </c>
      <c r="H5" s="49">
        <v>30</v>
      </c>
      <c r="I5" s="49">
        <v>0.6</v>
      </c>
      <c r="J5" s="49"/>
      <c r="K5">
        <v>2</v>
      </c>
      <c r="L5" t="s">
        <v>54</v>
      </c>
      <c r="M5">
        <v>19</v>
      </c>
      <c r="N5">
        <v>30</v>
      </c>
      <c r="O5">
        <v>0</v>
      </c>
      <c r="Q5" s="122"/>
      <c r="R5" s="122"/>
      <c r="S5" s="123"/>
      <c r="T5" s="123"/>
      <c r="U5" s="123"/>
      <c r="V5" s="122"/>
      <c r="W5" s="122"/>
      <c r="X5" s="122"/>
      <c r="Z5">
        <v>2</v>
      </c>
      <c r="AA5" t="s">
        <v>58</v>
      </c>
      <c r="AB5" s="74">
        <v>0.85</v>
      </c>
    </row>
    <row r="6" spans="1:28" ht="15">
      <c r="A6">
        <v>3</v>
      </c>
      <c r="B6" s="59" t="s">
        <v>25</v>
      </c>
      <c r="C6" s="49">
        <f t="shared" si="0"/>
        <v>55</v>
      </c>
      <c r="D6" s="49">
        <v>0.6</v>
      </c>
      <c r="E6" s="49"/>
      <c r="F6" s="49">
        <v>50</v>
      </c>
      <c r="G6" s="49">
        <v>0.6</v>
      </c>
      <c r="H6" s="49">
        <v>55</v>
      </c>
      <c r="I6" s="49">
        <v>0.6</v>
      </c>
      <c r="J6" s="49"/>
      <c r="K6">
        <v>3</v>
      </c>
      <c r="L6" t="s">
        <v>55</v>
      </c>
      <c r="M6">
        <v>18</v>
      </c>
      <c r="N6">
        <v>25</v>
      </c>
      <c r="O6">
        <v>0</v>
      </c>
      <c r="Q6" s="122"/>
      <c r="R6" s="122"/>
      <c r="S6" s="123"/>
      <c r="T6" s="123"/>
      <c r="U6" s="123"/>
      <c r="V6" s="122"/>
      <c r="W6" s="122"/>
      <c r="X6" s="122"/>
      <c r="Z6">
        <v>3</v>
      </c>
      <c r="AA6" t="s">
        <v>59</v>
      </c>
      <c r="AB6" s="74">
        <v>0.7</v>
      </c>
    </row>
    <row r="7" spans="1:27" ht="15">
      <c r="A7">
        <v>4</v>
      </c>
      <c r="B7" s="59" t="s">
        <v>26</v>
      </c>
      <c r="C7" s="49">
        <f t="shared" si="0"/>
        <v>60</v>
      </c>
      <c r="D7" s="49">
        <v>0.675</v>
      </c>
      <c r="E7" s="49"/>
      <c r="F7" s="49">
        <v>50</v>
      </c>
      <c r="G7" s="49">
        <v>0.675</v>
      </c>
      <c r="H7" s="49">
        <v>60</v>
      </c>
      <c r="I7" s="49">
        <v>0.675</v>
      </c>
      <c r="J7" s="49"/>
      <c r="K7"/>
      <c r="L7" s="75">
        <v>1</v>
      </c>
      <c r="Q7" s="122"/>
      <c r="R7" s="122"/>
      <c r="S7" s="122"/>
      <c r="T7" s="122"/>
      <c r="U7" s="122"/>
      <c r="V7" s="122"/>
      <c r="W7" s="122"/>
      <c r="X7" s="122"/>
      <c r="AA7" s="75">
        <v>1</v>
      </c>
    </row>
    <row r="8" spans="1:27" ht="15">
      <c r="A8">
        <v>5</v>
      </c>
      <c r="B8" s="59" t="s">
        <v>27</v>
      </c>
      <c r="C8" s="49">
        <f t="shared" si="0"/>
        <v>80</v>
      </c>
      <c r="D8" s="49">
        <v>0.76</v>
      </c>
      <c r="E8" s="49"/>
      <c r="F8" s="49">
        <v>55</v>
      </c>
      <c r="G8" s="49">
        <v>0.76</v>
      </c>
      <c r="H8" s="49">
        <v>80</v>
      </c>
      <c r="I8" s="49">
        <v>0.76</v>
      </c>
      <c r="J8" s="49"/>
      <c r="L8" s="53" t="str">
        <f>VLOOKUP($L$7,$K$4:$O$6,2,FALSE)</f>
        <v>礫質土</v>
      </c>
      <c r="Q8" s="122"/>
      <c r="R8" s="11"/>
      <c r="S8" s="122"/>
      <c r="T8" s="122"/>
      <c r="U8" s="122"/>
      <c r="V8" s="122"/>
      <c r="W8" s="122"/>
      <c r="X8" s="122"/>
      <c r="Z8" t="s">
        <v>56</v>
      </c>
      <c r="AA8" s="53" t="str">
        <f>VLOOKUP($AA$7,$Z$4:$AB$6,2,FALSE)</f>
        <v>A地域</v>
      </c>
    </row>
    <row r="9" spans="1:27" ht="15">
      <c r="A9">
        <v>6</v>
      </c>
      <c r="B9" s="59" t="s">
        <v>28</v>
      </c>
      <c r="C9" s="49">
        <f t="shared" si="0"/>
        <v>100</v>
      </c>
      <c r="D9" s="49">
        <v>0.76</v>
      </c>
      <c r="E9" s="49"/>
      <c r="F9" s="49">
        <v>55</v>
      </c>
      <c r="G9" s="49">
        <v>0.76</v>
      </c>
      <c r="H9" s="49">
        <v>100</v>
      </c>
      <c r="I9" s="49">
        <v>0.76</v>
      </c>
      <c r="J9" s="49"/>
      <c r="K9" t="s">
        <v>51</v>
      </c>
      <c r="L9" s="53">
        <f>VLOOKUP($L$7,$K$4:$O$6,3,FALSE)</f>
        <v>20</v>
      </c>
      <c r="Q9" s="122"/>
      <c r="R9" s="11"/>
      <c r="S9" s="122"/>
      <c r="T9" s="122"/>
      <c r="U9" s="122"/>
      <c r="V9" s="122"/>
      <c r="W9" s="122"/>
      <c r="X9" s="122"/>
      <c r="Z9" t="s">
        <v>60</v>
      </c>
      <c r="AA9" s="77">
        <f>VLOOKUP($AA$7,$Z$4:$AB$6,3,FALSE)</f>
        <v>1</v>
      </c>
    </row>
    <row r="10" spans="1:24" ht="15">
      <c r="A10">
        <v>7</v>
      </c>
      <c r="B10" s="59" t="s">
        <v>29</v>
      </c>
      <c r="C10" s="49">
        <f t="shared" si="0"/>
        <v>130</v>
      </c>
      <c r="D10" s="49">
        <v>0.76</v>
      </c>
      <c r="E10" s="49"/>
      <c r="F10" s="49">
        <v>55</v>
      </c>
      <c r="G10" s="49">
        <v>0.76</v>
      </c>
      <c r="H10" s="49">
        <v>130</v>
      </c>
      <c r="I10" s="49">
        <v>0.76</v>
      </c>
      <c r="J10" s="49"/>
      <c r="K10" t="s">
        <v>50</v>
      </c>
      <c r="L10" s="53">
        <f>VLOOKUP($L$7,$K$4:$O$6,4,FALSE)</f>
        <v>35</v>
      </c>
      <c r="M10">
        <f>φd*PI()/180</f>
        <v>0.6108652381980153</v>
      </c>
      <c r="Q10" s="122"/>
      <c r="R10" s="122"/>
      <c r="T10" s="122" t="str">
        <f>"γ="&amp;γ&amp;" kN/m3"</f>
        <v>γ=20 kN/m3</v>
      </c>
      <c r="U10" s="122"/>
      <c r="V10" s="122"/>
      <c r="W10" s="122"/>
      <c r="X10" s="122"/>
    </row>
    <row r="11" spans="1:20" ht="15">
      <c r="A11">
        <v>8</v>
      </c>
      <c r="B11" s="60" t="s">
        <v>211</v>
      </c>
      <c r="C11" s="49">
        <f>'入力'!D5</f>
        <v>30</v>
      </c>
      <c r="D11" s="49">
        <f>'入力'!D6</f>
        <v>0.6</v>
      </c>
      <c r="E11" s="49"/>
      <c r="F11" s="49">
        <v>0</v>
      </c>
      <c r="G11" s="49">
        <v>0</v>
      </c>
      <c r="H11" s="49">
        <v>0</v>
      </c>
      <c r="I11" s="49">
        <v>0</v>
      </c>
      <c r="J11" s="49"/>
      <c r="K11" t="s">
        <v>52</v>
      </c>
      <c r="L11" s="53">
        <f>VLOOKUP($L$7,$K$4:$O$6,5,FALSE)</f>
        <v>0</v>
      </c>
      <c r="T11" t="str">
        <f>"φ="&amp;φd&amp;" ゜"</f>
        <v>φ=35 ゜</v>
      </c>
    </row>
    <row r="12" spans="2:10" ht="15">
      <c r="B12" s="54">
        <v>2</v>
      </c>
      <c r="C12" s="49"/>
      <c r="D12" s="49"/>
      <c r="E12" s="49"/>
      <c r="F12" s="49"/>
      <c r="G12" s="49"/>
      <c r="H12" s="49"/>
      <c r="I12" s="49"/>
      <c r="J12" s="49"/>
    </row>
    <row r="13" spans="2:19" ht="15">
      <c r="B13" s="58" t="s">
        <v>21</v>
      </c>
      <c r="C13" s="53" t="str">
        <f>VLOOKUP($B$12,$A$4:$D$11,2,FALSE)</f>
        <v>B種</v>
      </c>
      <c r="P13" t="s">
        <v>214</v>
      </c>
      <c r="Q13">
        <f>P</f>
        <v>30</v>
      </c>
      <c r="R13" t="s">
        <v>197</v>
      </c>
      <c r="S13" t="str">
        <f>P13&amp;Q13&amp;R13</f>
        <v>P=30kN</v>
      </c>
    </row>
    <row r="14" spans="2:20" ht="15">
      <c r="B14" s="58" t="s">
        <v>22</v>
      </c>
      <c r="C14" s="53">
        <f>VLOOKUP($B$12,$A$4:$D$11,3,FALSE)</f>
        <v>30</v>
      </c>
      <c r="D14" s="51" t="s">
        <v>30</v>
      </c>
      <c r="E14" s="51"/>
      <c r="F14" s="51"/>
      <c r="G14" s="51"/>
      <c r="H14" s="51"/>
      <c r="I14" s="51"/>
      <c r="P14" t="s">
        <v>215</v>
      </c>
      <c r="Q14" s="122">
        <f>hp</f>
        <v>0.6</v>
      </c>
      <c r="R14" s="122" t="s">
        <v>88</v>
      </c>
      <c r="S14" t="str">
        <f>P14&amp;Q14&amp;R14</f>
        <v>hp=0.6m</v>
      </c>
      <c r="T14" s="122"/>
    </row>
    <row r="15" spans="2:20" ht="15">
      <c r="B15" s="58" t="s">
        <v>19</v>
      </c>
      <c r="C15" s="53">
        <f>VLOOKUP($B$12,$A$4:$D$11,4,FALSE)</f>
        <v>0.6</v>
      </c>
      <c r="D15" s="51" t="s">
        <v>15</v>
      </c>
      <c r="E15" s="51"/>
      <c r="F15" s="51"/>
      <c r="G15" s="51"/>
      <c r="H15" s="51"/>
      <c r="I15" s="51"/>
      <c r="P15" t="s">
        <v>78</v>
      </c>
      <c r="Q15" s="123">
        <f>'入力'!D7</f>
        <v>0.9</v>
      </c>
      <c r="R15" s="122"/>
      <c r="S15" s="122" t="str">
        <f>"H="&amp;H&amp;" m"</f>
        <v>H=0.9 m</v>
      </c>
      <c r="T15" s="122"/>
    </row>
    <row r="16" spans="16:20" ht="15">
      <c r="P16" t="s">
        <v>79</v>
      </c>
      <c r="Q16" s="123">
        <f>'入力'!D8</f>
        <v>0.85</v>
      </c>
      <c r="R16" s="122"/>
      <c r="S16" s="122" t="str">
        <f>"bu="&amp;bu&amp;" m"</f>
        <v>bu=0.85 m</v>
      </c>
      <c r="T16" s="122"/>
    </row>
    <row r="17" spans="1:20" ht="15">
      <c r="A17" t="s">
        <v>20</v>
      </c>
      <c r="B17" s="50" t="s">
        <v>16</v>
      </c>
      <c r="P17" t="s">
        <v>80</v>
      </c>
      <c r="Q17" s="123">
        <f>'入力'!D9</f>
        <v>0</v>
      </c>
      <c r="R17" s="122"/>
      <c r="T17" s="122"/>
    </row>
    <row r="18" spans="1:20" ht="15">
      <c r="A18">
        <v>1</v>
      </c>
      <c r="B18" t="s">
        <v>44</v>
      </c>
      <c r="J18" s="124"/>
      <c r="K18" s="125"/>
      <c r="L18" s="124"/>
      <c r="M18" s="124"/>
      <c r="N18" s="124"/>
      <c r="O18" s="124"/>
      <c r="P18" t="s">
        <v>81</v>
      </c>
      <c r="Q18" s="122">
        <f>'入力'!D10</f>
        <v>0</v>
      </c>
      <c r="R18" s="122"/>
      <c r="T18" s="122"/>
    </row>
    <row r="19" spans="1:20" ht="15">
      <c r="A19">
        <v>2</v>
      </c>
      <c r="B19" t="s">
        <v>45</v>
      </c>
      <c r="J19" s="124"/>
      <c r="K19" s="125"/>
      <c r="L19" s="124"/>
      <c r="M19" s="124"/>
      <c r="N19" s="124"/>
      <c r="O19" s="124"/>
      <c r="P19" t="s">
        <v>82</v>
      </c>
      <c r="Q19" s="123">
        <f>IF(B26=2,MIN('入力'!D11,10),'入力'!D11)</f>
        <v>8</v>
      </c>
      <c r="R19" s="122"/>
      <c r="S19" s="122" t="str">
        <f>"Lw="&amp;Lw&amp;" m"</f>
        <v>Lw=8 m</v>
      </c>
      <c r="T19" s="122"/>
    </row>
    <row r="20" spans="2:20" ht="13.5">
      <c r="B20" s="73">
        <v>2</v>
      </c>
      <c r="J20" s="124"/>
      <c r="K20" s="126"/>
      <c r="L20" s="124"/>
      <c r="M20" s="124"/>
      <c r="N20" s="124"/>
      <c r="O20" s="124"/>
      <c r="P20" t="s">
        <v>83</v>
      </c>
      <c r="Q20" s="123">
        <f>IF(B26=2,0,'入力'!D13)</f>
        <v>0</v>
      </c>
      <c r="R20" s="122"/>
      <c r="S20" s="122" t="str">
        <f>"q="&amp;q&amp;" kN/m2"</f>
        <v>q=0 kN/m2</v>
      </c>
      <c r="T20" s="122"/>
    </row>
    <row r="21" spans="2:20" ht="15">
      <c r="B21" t="str">
        <f>IF(B20=1,B18,B19)</f>
        <v>鉄筋コンクリート</v>
      </c>
      <c r="J21" s="124"/>
      <c r="K21" s="125"/>
      <c r="L21" s="124"/>
      <c r="M21" s="124"/>
      <c r="N21" s="124"/>
      <c r="O21" s="124"/>
      <c r="P21" t="s">
        <v>84</v>
      </c>
      <c r="Q21" s="122">
        <f>ROUND(bu+(nf+nr)*H,3)</f>
        <v>0.85</v>
      </c>
      <c r="R21" s="122"/>
      <c r="S21" s="122" t="str">
        <f>"B="&amp;B&amp;" m"</f>
        <v>B=0.85 m</v>
      </c>
      <c r="T21" s="122"/>
    </row>
    <row r="22" spans="10:20" ht="15">
      <c r="J22" s="124"/>
      <c r="K22" s="125"/>
      <c r="L22" s="124"/>
      <c r="M22" s="124"/>
      <c r="N22" s="124"/>
      <c r="O22" s="124"/>
      <c r="Q22" s="122"/>
      <c r="R22" s="122"/>
      <c r="S22" s="122"/>
      <c r="T22" s="122"/>
    </row>
    <row r="23" spans="1:32" ht="18">
      <c r="A23" t="s">
        <v>175</v>
      </c>
      <c r="J23" s="124"/>
      <c r="K23" s="124"/>
      <c r="L23" s="124"/>
      <c r="M23" s="124"/>
      <c r="N23" s="124"/>
      <c r="O23" s="124"/>
      <c r="Q23" s="122"/>
      <c r="R23" s="122"/>
      <c r="S23" s="122"/>
      <c r="T23" s="122"/>
      <c r="AB23" s="245" t="s">
        <v>49</v>
      </c>
      <c r="AC23" s="111" t="s">
        <v>70</v>
      </c>
      <c r="AD23" s="111" t="s">
        <v>71</v>
      </c>
      <c r="AE23" s="243" t="s">
        <v>74</v>
      </c>
      <c r="AF23" s="244"/>
    </row>
    <row r="24" spans="2:32" ht="18">
      <c r="B24" s="57">
        <v>1</v>
      </c>
      <c r="C24" t="s">
        <v>176</v>
      </c>
      <c r="J24" s="124"/>
      <c r="K24" s="124"/>
      <c r="L24" s="124"/>
      <c r="M24" s="124"/>
      <c r="N24" s="124"/>
      <c r="O24" s="124"/>
      <c r="Q24" s="122" t="str">
        <f>"1:"&amp;nf</f>
        <v>1:0</v>
      </c>
      <c r="R24" s="122"/>
      <c r="S24" s="122"/>
      <c r="T24" s="122"/>
      <c r="AB24" s="246"/>
      <c r="AC24" s="116" t="s">
        <v>66</v>
      </c>
      <c r="AD24" s="117" t="s">
        <v>64</v>
      </c>
      <c r="AE24" s="117" t="s">
        <v>65</v>
      </c>
      <c r="AF24" s="118" t="s">
        <v>72</v>
      </c>
    </row>
    <row r="25" spans="2:32" ht="15">
      <c r="B25" s="57">
        <v>2</v>
      </c>
      <c r="C25" t="s">
        <v>177</v>
      </c>
      <c r="J25" s="124"/>
      <c r="K25" s="124"/>
      <c r="L25" s="124"/>
      <c r="M25" s="124"/>
      <c r="N25" s="124"/>
      <c r="O25" s="124"/>
      <c r="Q25" s="122" t="str">
        <f>"1:"&amp;nr</f>
        <v>1:0</v>
      </c>
      <c r="R25" s="122"/>
      <c r="S25" s="122"/>
      <c r="T25" s="122"/>
      <c r="AB25" s="112" t="s">
        <v>67</v>
      </c>
      <c r="AC25" s="113">
        <v>20</v>
      </c>
      <c r="AD25" s="113">
        <v>35</v>
      </c>
      <c r="AE25" s="113">
        <v>0</v>
      </c>
      <c r="AF25" s="247" t="s">
        <v>73</v>
      </c>
    </row>
    <row r="26" spans="2:32" ht="15">
      <c r="B26" s="57">
        <v>2</v>
      </c>
      <c r="C26" t="str">
        <f>IF(B26=1,C24,C25)</f>
        <v>車両用防護柵標準仕様</v>
      </c>
      <c r="J26" s="124"/>
      <c r="K26" s="125"/>
      <c r="L26" s="121"/>
      <c r="M26" s="124"/>
      <c r="N26" s="124"/>
      <c r="O26" s="124"/>
      <c r="Q26" s="122"/>
      <c r="R26" s="11"/>
      <c r="S26" s="122"/>
      <c r="T26" s="122"/>
      <c r="AB26" s="112" t="s">
        <v>68</v>
      </c>
      <c r="AC26" s="113">
        <v>19</v>
      </c>
      <c r="AD26" s="113">
        <v>30</v>
      </c>
      <c r="AE26" s="113">
        <v>0</v>
      </c>
      <c r="AF26" s="248"/>
    </row>
    <row r="27" spans="10:32" ht="15">
      <c r="J27" s="124"/>
      <c r="K27" s="125"/>
      <c r="L27" s="124"/>
      <c r="M27" s="124"/>
      <c r="N27" s="124"/>
      <c r="O27" s="124"/>
      <c r="Q27" s="122"/>
      <c r="R27" s="11"/>
      <c r="S27" s="122"/>
      <c r="T27" s="122"/>
      <c r="AB27" s="114" t="s">
        <v>69</v>
      </c>
      <c r="AC27" s="115">
        <v>18</v>
      </c>
      <c r="AD27" s="115">
        <v>25</v>
      </c>
      <c r="AE27" s="115">
        <v>0</v>
      </c>
      <c r="AF27" s="249"/>
    </row>
    <row r="28" spans="10:20" ht="15">
      <c r="J28" s="124"/>
      <c r="K28" s="125"/>
      <c r="L28" s="124"/>
      <c r="M28" s="124"/>
      <c r="N28" s="124"/>
      <c r="O28" s="124"/>
      <c r="Q28" s="122"/>
      <c r="R28" s="11"/>
      <c r="S28" s="122"/>
      <c r="T28" s="122"/>
    </row>
  </sheetData>
  <mergeCells count="5">
    <mergeCell ref="AE23:AF23"/>
    <mergeCell ref="AB23:AB24"/>
    <mergeCell ref="AF25:AF27"/>
    <mergeCell ref="F2:G2"/>
    <mergeCell ref="H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重力式擁壁</dc:title>
  <dc:subject>安定計算</dc:subject>
  <dc:creator>右城 猛</dc:creator>
  <cp:keywords/>
  <dc:description>試行くさび法適用
常時、地震時の計算が可能</dc:description>
  <cp:lastModifiedBy>DT-276</cp:lastModifiedBy>
  <cp:lastPrinted>2006-04-08T02:50:11Z</cp:lastPrinted>
  <dcterms:created xsi:type="dcterms:W3CDTF">1996-07-10T08:22:48Z</dcterms:created>
  <dcterms:modified xsi:type="dcterms:W3CDTF">2008-11-13T08:17:45Z</dcterms:modified>
  <cp:category/>
  <cp:version/>
  <cp:contentType/>
  <cp:contentStatus/>
</cp:coreProperties>
</file>