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815" windowHeight="8490" activeTab="0"/>
  </bookViews>
  <sheets>
    <sheet name="入力" sheetId="1" r:id="rId1"/>
    <sheet name="出力" sheetId="2" r:id="rId2"/>
  </sheets>
  <definedNames>
    <definedName name="b">'出力'!$G$7</definedName>
    <definedName name="H">'出力'!$G$6</definedName>
    <definedName name="ho">'出力'!$G$10</definedName>
    <definedName name="nf">'出力'!$G$8</definedName>
    <definedName name="nr">'出力'!$G$9</definedName>
    <definedName name="_xlnm.Print_Area" localSheetId="1">'出力'!$A$1:$I$110</definedName>
    <definedName name="_xlnm.Print_Area" localSheetId="0">'入力'!$A$2:$L$21</definedName>
    <definedName name="qa">'出力'!$G$15</definedName>
    <definedName name="solver_adj" localSheetId="1" hidden="1">'出力'!$G$8,'出力'!$G$9</definedName>
    <definedName name="solver_lhs1" localSheetId="1" hidden="1">'入力'!$D$19</definedName>
    <definedName name="solver_lhs2" localSheetId="1" hidden="1">'入力'!$D$20</definedName>
    <definedName name="solver_lhs3" localSheetId="1" hidden="1">'入力'!$D$21</definedName>
    <definedName name="solver_lhs4" localSheetId="1" hidden="1">'出力'!$G$8</definedName>
    <definedName name="solver_lhs5" localSheetId="1" hidden="1">'出力'!$G$9</definedName>
    <definedName name="solver_lin" localSheetId="1" hidden="1">0</definedName>
    <definedName name="solver_num" localSheetId="1" hidden="1">5</definedName>
    <definedName name="solver_opt" localSheetId="1" hidden="1">'出力'!$L$15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hs1" localSheetId="1" hidden="1">4.001</definedName>
    <definedName name="solver_rhs2" localSheetId="1" hidden="1">'入力'!$E$20</definedName>
    <definedName name="solver_rhs3" localSheetId="1" hidden="1">'入力'!$E$21</definedName>
    <definedName name="solver_rhs4" localSheetId="1" hidden="1">0</definedName>
    <definedName name="solver_rhs5" localSheetId="1" hidden="1">0</definedName>
    <definedName name="solver_tmp" localSheetId="1" hidden="1">0</definedName>
    <definedName name="solver_typ" localSheetId="1" hidden="1">2</definedName>
    <definedName name="solver_val" localSheetId="1" hidden="1">0</definedName>
    <definedName name="γc">'出力'!$G$11</definedName>
    <definedName name="γw">'出力'!$G$12</definedName>
    <definedName name="μ">'出力'!$G$13</definedName>
    <definedName name="τ">'出力'!$G$14</definedName>
  </definedNames>
  <calcPr fullCalcOnLoad="1"/>
</workbook>
</file>

<file path=xl/sharedStrings.xml><?xml version="1.0" encoding="utf-8"?>
<sst xmlns="http://schemas.openxmlformats.org/spreadsheetml/2006/main" count="160" uniqueCount="104">
  <si>
    <t>重力式砂防堰堤の安定計算（ダム高15m未満）</t>
  </si>
  <si>
    <t>x</t>
  </si>
  <si>
    <t>ダム</t>
  </si>
  <si>
    <t>水面</t>
  </si>
  <si>
    <t>安定計算結果</t>
  </si>
  <si>
    <t>１．設計条件</t>
  </si>
  <si>
    <t>計算値</t>
  </si>
  <si>
    <t>判定</t>
  </si>
  <si>
    <t>ダム高</t>
  </si>
  <si>
    <t>H=</t>
  </si>
  <si>
    <t>m</t>
  </si>
  <si>
    <t>ダム天端幅</t>
  </si>
  <si>
    <t>ダム下流面勾配</t>
  </si>
  <si>
    <t>ダム上流面勾配</t>
  </si>
  <si>
    <t>越流水深</t>
  </si>
  <si>
    <t>コンクリートの単位体積重量</t>
  </si>
  <si>
    <t>流水の単位体積重量</t>
  </si>
  <si>
    <t>基礎地盤とコンクリートの摩擦係数</t>
  </si>
  <si>
    <t>基礎地盤のせん断強度</t>
  </si>
  <si>
    <t>基礎地盤の許容支持力度</t>
  </si>
  <si>
    <t>２．荷重</t>
  </si>
  <si>
    <t>　（１）静水圧</t>
  </si>
  <si>
    <t>水平力</t>
  </si>
  <si>
    <t>アーム</t>
  </si>
  <si>
    <t>ﾓｰﾒﾝﾄ</t>
  </si>
  <si>
    <t>∑</t>
  </si>
  <si>
    <t>　（２）自重</t>
  </si>
  <si>
    <t>鉛直力</t>
  </si>
  <si>
    <t>　（３）水重</t>
  </si>
  <si>
    <t>　（４）荷重の集計</t>
  </si>
  <si>
    <t>静水圧</t>
  </si>
  <si>
    <t>自重</t>
  </si>
  <si>
    <t>水重</t>
  </si>
  <si>
    <t>３．安定計算</t>
  </si>
  <si>
    <t>　（１）滑動に対する検討</t>
  </si>
  <si>
    <t>V=</t>
  </si>
  <si>
    <t>ダム底幅</t>
  </si>
  <si>
    <t>B=</t>
  </si>
  <si>
    <t>摩擦係数</t>
  </si>
  <si>
    <t>摩擦抵抗</t>
  </si>
  <si>
    <t>滑動抵抗力</t>
  </si>
  <si>
    <t>滑動の安全率</t>
  </si>
  <si>
    <t>　（２）転倒に対する検討</t>
  </si>
  <si>
    <t>　（３）支持力に対する検討</t>
  </si>
  <si>
    <t>地盤反力度</t>
  </si>
  <si>
    <t>上流側</t>
  </si>
  <si>
    <t>下流側</t>
  </si>
  <si>
    <t>最大地盤反力度</t>
  </si>
  <si>
    <r>
      <t>重力式砂防堰堤の安定計算（ダム高</t>
    </r>
    <r>
      <rPr>
        <sz val="11"/>
        <rFont val="Times New Roman"/>
        <family val="1"/>
      </rPr>
      <t>15m</t>
    </r>
    <r>
      <rPr>
        <sz val="11"/>
        <rFont val="ＭＳ 明朝"/>
        <family val="1"/>
      </rPr>
      <t>未満）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</si>
  <si>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</si>
  <si>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</si>
  <si>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</si>
  <si>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</si>
  <si>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</si>
  <si>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</si>
  <si>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</si>
  <si>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</si>
  <si>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</si>
  <si>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</si>
  <si>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t>滑動</t>
  </si>
  <si>
    <t>転倒</t>
  </si>
  <si>
    <t>支持</t>
  </si>
  <si>
    <t>安全率</t>
  </si>
  <si>
    <t>偏心量</t>
  </si>
  <si>
    <t>最大反力</t>
  </si>
  <si>
    <t>規定値</t>
  </si>
  <si>
    <r>
      <t>b</t>
    </r>
    <r>
      <rPr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</si>
  <si>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</si>
  <si>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</si>
  <si>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</si>
  <si>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</si>
  <si>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</si>
  <si>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</si>
  <si>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</si>
  <si>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V</t>
    </r>
    <r>
      <rPr>
        <sz val="11"/>
        <rFont val="Times New Roman"/>
        <family val="1"/>
      </rPr>
      <t>(kN/m)</t>
    </r>
  </si>
  <si>
    <t>kN/m</t>
  </si>
  <si>
    <t>せん断強度</t>
  </si>
  <si>
    <r>
      <t>せん断抵抗力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</si>
  <si>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</si>
  <si>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B=</t>
    </r>
  </si>
  <si>
    <r>
      <t>H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</si>
  <si>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F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=H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/H=</t>
    </r>
  </si>
  <si>
    <r>
      <t>F</t>
    </r>
    <r>
      <rPr>
        <i/>
        <vertAlign val="subscript"/>
        <sz val="11"/>
        <rFont val="Times New Roman"/>
        <family val="1"/>
      </rPr>
      <t>sa</t>
    </r>
    <r>
      <rPr>
        <i/>
        <sz val="11"/>
        <rFont val="Times New Roman"/>
        <family val="1"/>
      </rPr>
      <t>=</t>
    </r>
  </si>
  <si>
    <r>
      <t>B</t>
    </r>
    <r>
      <rPr>
        <sz val="11"/>
        <rFont val="Times New Roman"/>
        <family val="1"/>
      </rPr>
      <t>/6=</t>
    </r>
  </si>
  <si>
    <r>
      <t>q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</si>
  <si>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i/>
        <vertAlign val="subscript"/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</si>
  <si>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(kN/m)</t>
    </r>
  </si>
  <si>
    <r>
      <t>M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(kNm/m)</t>
    </r>
  </si>
  <si>
    <r>
      <t>M</t>
    </r>
    <r>
      <rPr>
        <i/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(kNm/m)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</si>
  <si>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</si>
  <si>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</si>
  <si>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H</t>
    </r>
    <r>
      <rPr>
        <sz val="11"/>
        <rFont val="Times New Roman"/>
        <family val="1"/>
      </rPr>
      <t>(kN/m)</t>
    </r>
  </si>
  <si>
    <r>
      <t>W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1</t>
    </r>
  </si>
  <si>
    <r>
      <t>W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2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</si>
  <si>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</si>
  <si>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2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</si>
  <si>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3</t>
    </r>
  </si>
  <si>
    <r>
      <t>P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1</t>
    </r>
  </si>
  <si>
    <r>
      <t>P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2</t>
    </r>
  </si>
  <si>
    <r>
      <t>μ</t>
    </r>
    <r>
      <rPr>
        <i/>
        <sz val="11"/>
        <rFont val="Times New Roman"/>
        <family val="1"/>
      </rPr>
      <t>=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</si>
  <si>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ＭＳ Ｐ明朝"/>
        <family val="1"/>
      </rPr>
      <t>μ</t>
    </r>
    <r>
      <rPr>
        <i/>
        <sz val="11"/>
        <rFont val="Times New Roman"/>
        <family val="1"/>
      </rPr>
      <t>=</t>
    </r>
  </si>
  <si>
    <r>
      <t>荷重の偏心量　　</t>
    </r>
    <r>
      <rPr>
        <i/>
        <sz val="11"/>
        <rFont val="Times New Roman"/>
        <family val="1"/>
      </rPr>
      <t>e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</si>
  <si>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i/>
        <sz val="11"/>
        <rFont val="Times New Roman"/>
        <family val="1"/>
      </rPr>
      <t>=</t>
    </r>
  </si>
  <si>
    <t>モーメント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</si>
</sst>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#,##0.0;[Red]\-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4"/>
      <name val="ＭＳ 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u val="single"/>
      <sz val="14.4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179" fontId="5" fillId="0" borderId="4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184" fontId="5" fillId="0" borderId="4" xfId="17" applyNumberFormat="1" applyFont="1" applyBorder="1" applyAlignment="1">
      <alignment/>
    </xf>
    <xf numFmtId="184" fontId="5" fillId="0" borderId="5" xfId="17" applyNumberFormat="1" applyFont="1" applyBorder="1" applyAlignment="1">
      <alignment/>
    </xf>
    <xf numFmtId="184" fontId="5" fillId="0" borderId="3" xfId="17" applyNumberFormat="1" applyFont="1" applyBorder="1" applyAlignment="1">
      <alignment/>
    </xf>
    <xf numFmtId="184" fontId="5" fillId="0" borderId="6" xfId="17" applyNumberFormat="1" applyFont="1" applyBorder="1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center"/>
    </xf>
    <xf numFmtId="179" fontId="5" fillId="0" borderId="4" xfId="0" applyNumberFormat="1" applyFont="1" applyBorder="1" applyAlignment="1">
      <alignment horizontal="center" shrinkToFit="1"/>
    </xf>
    <xf numFmtId="179" fontId="5" fillId="0" borderId="5" xfId="0" applyNumberFormat="1" applyFont="1" applyBorder="1" applyAlignment="1">
      <alignment horizontal="center" shrinkToFit="1"/>
    </xf>
    <xf numFmtId="179" fontId="5" fillId="0" borderId="3" xfId="0" applyNumberFormat="1" applyFont="1" applyBorder="1" applyAlignment="1">
      <alignment horizontal="center" shrinkToFit="1"/>
    </xf>
    <xf numFmtId="179" fontId="5" fillId="0" borderId="6" xfId="0" applyNumberFormat="1" applyFont="1" applyBorder="1" applyAlignment="1">
      <alignment horizontal="center" shrinkToFit="1"/>
    </xf>
    <xf numFmtId="179" fontId="5" fillId="0" borderId="4" xfId="0" applyNumberFormat="1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179" fontId="5" fillId="0" borderId="6" xfId="0" applyNumberFormat="1" applyFont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shrinkToFit="1"/>
    </xf>
    <xf numFmtId="2" fontId="5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'出力'!$V$2</c:f>
              <c:strCache>
                <c:ptCount val="1"/>
                <c:pt idx="0">
                  <c:v>ダム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'出力'!$U$3:$U$10</c:f>
              <c:numCache/>
            </c:numRef>
          </c:xVal>
          <c:yVal>
            <c:numRef>
              <c:f>'出力'!$V$3:$V$10</c:f>
              <c:numCache/>
            </c:numRef>
          </c:yVal>
          <c:smooth val="0"/>
        </c:ser>
        <c:ser>
          <c:idx val="1"/>
          <c:order val="1"/>
          <c:tx>
            <c:strRef>
              <c:f>'出力'!$W$2</c:f>
              <c:strCache>
                <c:ptCount val="1"/>
                <c:pt idx="0">
                  <c:v>水面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'出力'!$U$3:$U$10</c:f>
              <c:numCache/>
            </c:numRef>
          </c:xVal>
          <c:yVal>
            <c:numRef>
              <c:f>'出力'!$W$3:$W$10</c:f>
              <c:numCache/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94227"/>
        <c:crosses val="autoZero"/>
        <c:crossBetween val="midCat"/>
        <c:dispUnits/>
      </c:valAx>
      <c:valAx>
        <c:axId val="159942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03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13</xdr:row>
      <xdr:rowOff>47625</xdr:rowOff>
    </xdr:from>
    <xdr:to>
      <xdr:col>11</xdr:col>
      <xdr:colOff>619125</xdr:colOff>
      <xdr:row>16</xdr:row>
      <xdr:rowOff>161925</xdr:rowOff>
    </xdr:to>
    <xdr:sp>
      <xdr:nvSpPr>
        <xdr:cNvPr id="1" name="Rectangle 71"/>
        <xdr:cNvSpPr>
          <a:spLocks/>
        </xdr:cNvSpPr>
      </xdr:nvSpPr>
      <xdr:spPr>
        <a:xfrm>
          <a:off x="5667375" y="3019425"/>
          <a:ext cx="4133850" cy="8001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771525</xdr:colOff>
      <xdr:row>3</xdr:row>
      <xdr:rowOff>152400</xdr:rowOff>
    </xdr:from>
    <xdr:to>
      <xdr:col>11</xdr:col>
      <xdr:colOff>619125</xdr:colOff>
      <xdr:row>13</xdr:row>
      <xdr:rowOff>47625</xdr:rowOff>
    </xdr:to>
    <xdr:sp>
      <xdr:nvSpPr>
        <xdr:cNvPr id="2" name="Polygon 69"/>
        <xdr:cNvSpPr>
          <a:spLocks/>
        </xdr:cNvSpPr>
      </xdr:nvSpPr>
      <xdr:spPr>
        <a:xfrm>
          <a:off x="5667375" y="838200"/>
          <a:ext cx="4133850" cy="2181225"/>
        </a:xfrm>
        <a:custGeom>
          <a:pathLst>
            <a:path h="229" w="347">
              <a:moveTo>
                <a:pt x="347" y="0"/>
              </a:moveTo>
              <a:lnTo>
                <a:pt x="347" y="229"/>
              </a:lnTo>
              <a:lnTo>
                <a:pt x="0" y="229"/>
              </a:lnTo>
              <a:lnTo>
                <a:pt x="0" y="191"/>
              </a:lnTo>
              <a:lnTo>
                <a:pt x="20" y="191"/>
              </a:lnTo>
              <a:lnTo>
                <a:pt x="41" y="192"/>
              </a:lnTo>
              <a:lnTo>
                <a:pt x="61" y="199"/>
              </a:lnTo>
              <a:lnTo>
                <a:pt x="68" y="201"/>
              </a:lnTo>
              <a:lnTo>
                <a:pt x="73" y="208"/>
              </a:lnTo>
              <a:lnTo>
                <a:pt x="77" y="210"/>
              </a:lnTo>
              <a:lnTo>
                <a:pt x="85" y="205"/>
              </a:lnTo>
              <a:lnTo>
                <a:pt x="91" y="192"/>
              </a:lnTo>
              <a:lnTo>
                <a:pt x="105" y="163"/>
              </a:lnTo>
              <a:lnTo>
                <a:pt x="128" y="105"/>
              </a:lnTo>
              <a:lnTo>
                <a:pt x="156" y="39"/>
              </a:lnTo>
              <a:lnTo>
                <a:pt x="169" y="22"/>
              </a:lnTo>
              <a:lnTo>
                <a:pt x="183" y="9"/>
              </a:lnTo>
              <a:lnTo>
                <a:pt x="204" y="4"/>
              </a:lnTo>
              <a:lnTo>
                <a:pt x="225" y="0"/>
              </a:lnTo>
              <a:lnTo>
                <a:pt x="347" y="0"/>
              </a:lnTo>
              <a:close/>
            </a:path>
          </a:pathLst>
        </a:custGeom>
        <a:solidFill>
          <a:srgbClr val="69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171450</xdr:rowOff>
    </xdr:from>
    <xdr:to>
      <xdr:col>10</xdr:col>
      <xdr:colOff>419100</xdr:colOff>
      <xdr:row>13</xdr:row>
      <xdr:rowOff>133350</xdr:rowOff>
    </xdr:to>
    <xdr:sp>
      <xdr:nvSpPr>
        <xdr:cNvPr id="3" name="Polygon 72"/>
        <xdr:cNvSpPr>
          <a:spLocks/>
        </xdr:cNvSpPr>
      </xdr:nvSpPr>
      <xdr:spPr>
        <a:xfrm>
          <a:off x="6981825" y="1085850"/>
          <a:ext cx="1762125" cy="2019300"/>
        </a:xfrm>
        <a:custGeom>
          <a:pathLst>
            <a:path h="212" w="148">
              <a:moveTo>
                <a:pt x="81" y="0"/>
              </a:moveTo>
              <a:lnTo>
                <a:pt x="111" y="0"/>
              </a:lnTo>
              <a:lnTo>
                <a:pt x="148" y="212"/>
              </a:lnTo>
              <a:lnTo>
                <a:pt x="0" y="212"/>
              </a:lnTo>
              <a:lnTo>
                <a:pt x="81" y="0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800100</xdr:colOff>
      <xdr:row>3</xdr:row>
      <xdr:rowOff>133350</xdr:rowOff>
    </xdr:from>
    <xdr:to>
      <xdr:col>11</xdr:col>
      <xdr:colOff>609600</xdr:colOff>
      <xdr:row>12</xdr:row>
      <xdr:rowOff>133350</xdr:rowOff>
    </xdr:to>
    <xdr:sp>
      <xdr:nvSpPr>
        <xdr:cNvPr id="4" name="AutoShape 68"/>
        <xdr:cNvSpPr>
          <a:spLocks/>
        </xdr:cNvSpPr>
      </xdr:nvSpPr>
      <xdr:spPr>
        <a:xfrm>
          <a:off x="5695950" y="819150"/>
          <a:ext cx="4095750" cy="2057400"/>
        </a:xfrm>
        <a:custGeom>
          <a:pathLst>
            <a:path h="216" w="344">
              <a:moveTo>
                <a:pt x="0" y="193"/>
              </a:moveTo>
              <a:cubicBezTo>
                <a:pt x="14" y="192"/>
                <a:pt x="28" y="191"/>
                <a:pt x="39" y="193"/>
              </a:cubicBezTo>
              <a:cubicBezTo>
                <a:pt x="50" y="195"/>
                <a:pt x="60" y="202"/>
                <a:pt x="66" y="205"/>
              </a:cubicBezTo>
              <a:cubicBezTo>
                <a:pt x="72" y="208"/>
                <a:pt x="71" y="216"/>
                <a:pt x="76" y="212"/>
              </a:cubicBezTo>
              <a:cubicBezTo>
                <a:pt x="81" y="208"/>
                <a:pt x="83" y="209"/>
                <a:pt x="95" y="183"/>
              </a:cubicBezTo>
              <a:cubicBezTo>
                <a:pt x="107" y="157"/>
                <a:pt x="135" y="82"/>
                <a:pt x="148" y="55"/>
              </a:cubicBezTo>
              <a:cubicBezTo>
                <a:pt x="161" y="28"/>
                <a:pt x="160" y="28"/>
                <a:pt x="171" y="19"/>
              </a:cubicBezTo>
              <a:cubicBezTo>
                <a:pt x="182" y="10"/>
                <a:pt x="193" y="6"/>
                <a:pt x="212" y="3"/>
              </a:cubicBezTo>
              <a:cubicBezTo>
                <a:pt x="231" y="0"/>
                <a:pt x="264" y="2"/>
                <a:pt x="286" y="2"/>
              </a:cubicBezTo>
              <a:cubicBezTo>
                <a:pt x="308" y="2"/>
                <a:pt x="326" y="2"/>
                <a:pt x="344" y="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581025</xdr:colOff>
      <xdr:row>13</xdr:row>
      <xdr:rowOff>133350</xdr:rowOff>
    </xdr:from>
    <xdr:to>
      <xdr:col>8</xdr:col>
      <xdr:colOff>381000</xdr:colOff>
      <xdr:row>13</xdr:row>
      <xdr:rowOff>133350</xdr:rowOff>
    </xdr:to>
    <xdr:sp>
      <xdr:nvSpPr>
        <xdr:cNvPr id="5" name="Line 73"/>
        <xdr:cNvSpPr>
          <a:spLocks/>
        </xdr:cNvSpPr>
      </xdr:nvSpPr>
      <xdr:spPr>
        <a:xfrm flipH="1">
          <a:off x="633412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628650</xdr:colOff>
      <xdr:row>4</xdr:row>
      <xdr:rowOff>161925</xdr:rowOff>
    </xdr:from>
    <xdr:to>
      <xdr:col>9</xdr:col>
      <xdr:colOff>466725</xdr:colOff>
      <xdr:row>4</xdr:row>
      <xdr:rowOff>161925</xdr:rowOff>
    </xdr:to>
    <xdr:sp>
      <xdr:nvSpPr>
        <xdr:cNvPr id="6" name="Line 74"/>
        <xdr:cNvSpPr>
          <a:spLocks/>
        </xdr:cNvSpPr>
      </xdr:nvSpPr>
      <xdr:spPr>
        <a:xfrm flipH="1">
          <a:off x="6381750" y="10763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3</xdr:row>
      <xdr:rowOff>152400</xdr:rowOff>
    </xdr:from>
    <xdr:to>
      <xdr:col>10</xdr:col>
      <xdr:colOff>9525</xdr:colOff>
      <xdr:row>3</xdr:row>
      <xdr:rowOff>152400</xdr:rowOff>
    </xdr:to>
    <xdr:sp>
      <xdr:nvSpPr>
        <xdr:cNvPr id="7" name="Line 75"/>
        <xdr:cNvSpPr>
          <a:spLocks/>
        </xdr:cNvSpPr>
      </xdr:nvSpPr>
      <xdr:spPr>
        <a:xfrm flipH="1">
          <a:off x="6362700" y="838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466725</xdr:colOff>
      <xdr:row>1</xdr:row>
      <xdr:rowOff>219075</xdr:rowOff>
    </xdr:from>
    <xdr:to>
      <xdr:col>9</xdr:col>
      <xdr:colOff>466725</xdr:colOff>
      <xdr:row>4</xdr:row>
      <xdr:rowOff>161925</xdr:rowOff>
    </xdr:to>
    <xdr:sp>
      <xdr:nvSpPr>
        <xdr:cNvPr id="8" name="Line 76"/>
        <xdr:cNvSpPr>
          <a:spLocks/>
        </xdr:cNvSpPr>
      </xdr:nvSpPr>
      <xdr:spPr>
        <a:xfrm flipV="1">
          <a:off x="7934325" y="4476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838200</xdr:colOff>
      <xdr:row>1</xdr:row>
      <xdr:rowOff>209550</xdr:rowOff>
    </xdr:from>
    <xdr:to>
      <xdr:col>9</xdr:col>
      <xdr:colOff>838200</xdr:colOff>
      <xdr:row>4</xdr:row>
      <xdr:rowOff>161925</xdr:rowOff>
    </xdr:to>
    <xdr:sp>
      <xdr:nvSpPr>
        <xdr:cNvPr id="9" name="Line 77"/>
        <xdr:cNvSpPr>
          <a:spLocks/>
        </xdr:cNvSpPr>
      </xdr:nvSpPr>
      <xdr:spPr>
        <a:xfrm flipV="1">
          <a:off x="8305800" y="4381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19050</xdr:rowOff>
    </xdr:from>
    <xdr:to>
      <xdr:col>9</xdr:col>
      <xdr:colOff>819150</xdr:colOff>
      <xdr:row>2</xdr:row>
      <xdr:rowOff>19050</xdr:rowOff>
    </xdr:to>
    <xdr:sp>
      <xdr:nvSpPr>
        <xdr:cNvPr id="10" name="Line 78"/>
        <xdr:cNvSpPr>
          <a:spLocks/>
        </xdr:cNvSpPr>
      </xdr:nvSpPr>
      <xdr:spPr>
        <a:xfrm>
          <a:off x="7934325" y="476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152400</xdr:rowOff>
    </xdr:from>
    <xdr:to>
      <xdr:col>7</xdr:col>
      <xdr:colOff>666750</xdr:colOff>
      <xdr:row>4</xdr:row>
      <xdr:rowOff>161925</xdr:rowOff>
    </xdr:to>
    <xdr:sp>
      <xdr:nvSpPr>
        <xdr:cNvPr id="11" name="Line 79"/>
        <xdr:cNvSpPr>
          <a:spLocks/>
        </xdr:cNvSpPr>
      </xdr:nvSpPr>
      <xdr:spPr>
        <a:xfrm>
          <a:off x="6419850" y="838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666750</xdr:colOff>
      <xdr:row>4</xdr:row>
      <xdr:rowOff>171450</xdr:rowOff>
    </xdr:from>
    <xdr:to>
      <xdr:col>7</xdr:col>
      <xdr:colOff>666750</xdr:colOff>
      <xdr:row>13</xdr:row>
      <xdr:rowOff>133350</xdr:rowOff>
    </xdr:to>
    <xdr:sp>
      <xdr:nvSpPr>
        <xdr:cNvPr id="12" name="Line 80"/>
        <xdr:cNvSpPr>
          <a:spLocks/>
        </xdr:cNvSpPr>
      </xdr:nvSpPr>
      <xdr:spPr>
        <a:xfrm>
          <a:off x="6419850" y="10858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12</xdr:row>
      <xdr:rowOff>9525</xdr:rowOff>
    </xdr:from>
    <xdr:to>
      <xdr:col>24</xdr:col>
      <xdr:colOff>666750</xdr:colOff>
      <xdr:row>27</xdr:row>
      <xdr:rowOff>123825</xdr:rowOff>
    </xdr:to>
    <xdr:graphicFrame>
      <xdr:nvGraphicFramePr>
        <xdr:cNvPr id="1" name="Chart 5"/>
        <xdr:cNvGraphicFramePr/>
      </xdr:nvGraphicFramePr>
      <xdr:xfrm>
        <a:off x="15763875" y="2447925"/>
        <a:ext cx="55911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38</xdr:row>
      <xdr:rowOff>0</xdr:rowOff>
    </xdr:from>
    <xdr:to>
      <xdr:col>5</xdr:col>
      <xdr:colOff>561975</xdr:colOff>
      <xdr:row>51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410450"/>
          <a:ext cx="43434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31</xdr:row>
      <xdr:rowOff>123825</xdr:rowOff>
    </xdr:from>
    <xdr:to>
      <xdr:col>7</xdr:col>
      <xdr:colOff>152400</xdr:colOff>
      <xdr:row>35</xdr:row>
      <xdr:rowOff>161925</xdr:rowOff>
    </xdr:to>
    <xdr:sp>
      <xdr:nvSpPr>
        <xdr:cNvPr id="3" name="AutoShape 23"/>
        <xdr:cNvSpPr>
          <a:spLocks/>
        </xdr:cNvSpPr>
      </xdr:nvSpPr>
      <xdr:spPr>
        <a:xfrm>
          <a:off x="1438275" y="6238875"/>
          <a:ext cx="4905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66675</xdr:rowOff>
    </xdr:from>
    <xdr:to>
      <xdr:col>7</xdr:col>
      <xdr:colOff>152400</xdr:colOff>
      <xdr:row>20</xdr:row>
      <xdr:rowOff>76200</xdr:rowOff>
    </xdr:to>
    <xdr:sp>
      <xdr:nvSpPr>
        <xdr:cNvPr id="4" name="AutoShape 24"/>
        <xdr:cNvSpPr>
          <a:spLocks/>
        </xdr:cNvSpPr>
      </xdr:nvSpPr>
      <xdr:spPr>
        <a:xfrm>
          <a:off x="4352925" y="4086225"/>
          <a:ext cx="1990725" cy="9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114300</xdr:rowOff>
    </xdr:from>
    <xdr:to>
      <xdr:col>4</xdr:col>
      <xdr:colOff>666750</xdr:colOff>
      <xdr:row>21</xdr:row>
      <xdr:rowOff>123825</xdr:rowOff>
    </xdr:to>
    <xdr:sp>
      <xdr:nvSpPr>
        <xdr:cNvPr id="5" name="AutoShape 25"/>
        <xdr:cNvSpPr>
          <a:spLocks/>
        </xdr:cNvSpPr>
      </xdr:nvSpPr>
      <xdr:spPr>
        <a:xfrm flipH="1">
          <a:off x="2238375" y="4324350"/>
          <a:ext cx="1857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21</xdr:row>
      <xdr:rowOff>123825</xdr:rowOff>
    </xdr:from>
    <xdr:to>
      <xdr:col>2</xdr:col>
      <xdr:colOff>666750</xdr:colOff>
      <xdr:row>32</xdr:row>
      <xdr:rowOff>28575</xdr:rowOff>
    </xdr:to>
    <xdr:grpSp>
      <xdr:nvGrpSpPr>
        <xdr:cNvPr id="6" name="Group 29"/>
        <xdr:cNvGrpSpPr>
          <a:grpSpLocks/>
        </xdr:cNvGrpSpPr>
      </xdr:nvGrpSpPr>
      <xdr:grpSpPr>
        <a:xfrm>
          <a:off x="2257425" y="4333875"/>
          <a:ext cx="114300" cy="2000250"/>
          <a:chOff x="190" y="457"/>
          <a:chExt cx="10" cy="210"/>
        </a:xfrm>
        <a:solidFill>
          <a:srgbClr val="FFFFFF"/>
        </a:solidFill>
      </xdr:grpSpPr>
      <xdr:sp>
        <xdr:nvSpPr>
          <xdr:cNvPr id="7" name="AutoShape 26"/>
          <xdr:cNvSpPr>
            <a:spLocks/>
          </xdr:cNvSpPr>
        </xdr:nvSpPr>
        <xdr:spPr>
          <a:xfrm>
            <a:off x="194" y="461"/>
            <a:ext cx="1" cy="2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190" y="457"/>
            <a:ext cx="10" cy="9"/>
          </a:xfrm>
          <a:custGeom>
            <a:pathLst>
              <a:path h="9" w="10">
                <a:moveTo>
                  <a:pt x="10" y="9"/>
                </a:moveTo>
                <a:lnTo>
                  <a:pt x="5" y="0"/>
                </a:lnTo>
                <a:lnTo>
                  <a:pt x="0" y="9"/>
                </a:lnTo>
                <a:lnTo>
                  <a:pt x="5" y="6"/>
                </a:lnTo>
                <a:lnTo>
                  <a:pt x="1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AutoShape 28"/>
          <xdr:cNvSpPr>
            <a:spLocks/>
          </xdr:cNvSpPr>
        </xdr:nvSpPr>
        <xdr:spPr>
          <a:xfrm>
            <a:off x="190" y="659"/>
            <a:ext cx="10" cy="8"/>
          </a:xfrm>
          <a:custGeom>
            <a:pathLst>
              <a:path h="8" w="10">
                <a:moveTo>
                  <a:pt x="0" y="0"/>
                </a:moveTo>
                <a:lnTo>
                  <a:pt x="5" y="8"/>
                </a:lnTo>
                <a:lnTo>
                  <a:pt x="10" y="0"/>
                </a:lnTo>
                <a:lnTo>
                  <a:pt x="5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32</xdr:row>
      <xdr:rowOff>28575</xdr:rowOff>
    </xdr:from>
    <xdr:to>
      <xdr:col>3</xdr:col>
      <xdr:colOff>409575</xdr:colOff>
      <xdr:row>32</xdr:row>
      <xdr:rowOff>38100</xdr:rowOff>
    </xdr:to>
    <xdr:sp>
      <xdr:nvSpPr>
        <xdr:cNvPr id="10" name="AutoShape 30"/>
        <xdr:cNvSpPr>
          <a:spLocks/>
        </xdr:cNvSpPr>
      </xdr:nvSpPr>
      <xdr:spPr>
        <a:xfrm flipH="1">
          <a:off x="2238375" y="6334125"/>
          <a:ext cx="742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66675</xdr:rowOff>
    </xdr:from>
    <xdr:to>
      <xdr:col>5</xdr:col>
      <xdr:colOff>0</xdr:colOff>
      <xdr:row>31</xdr:row>
      <xdr:rowOff>47625</xdr:rowOff>
    </xdr:to>
    <xdr:sp>
      <xdr:nvSpPr>
        <xdr:cNvPr id="11" name="AutoShape 31"/>
        <xdr:cNvSpPr>
          <a:spLocks/>
        </xdr:cNvSpPr>
      </xdr:nvSpPr>
      <xdr:spPr>
        <a:xfrm>
          <a:off x="1352550" y="4086225"/>
          <a:ext cx="2990850" cy="2076450"/>
        </a:xfrm>
        <a:custGeom>
          <a:pathLst>
            <a:path h="300" w="289">
              <a:moveTo>
                <a:pt x="289" y="0"/>
              </a:moveTo>
              <a:cubicBezTo>
                <a:pt x="282" y="3"/>
                <a:pt x="262" y="6"/>
                <a:pt x="250" y="17"/>
              </a:cubicBezTo>
              <a:cubicBezTo>
                <a:pt x="238" y="27"/>
                <a:pt x="229" y="37"/>
                <a:pt x="216" y="63"/>
              </a:cubicBezTo>
              <a:cubicBezTo>
                <a:pt x="203" y="89"/>
                <a:pt x="185" y="137"/>
                <a:pt x="170" y="174"/>
              </a:cubicBezTo>
              <a:cubicBezTo>
                <a:pt x="155" y="211"/>
                <a:pt x="136" y="266"/>
                <a:pt x="124" y="283"/>
              </a:cubicBezTo>
              <a:cubicBezTo>
                <a:pt x="112" y="300"/>
                <a:pt x="106" y="278"/>
                <a:pt x="96" y="275"/>
              </a:cubicBezTo>
              <a:cubicBezTo>
                <a:pt x="86" y="271"/>
                <a:pt x="77" y="264"/>
                <a:pt x="62" y="262"/>
              </a:cubicBezTo>
              <a:cubicBezTo>
                <a:pt x="47" y="260"/>
                <a:pt x="16" y="261"/>
                <a:pt x="8" y="261"/>
              </a:cubicBezTo>
              <a:cubicBezTo>
                <a:pt x="0" y="261"/>
                <a:pt x="11" y="262"/>
                <a:pt x="12" y="26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66675</xdr:rowOff>
    </xdr:from>
    <xdr:to>
      <xdr:col>4</xdr:col>
      <xdr:colOff>885825</xdr:colOff>
      <xdr:row>20</xdr:row>
      <xdr:rowOff>76200</xdr:rowOff>
    </xdr:to>
    <xdr:sp>
      <xdr:nvSpPr>
        <xdr:cNvPr id="12" name="AutoShape 32"/>
        <xdr:cNvSpPr>
          <a:spLocks/>
        </xdr:cNvSpPr>
      </xdr:nvSpPr>
      <xdr:spPr>
        <a:xfrm flipH="1">
          <a:off x="2209800" y="4086225"/>
          <a:ext cx="21050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20</xdr:row>
      <xdr:rowOff>66675</xdr:rowOff>
    </xdr:from>
    <xdr:to>
      <xdr:col>2</xdr:col>
      <xdr:colOff>666750</xdr:colOff>
      <xdr:row>21</xdr:row>
      <xdr:rowOff>114300</xdr:rowOff>
    </xdr:to>
    <xdr:grpSp>
      <xdr:nvGrpSpPr>
        <xdr:cNvPr id="13" name="Group 36"/>
        <xdr:cNvGrpSpPr>
          <a:grpSpLocks/>
        </xdr:cNvGrpSpPr>
      </xdr:nvGrpSpPr>
      <xdr:grpSpPr>
        <a:xfrm>
          <a:off x="2257425" y="4086225"/>
          <a:ext cx="114300" cy="238125"/>
          <a:chOff x="190" y="431"/>
          <a:chExt cx="10" cy="25"/>
        </a:xfrm>
        <a:solidFill>
          <a:srgbClr val="FFFFFF"/>
        </a:solidFill>
      </xdr:grpSpPr>
      <xdr:sp>
        <xdr:nvSpPr>
          <xdr:cNvPr id="14" name="AutoShape 33"/>
          <xdr:cNvSpPr>
            <a:spLocks/>
          </xdr:cNvSpPr>
        </xdr:nvSpPr>
        <xdr:spPr>
          <a:xfrm flipV="1">
            <a:off x="194" y="435"/>
            <a:ext cx="1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AutoShape 34"/>
          <xdr:cNvSpPr>
            <a:spLocks/>
          </xdr:cNvSpPr>
        </xdr:nvSpPr>
        <xdr:spPr>
          <a:xfrm>
            <a:off x="190" y="448"/>
            <a:ext cx="10" cy="8"/>
          </a:xfrm>
          <a:custGeom>
            <a:pathLst>
              <a:path h="8" w="10">
                <a:moveTo>
                  <a:pt x="0" y="0"/>
                </a:moveTo>
                <a:lnTo>
                  <a:pt x="5" y="8"/>
                </a:lnTo>
                <a:lnTo>
                  <a:pt x="10" y="0"/>
                </a:lnTo>
                <a:lnTo>
                  <a:pt x="5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AutoShape 35"/>
          <xdr:cNvSpPr>
            <a:spLocks/>
          </xdr:cNvSpPr>
        </xdr:nvSpPr>
        <xdr:spPr>
          <a:xfrm>
            <a:off x="190" y="431"/>
            <a:ext cx="10" cy="9"/>
          </a:xfrm>
          <a:custGeom>
            <a:pathLst>
              <a:path h="9" w="10">
                <a:moveTo>
                  <a:pt x="10" y="9"/>
                </a:moveTo>
                <a:lnTo>
                  <a:pt x="5" y="0"/>
                </a:lnTo>
                <a:lnTo>
                  <a:pt x="0" y="9"/>
                </a:lnTo>
                <a:lnTo>
                  <a:pt x="5" y="6"/>
                </a:lnTo>
                <a:lnTo>
                  <a:pt x="1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676275</xdr:colOff>
      <xdr:row>18</xdr:row>
      <xdr:rowOff>38100</xdr:rowOff>
    </xdr:from>
    <xdr:to>
      <xdr:col>4</xdr:col>
      <xdr:colOff>685800</xdr:colOff>
      <xdr:row>21</xdr:row>
      <xdr:rowOff>104775</xdr:rowOff>
    </xdr:to>
    <xdr:sp>
      <xdr:nvSpPr>
        <xdr:cNvPr id="17" name="AutoShape 37"/>
        <xdr:cNvSpPr>
          <a:spLocks/>
        </xdr:cNvSpPr>
      </xdr:nvSpPr>
      <xdr:spPr>
        <a:xfrm flipV="1">
          <a:off x="4105275" y="3686175"/>
          <a:ext cx="95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38100</xdr:rowOff>
    </xdr:from>
    <xdr:to>
      <xdr:col>5</xdr:col>
      <xdr:colOff>219075</xdr:colOff>
      <xdr:row>21</xdr:row>
      <xdr:rowOff>104775</xdr:rowOff>
    </xdr:to>
    <xdr:sp>
      <xdr:nvSpPr>
        <xdr:cNvPr id="18" name="AutoShape 38"/>
        <xdr:cNvSpPr>
          <a:spLocks/>
        </xdr:cNvSpPr>
      </xdr:nvSpPr>
      <xdr:spPr>
        <a:xfrm flipV="1">
          <a:off x="4543425" y="3686175"/>
          <a:ext cx="95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685800</xdr:colOff>
      <xdr:row>18</xdr:row>
      <xdr:rowOff>47625</xdr:rowOff>
    </xdr:from>
    <xdr:to>
      <xdr:col>5</xdr:col>
      <xdr:colOff>219075</xdr:colOff>
      <xdr:row>18</xdr:row>
      <xdr:rowOff>123825</xdr:rowOff>
    </xdr:to>
    <xdr:grpSp>
      <xdr:nvGrpSpPr>
        <xdr:cNvPr id="19" name="Group 42"/>
        <xdr:cNvGrpSpPr>
          <a:grpSpLocks/>
        </xdr:cNvGrpSpPr>
      </xdr:nvGrpSpPr>
      <xdr:grpSpPr>
        <a:xfrm>
          <a:off x="4114800" y="3695700"/>
          <a:ext cx="447675" cy="76200"/>
          <a:chOff x="346" y="389"/>
          <a:chExt cx="37" cy="8"/>
        </a:xfrm>
        <a:solidFill>
          <a:srgbClr val="FFFFFF"/>
        </a:solidFill>
      </xdr:grpSpPr>
      <xdr:sp>
        <xdr:nvSpPr>
          <xdr:cNvPr id="20" name="AutoShape 39"/>
          <xdr:cNvSpPr>
            <a:spLocks/>
          </xdr:cNvSpPr>
        </xdr:nvSpPr>
        <xdr:spPr>
          <a:xfrm>
            <a:off x="350" y="393"/>
            <a:ext cx="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AutoShape 40"/>
          <xdr:cNvSpPr>
            <a:spLocks/>
          </xdr:cNvSpPr>
        </xdr:nvSpPr>
        <xdr:spPr>
          <a:xfrm>
            <a:off x="346" y="389"/>
            <a:ext cx="10" cy="8"/>
          </a:xfrm>
          <a:custGeom>
            <a:pathLst>
              <a:path h="8" w="10">
                <a:moveTo>
                  <a:pt x="10" y="0"/>
                </a:moveTo>
                <a:lnTo>
                  <a:pt x="0" y="4"/>
                </a:lnTo>
                <a:lnTo>
                  <a:pt x="10" y="8"/>
                </a:lnTo>
                <a:lnTo>
                  <a:pt x="6" y="4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AutoShape 41"/>
          <xdr:cNvSpPr>
            <a:spLocks/>
          </xdr:cNvSpPr>
        </xdr:nvSpPr>
        <xdr:spPr>
          <a:xfrm>
            <a:off x="372" y="389"/>
            <a:ext cx="11" cy="8"/>
          </a:xfrm>
          <a:custGeom>
            <a:pathLst>
              <a:path h="8" w="11">
                <a:moveTo>
                  <a:pt x="0" y="8"/>
                </a:moveTo>
                <a:lnTo>
                  <a:pt x="11" y="4"/>
                </a:lnTo>
                <a:lnTo>
                  <a:pt x="0" y="0"/>
                </a:lnTo>
                <a:lnTo>
                  <a:pt x="4" y="4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16</xdr:row>
      <xdr:rowOff>180975</xdr:rowOff>
    </xdr:from>
    <xdr:to>
      <xdr:col>4</xdr:col>
      <xdr:colOff>714375</xdr:colOff>
      <xdr:row>18</xdr:row>
      <xdr:rowOff>38100</xdr:rowOff>
    </xdr:to>
    <xdr:sp>
      <xdr:nvSpPr>
        <xdr:cNvPr id="23" name="AutoShape 43"/>
        <xdr:cNvSpPr>
          <a:spLocks/>
        </xdr:cNvSpPr>
      </xdr:nvSpPr>
      <xdr:spPr>
        <a:xfrm>
          <a:off x="3629025" y="344805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25</xdr:row>
      <xdr:rowOff>95250</xdr:rowOff>
    </xdr:from>
    <xdr:to>
      <xdr:col>1</xdr:col>
      <xdr:colOff>847725</xdr:colOff>
      <xdr:row>26</xdr:row>
      <xdr:rowOff>142875</xdr:rowOff>
    </xdr:to>
    <xdr:sp>
      <xdr:nvSpPr>
        <xdr:cNvPr id="24" name="AutoShape 51"/>
        <xdr:cNvSpPr>
          <a:spLocks/>
        </xdr:cNvSpPr>
      </xdr:nvSpPr>
      <xdr:spPr>
        <a:xfrm>
          <a:off x="1219200" y="506730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95250</xdr:rowOff>
    </xdr:from>
    <xdr:to>
      <xdr:col>3</xdr:col>
      <xdr:colOff>514350</xdr:colOff>
      <xdr:row>25</xdr:row>
      <xdr:rowOff>142875</xdr:rowOff>
    </xdr:to>
    <xdr:sp>
      <xdr:nvSpPr>
        <xdr:cNvPr id="25" name="AutoShape 54"/>
        <xdr:cNvSpPr>
          <a:spLocks/>
        </xdr:cNvSpPr>
      </xdr:nvSpPr>
      <xdr:spPr>
        <a:xfrm>
          <a:off x="2705100" y="48768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485775</xdr:colOff>
      <xdr:row>24</xdr:row>
      <xdr:rowOff>57150</xdr:rowOff>
    </xdr:from>
    <xdr:to>
      <xdr:col>5</xdr:col>
      <xdr:colOff>857250</xdr:colOff>
      <xdr:row>25</xdr:row>
      <xdr:rowOff>104775</xdr:rowOff>
    </xdr:to>
    <xdr:sp>
      <xdr:nvSpPr>
        <xdr:cNvPr id="26" name="AutoShape 56"/>
        <xdr:cNvSpPr>
          <a:spLocks/>
        </xdr:cNvSpPr>
      </xdr:nvSpPr>
      <xdr:spPr>
        <a:xfrm>
          <a:off x="4829175" y="48387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561975</xdr:colOff>
      <xdr:row>31</xdr:row>
      <xdr:rowOff>114300</xdr:rowOff>
    </xdr:from>
    <xdr:to>
      <xdr:col>7</xdr:col>
      <xdr:colOff>104775</xdr:colOff>
      <xdr:row>31</xdr:row>
      <xdr:rowOff>123825</xdr:rowOff>
    </xdr:to>
    <xdr:sp>
      <xdr:nvSpPr>
        <xdr:cNvPr id="27" name="AutoShape 58"/>
        <xdr:cNvSpPr>
          <a:spLocks/>
        </xdr:cNvSpPr>
      </xdr:nvSpPr>
      <xdr:spPr>
        <a:xfrm>
          <a:off x="1419225" y="6229350"/>
          <a:ext cx="4876800" cy="9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419100</xdr:colOff>
      <xdr:row>21</xdr:row>
      <xdr:rowOff>114300</xdr:rowOff>
    </xdr:from>
    <xdr:to>
      <xdr:col>5</xdr:col>
      <xdr:colOff>714375</xdr:colOff>
      <xdr:row>32</xdr:row>
      <xdr:rowOff>19050</xdr:rowOff>
    </xdr:to>
    <xdr:grpSp>
      <xdr:nvGrpSpPr>
        <xdr:cNvPr id="28" name="Group 61"/>
        <xdr:cNvGrpSpPr>
          <a:grpSpLocks/>
        </xdr:cNvGrpSpPr>
      </xdr:nvGrpSpPr>
      <xdr:grpSpPr>
        <a:xfrm>
          <a:off x="2990850" y="4324350"/>
          <a:ext cx="2066925" cy="2000250"/>
          <a:chOff x="251" y="456"/>
          <a:chExt cx="174" cy="210"/>
        </a:xfrm>
        <a:solidFill>
          <a:srgbClr val="FFFFFF"/>
        </a:solidFill>
      </xdr:grpSpPr>
      <xdr:sp>
        <xdr:nvSpPr>
          <xdr:cNvPr id="29" name="AutoShape 59"/>
          <xdr:cNvSpPr>
            <a:spLocks/>
          </xdr:cNvSpPr>
        </xdr:nvSpPr>
        <xdr:spPr>
          <a:xfrm>
            <a:off x="251" y="456"/>
            <a:ext cx="174" cy="210"/>
          </a:xfrm>
          <a:custGeom>
            <a:pathLst>
              <a:path h="210" w="174">
                <a:moveTo>
                  <a:pt x="0" y="210"/>
                </a:moveTo>
                <a:lnTo>
                  <a:pt x="94" y="0"/>
                </a:lnTo>
                <a:lnTo>
                  <a:pt x="132" y="0"/>
                </a:lnTo>
                <a:lnTo>
                  <a:pt x="174" y="210"/>
                </a:lnTo>
                <a:lnTo>
                  <a:pt x="0" y="21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AutoShape 60"/>
          <xdr:cNvSpPr>
            <a:spLocks/>
          </xdr:cNvSpPr>
        </xdr:nvSpPr>
        <xdr:spPr>
          <a:xfrm>
            <a:off x="251" y="456"/>
            <a:ext cx="174" cy="210"/>
          </a:xfrm>
          <a:custGeom>
            <a:pathLst>
              <a:path h="210" w="174">
                <a:moveTo>
                  <a:pt x="0" y="210"/>
                </a:moveTo>
                <a:lnTo>
                  <a:pt x="94" y="0"/>
                </a:lnTo>
                <a:lnTo>
                  <a:pt x="132" y="0"/>
                </a:lnTo>
                <a:lnTo>
                  <a:pt x="174" y="210"/>
                </a:lnTo>
                <a:lnTo>
                  <a:pt x="0" y="21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21"/>
  <sheetViews>
    <sheetView showGridLines="0" showRowColHeaders="0" tabSelected="1" zoomScale="134" zoomScaleNormal="134" workbookViewId="0" topLeftCell="A10">
      <selection activeCell="J30" sqref="J30"/>
    </sheetView>
  </sheetViews>
  <sheetFormatPr defaultColWidth="8.796875" defaultRowHeight="18" customHeight="1"/>
  <cols>
    <col min="1" max="5" width="9" style="47" customWidth="1"/>
    <col min="6" max="6" width="6.3984375" style="47" customWidth="1"/>
    <col min="7" max="16384" width="9" style="47" customWidth="1"/>
  </cols>
  <sheetData>
    <row r="2" ht="18" customHeight="1">
      <c r="A2" s="46" t="s">
        <v>0</v>
      </c>
    </row>
    <row r="5" spans="1:6" ht="18" customHeight="1">
      <c r="A5" s="48" t="s">
        <v>8</v>
      </c>
      <c r="D5" s="49" t="s">
        <v>9</v>
      </c>
      <c r="E5" s="36">
        <v>12</v>
      </c>
      <c r="F5" s="47" t="s">
        <v>10</v>
      </c>
    </row>
    <row r="6" spans="1:6" ht="18" customHeight="1">
      <c r="A6" s="48" t="s">
        <v>11</v>
      </c>
      <c r="D6" s="49" t="s">
        <v>58</v>
      </c>
      <c r="E6" s="36">
        <v>3</v>
      </c>
      <c r="F6" s="47" t="s">
        <v>10</v>
      </c>
    </row>
    <row r="7" spans="1:5" ht="18" customHeight="1">
      <c r="A7" s="48" t="s">
        <v>12</v>
      </c>
      <c r="D7" s="49" t="s">
        <v>57</v>
      </c>
      <c r="E7" s="36">
        <v>0.55</v>
      </c>
    </row>
    <row r="8" spans="1:5" ht="18" customHeight="1">
      <c r="A8" s="48" t="s">
        <v>13</v>
      </c>
      <c r="D8" s="49" t="s">
        <v>56</v>
      </c>
      <c r="E8" s="36">
        <v>0</v>
      </c>
    </row>
    <row r="9" spans="1:6" ht="18" customHeight="1">
      <c r="A9" s="48" t="s">
        <v>14</v>
      </c>
      <c r="D9" s="49" t="s">
        <v>55</v>
      </c>
      <c r="E9" s="36">
        <v>2.4</v>
      </c>
      <c r="F9" s="47" t="s">
        <v>10</v>
      </c>
    </row>
    <row r="10" spans="1:6" ht="18" customHeight="1">
      <c r="A10" s="48" t="s">
        <v>15</v>
      </c>
      <c r="D10" s="50" t="s">
        <v>54</v>
      </c>
      <c r="E10" s="36">
        <v>23</v>
      </c>
      <c r="F10" s="47" t="s">
        <v>49</v>
      </c>
    </row>
    <row r="11" spans="1:6" ht="18" customHeight="1">
      <c r="A11" s="48" t="s">
        <v>16</v>
      </c>
      <c r="D11" s="50" t="s">
        <v>53</v>
      </c>
      <c r="E11" s="36">
        <v>12</v>
      </c>
      <c r="F11" s="47" t="s">
        <v>49</v>
      </c>
    </row>
    <row r="12" spans="1:5" ht="18" customHeight="1">
      <c r="A12" s="62" t="s">
        <v>17</v>
      </c>
      <c r="B12" s="63"/>
      <c r="C12" s="63"/>
      <c r="D12" s="50" t="s">
        <v>99</v>
      </c>
      <c r="E12" s="36">
        <v>0.7</v>
      </c>
    </row>
    <row r="13" spans="1:6" ht="18" customHeight="1">
      <c r="A13" s="48" t="s">
        <v>18</v>
      </c>
      <c r="D13" s="50" t="s">
        <v>51</v>
      </c>
      <c r="E13" s="36">
        <v>500</v>
      </c>
      <c r="F13" s="47" t="s">
        <v>50</v>
      </c>
    </row>
    <row r="14" spans="1:6" ht="18" customHeight="1">
      <c r="A14" s="48" t="s">
        <v>19</v>
      </c>
      <c r="D14" s="49" t="s">
        <v>52</v>
      </c>
      <c r="E14" s="36">
        <v>1200</v>
      </c>
      <c r="F14" s="47" t="s">
        <v>50</v>
      </c>
    </row>
    <row r="15" ht="18" customHeight="1">
      <c r="B15" s="51">
        <f>IF(E5&gt;=15,"ダム高が高く適用外","")</f>
      </c>
    </row>
    <row r="17" spans="2:5" ht="18" customHeight="1">
      <c r="B17" s="52" t="s">
        <v>4</v>
      </c>
      <c r="C17" s="52"/>
      <c r="D17" s="52"/>
      <c r="E17" s="52"/>
    </row>
    <row r="18" spans="2:6" ht="18" customHeight="1">
      <c r="B18" s="53"/>
      <c r="C18" s="54"/>
      <c r="D18" s="55" t="s">
        <v>6</v>
      </c>
      <c r="E18" s="55" t="s">
        <v>65</v>
      </c>
      <c r="F18" s="55" t="s">
        <v>7</v>
      </c>
    </row>
    <row r="19" spans="2:6" ht="18" customHeight="1">
      <c r="B19" s="56" t="s">
        <v>59</v>
      </c>
      <c r="C19" s="55" t="s">
        <v>62</v>
      </c>
      <c r="D19" s="57">
        <f>'出力'!E92</f>
        <v>5.02450396825397</v>
      </c>
      <c r="E19" s="57">
        <v>4</v>
      </c>
      <c r="F19" s="58" t="str">
        <f>IF(D19&gt;E19,"SAFE","OUT")</f>
        <v>SAFE</v>
      </c>
    </row>
    <row r="20" spans="2:6" ht="18" customHeight="1">
      <c r="B20" s="56" t="s">
        <v>60</v>
      </c>
      <c r="C20" s="55" t="s">
        <v>63</v>
      </c>
      <c r="D20" s="59">
        <f>'出力'!D99</f>
        <v>1.5759368836291916</v>
      </c>
      <c r="E20" s="59">
        <f>'出力'!H99</f>
        <v>1.6000000000000003</v>
      </c>
      <c r="F20" s="58" t="str">
        <f>IF(D20&lt;E20,"SAFE","OUT")</f>
        <v>SAFE</v>
      </c>
    </row>
    <row r="21" spans="2:6" ht="18" customHeight="1">
      <c r="B21" s="56" t="s">
        <v>61</v>
      </c>
      <c r="C21" s="60" t="s">
        <v>64</v>
      </c>
      <c r="D21" s="61">
        <f>'出力'!D108</f>
        <v>377.390625</v>
      </c>
      <c r="E21" s="58">
        <f>qa</f>
        <v>1200</v>
      </c>
      <c r="F21" s="58" t="str">
        <f>IF(D21&lt;E21,"SAFE","OUT")</f>
        <v>SAFE</v>
      </c>
    </row>
  </sheetData>
  <sheetProtection/>
  <mergeCells count="1">
    <mergeCell ref="A12:C12"/>
  </mergeCells>
  <conditionalFormatting sqref="D19">
    <cfRule type="cellIs" priority="1" dxfId="0" operator="lessThan" stopIfTrue="1">
      <formula>$E$19</formula>
    </cfRule>
  </conditionalFormatting>
  <conditionalFormatting sqref="D20">
    <cfRule type="cellIs" priority="2" dxfId="0" operator="greaterThan" stopIfTrue="1">
      <formula>$E$20</formula>
    </cfRule>
  </conditionalFormatting>
  <conditionalFormatting sqref="D21">
    <cfRule type="cellIs" priority="3" dxfId="0" operator="greaterThan" stopIfTrue="1">
      <formula>$E$21</formula>
    </cfRule>
  </conditionalFormatting>
  <printOptions/>
  <pageMargins left="0.75" right="0.75" top="1" bottom="1" header="0.512" footer="0.512"/>
  <pageSetup horizontalDpi="600" verticalDpi="600"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W109"/>
  <sheetViews>
    <sheetView showGridLines="0" workbookViewId="0" topLeftCell="A7">
      <selection activeCell="K14" sqref="K14"/>
    </sheetView>
  </sheetViews>
  <sheetFormatPr defaultColWidth="8.796875" defaultRowHeight="14.25"/>
  <cols>
    <col min="1" max="4" width="9" style="3" customWidth="1"/>
    <col min="5" max="5" width="9.59765625" style="3" customWidth="1"/>
    <col min="6" max="6" width="10.3984375" style="3" customWidth="1"/>
    <col min="7" max="9" width="9" style="3" customWidth="1"/>
    <col min="10" max="10" width="9.5" style="3" customWidth="1"/>
    <col min="11" max="11" width="9" style="3" customWidth="1"/>
    <col min="12" max="12" width="7.69921875" style="3" customWidth="1"/>
    <col min="13" max="16384" width="9" style="3" customWidth="1"/>
  </cols>
  <sheetData>
    <row r="2" spans="2:23" ht="15">
      <c r="B2" s="4" t="s">
        <v>48</v>
      </c>
      <c r="U2" s="3" t="s">
        <v>1</v>
      </c>
      <c r="V2" s="4" t="s">
        <v>2</v>
      </c>
      <c r="W2" s="4" t="s">
        <v>3</v>
      </c>
    </row>
    <row r="3" spans="20:22" ht="15">
      <c r="T3" s="3">
        <v>0</v>
      </c>
      <c r="U3" s="3">
        <v>0</v>
      </c>
      <c r="V3" s="3">
        <v>0</v>
      </c>
    </row>
    <row r="4" spans="20:22" ht="15">
      <c r="T4" s="3">
        <v>1</v>
      </c>
      <c r="U4" s="3">
        <f>H*nf</f>
        <v>6.6000000000000005</v>
      </c>
      <c r="V4" s="3">
        <f>H</f>
        <v>12</v>
      </c>
    </row>
    <row r="5" spans="1:22" ht="15">
      <c r="A5" s="4" t="s">
        <v>5</v>
      </c>
      <c r="L5" s="3" t="str">
        <f>"H="&amp;H&amp;"m"</f>
        <v>H=12m</v>
      </c>
      <c r="T5" s="3">
        <v>2</v>
      </c>
      <c r="U5" s="3">
        <f>U4+b</f>
        <v>9.600000000000001</v>
      </c>
      <c r="V5" s="3">
        <f>H</f>
        <v>12</v>
      </c>
    </row>
    <row r="6" spans="2:22" ht="15">
      <c r="B6" s="4" t="s">
        <v>8</v>
      </c>
      <c r="F6" s="2" t="s">
        <v>9</v>
      </c>
      <c r="G6" s="5">
        <f>'入力'!E5</f>
        <v>12</v>
      </c>
      <c r="H6" s="1" t="s">
        <v>10</v>
      </c>
      <c r="L6" s="3" t="str">
        <f>"bo="&amp;b&amp;"m"</f>
        <v>bo=3m</v>
      </c>
      <c r="T6" s="3">
        <v>3</v>
      </c>
      <c r="U6" s="3">
        <f>U5+H*nr</f>
        <v>9.600000000000001</v>
      </c>
      <c r="V6" s="3">
        <v>0</v>
      </c>
    </row>
    <row r="7" spans="2:22" ht="16.5">
      <c r="B7" s="4" t="s">
        <v>11</v>
      </c>
      <c r="F7" s="2" t="s">
        <v>66</v>
      </c>
      <c r="G7" s="5">
        <f>'入力'!E6</f>
        <v>3</v>
      </c>
      <c r="H7" s="1" t="s">
        <v>10</v>
      </c>
      <c r="L7" s="3" t="str">
        <f>"1:"&amp;nf</f>
        <v>1:0.55</v>
      </c>
      <c r="T7" s="3">
        <v>4</v>
      </c>
      <c r="U7" s="3">
        <v>0</v>
      </c>
      <c r="V7" s="3">
        <v>0</v>
      </c>
    </row>
    <row r="8" spans="2:23" ht="16.5">
      <c r="B8" s="4" t="s">
        <v>12</v>
      </c>
      <c r="F8" s="2" t="s">
        <v>67</v>
      </c>
      <c r="G8" s="5">
        <f>'入力'!E7</f>
        <v>0.55</v>
      </c>
      <c r="H8" s="1"/>
      <c r="L8" s="3" t="str">
        <f>"1:"&amp;nr</f>
        <v>1:0</v>
      </c>
      <c r="T8" s="3">
        <v>5</v>
      </c>
      <c r="U8" s="3">
        <f>U4</f>
        <v>6.6000000000000005</v>
      </c>
      <c r="W8" s="3">
        <f>H</f>
        <v>12</v>
      </c>
    </row>
    <row r="9" spans="2:23" ht="16.5">
      <c r="B9" s="4" t="s">
        <v>13</v>
      </c>
      <c r="F9" s="2" t="s">
        <v>68</v>
      </c>
      <c r="G9" s="5">
        <f>'入力'!E8</f>
        <v>0</v>
      </c>
      <c r="H9" s="1"/>
      <c r="L9" s="3" t="str">
        <f>"ho="&amp;ho&amp;"m"</f>
        <v>ho=2.4m</v>
      </c>
      <c r="T9" s="3">
        <v>6</v>
      </c>
      <c r="U9" s="3">
        <f>U4</f>
        <v>6.6000000000000005</v>
      </c>
      <c r="W9" s="3">
        <f>V4+ho</f>
        <v>14.4</v>
      </c>
    </row>
    <row r="10" spans="2:23" ht="16.5">
      <c r="B10" s="4" t="s">
        <v>14</v>
      </c>
      <c r="F10" s="2" t="s">
        <v>55</v>
      </c>
      <c r="G10" s="5">
        <f>'入力'!E9</f>
        <v>2.4</v>
      </c>
      <c r="H10" s="1" t="s">
        <v>10</v>
      </c>
      <c r="T10" s="3">
        <v>7</v>
      </c>
      <c r="U10" s="3">
        <f>U6</f>
        <v>9.600000000000001</v>
      </c>
      <c r="W10" s="3">
        <f>W9</f>
        <v>14.4</v>
      </c>
    </row>
    <row r="11" spans="2:8" ht="18">
      <c r="B11" s="4" t="s">
        <v>15</v>
      </c>
      <c r="F11" s="34" t="s">
        <v>69</v>
      </c>
      <c r="G11" s="5">
        <f>'入力'!E10</f>
        <v>23</v>
      </c>
      <c r="H11" s="1" t="s">
        <v>70</v>
      </c>
    </row>
    <row r="12" spans="2:8" ht="18">
      <c r="B12" s="4" t="s">
        <v>16</v>
      </c>
      <c r="F12" s="34" t="s">
        <v>71</v>
      </c>
      <c r="G12" s="5">
        <f>'入力'!E11</f>
        <v>12</v>
      </c>
      <c r="H12" s="1" t="s">
        <v>70</v>
      </c>
    </row>
    <row r="13" spans="2:8" ht="15">
      <c r="B13" s="4" t="s">
        <v>17</v>
      </c>
      <c r="F13" s="34" t="s">
        <v>99</v>
      </c>
      <c r="G13" s="5">
        <f>'入力'!E12</f>
        <v>0.7</v>
      </c>
      <c r="H13" s="1"/>
    </row>
    <row r="14" spans="2:8" ht="18">
      <c r="B14" s="4" t="s">
        <v>18</v>
      </c>
      <c r="F14" s="34" t="s">
        <v>72</v>
      </c>
      <c r="G14" s="5">
        <f>'入力'!E13</f>
        <v>500</v>
      </c>
      <c r="H14" s="1" t="s">
        <v>73</v>
      </c>
    </row>
    <row r="15" spans="2:8" ht="18">
      <c r="B15" s="4" t="s">
        <v>19</v>
      </c>
      <c r="F15" s="2" t="s">
        <v>52</v>
      </c>
      <c r="G15" s="5">
        <f>'入力'!E14</f>
        <v>1200</v>
      </c>
      <c r="H15" s="1" t="s">
        <v>73</v>
      </c>
    </row>
    <row r="17" ht="15"/>
    <row r="18" ht="15"/>
    <row r="19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8" ht="15">
      <c r="A38" s="4" t="s">
        <v>20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>
      <c r="A52" s="4" t="s">
        <v>21</v>
      </c>
    </row>
    <row r="53" spans="2:5" ht="15">
      <c r="B53" s="66"/>
      <c r="C53" s="16" t="s">
        <v>22</v>
      </c>
      <c r="D53" s="16" t="s">
        <v>23</v>
      </c>
      <c r="E53" s="17" t="s">
        <v>24</v>
      </c>
    </row>
    <row r="54" spans="2:5" ht="16.5">
      <c r="B54" s="67"/>
      <c r="C54" s="31" t="s">
        <v>91</v>
      </c>
      <c r="D54" s="31" t="s">
        <v>90</v>
      </c>
      <c r="E54" s="32" t="s">
        <v>88</v>
      </c>
    </row>
    <row r="55" spans="2:5" ht="16.5">
      <c r="B55" s="33" t="s">
        <v>97</v>
      </c>
      <c r="C55" s="38">
        <f>ho*γw*H</f>
        <v>345.59999999999997</v>
      </c>
      <c r="D55" s="38">
        <f>H/2</f>
        <v>6</v>
      </c>
      <c r="E55" s="39">
        <f>C55*D55</f>
        <v>2073.6</v>
      </c>
    </row>
    <row r="56" spans="2:5" ht="16.5">
      <c r="B56" s="37" t="s">
        <v>98</v>
      </c>
      <c r="C56" s="40">
        <f>1/2*H^2*γw</f>
        <v>864</v>
      </c>
      <c r="D56" s="40">
        <f>H/3</f>
        <v>4</v>
      </c>
      <c r="E56" s="41">
        <f>C56*D56</f>
        <v>3456</v>
      </c>
    </row>
    <row r="57" spans="2:5" ht="15">
      <c r="B57" s="18" t="s">
        <v>25</v>
      </c>
      <c r="C57" s="40">
        <f>SUM(C55:C56)</f>
        <v>1209.6</v>
      </c>
      <c r="D57" s="40"/>
      <c r="E57" s="41">
        <f>SUM(E55:E56)</f>
        <v>5529.6</v>
      </c>
    </row>
    <row r="58" spans="3:5" ht="15">
      <c r="C58" s="13"/>
      <c r="D58" s="13"/>
      <c r="E58" s="13"/>
    </row>
    <row r="59" spans="1:5" ht="15">
      <c r="A59" s="4" t="s">
        <v>26</v>
      </c>
      <c r="C59" s="13"/>
      <c r="D59" s="13"/>
      <c r="E59" s="13"/>
    </row>
    <row r="60" spans="2:5" ht="15">
      <c r="B60" s="66"/>
      <c r="C60" s="6" t="s">
        <v>27</v>
      </c>
      <c r="D60" s="6" t="s">
        <v>23</v>
      </c>
      <c r="E60" s="7" t="s">
        <v>24</v>
      </c>
    </row>
    <row r="61" spans="2:5" ht="16.5">
      <c r="B61" s="67"/>
      <c r="C61" s="23" t="s">
        <v>74</v>
      </c>
      <c r="D61" s="23" t="s">
        <v>89</v>
      </c>
      <c r="E61" s="32" t="s">
        <v>87</v>
      </c>
    </row>
    <row r="62" spans="2:5" ht="16.5">
      <c r="B62" s="33" t="s">
        <v>94</v>
      </c>
      <c r="C62" s="42">
        <f>1/2*γc*H*nf*H</f>
        <v>910.8000000000001</v>
      </c>
      <c r="D62" s="42">
        <f>H*nf/3*2</f>
        <v>4.4</v>
      </c>
      <c r="E62" s="43">
        <f>C62*D62</f>
        <v>4007.5200000000004</v>
      </c>
    </row>
    <row r="63" spans="2:5" ht="16.5">
      <c r="B63" s="33" t="s">
        <v>95</v>
      </c>
      <c r="C63" s="42">
        <f>b*H*γc</f>
        <v>828</v>
      </c>
      <c r="D63" s="42">
        <f>b/2+nf*H</f>
        <v>8.100000000000001</v>
      </c>
      <c r="E63" s="43">
        <f>C63*D63</f>
        <v>6706.800000000001</v>
      </c>
    </row>
    <row r="64" spans="2:5" ht="16.5">
      <c r="B64" s="37" t="s">
        <v>96</v>
      </c>
      <c r="C64" s="44">
        <f>1/2*H^2*nr*γc</f>
        <v>0</v>
      </c>
      <c r="D64" s="44">
        <f>nf*H+b+nr*H/3</f>
        <v>9.600000000000001</v>
      </c>
      <c r="E64" s="45">
        <f>C64*D64</f>
        <v>0</v>
      </c>
    </row>
    <row r="65" spans="2:5" ht="15">
      <c r="B65" s="8" t="s">
        <v>25</v>
      </c>
      <c r="C65" s="44">
        <f>SUM(C62:C64)</f>
        <v>1738.8000000000002</v>
      </c>
      <c r="D65" s="44"/>
      <c r="E65" s="45">
        <f>SUM(E62:E64)</f>
        <v>10714.320000000002</v>
      </c>
    </row>
    <row r="67" ht="15">
      <c r="A67" s="4" t="s">
        <v>28</v>
      </c>
    </row>
    <row r="68" spans="2:5" ht="15">
      <c r="B68" s="66"/>
      <c r="C68" s="6" t="s">
        <v>27</v>
      </c>
      <c r="D68" s="6" t="s">
        <v>23</v>
      </c>
      <c r="E68" s="7" t="s">
        <v>24</v>
      </c>
    </row>
    <row r="69" spans="2:5" ht="16.5">
      <c r="B69" s="67"/>
      <c r="C69" s="23" t="s">
        <v>74</v>
      </c>
      <c r="D69" s="23" t="s">
        <v>89</v>
      </c>
      <c r="E69" s="32" t="s">
        <v>87</v>
      </c>
    </row>
    <row r="70" spans="2:5" ht="16.5">
      <c r="B70" s="33" t="s">
        <v>92</v>
      </c>
      <c r="C70" s="19">
        <f>(b+H*nr)*ho*γw</f>
        <v>86.39999999999999</v>
      </c>
      <c r="D70" s="19">
        <f>H*nf+(b+nr*H)/2</f>
        <v>8.100000000000001</v>
      </c>
      <c r="E70" s="20">
        <f>C70*D70</f>
        <v>699.84</v>
      </c>
    </row>
    <row r="71" spans="2:5" ht="16.5">
      <c r="B71" s="37" t="s">
        <v>93</v>
      </c>
      <c r="C71" s="21">
        <f>1/2*H^2*nr*γw</f>
        <v>0</v>
      </c>
      <c r="D71" s="21">
        <f>nf*H+b+nr*H/3*2</f>
        <v>9.600000000000001</v>
      </c>
      <c r="E71" s="22">
        <f>C71*D71</f>
        <v>0</v>
      </c>
    </row>
    <row r="72" spans="2:5" ht="15">
      <c r="B72" s="8" t="s">
        <v>25</v>
      </c>
      <c r="C72" s="21">
        <f>SUM(C70:C71)</f>
        <v>86.39999999999999</v>
      </c>
      <c r="D72" s="21"/>
      <c r="E72" s="22">
        <f>SUM(E70:E71)</f>
        <v>699.84</v>
      </c>
    </row>
    <row r="74" ht="15">
      <c r="A74" s="4" t="s">
        <v>29</v>
      </c>
    </row>
    <row r="75" spans="2:6" ht="15">
      <c r="B75" s="66"/>
      <c r="C75" s="6" t="s">
        <v>27</v>
      </c>
      <c r="D75" s="6" t="s">
        <v>22</v>
      </c>
      <c r="E75" s="64" t="s">
        <v>103</v>
      </c>
      <c r="F75" s="65"/>
    </row>
    <row r="76" spans="2:6" ht="16.5">
      <c r="B76" s="67"/>
      <c r="C76" s="23" t="s">
        <v>74</v>
      </c>
      <c r="D76" s="31" t="s">
        <v>86</v>
      </c>
      <c r="E76" s="32" t="s">
        <v>87</v>
      </c>
      <c r="F76" s="32" t="s">
        <v>88</v>
      </c>
    </row>
    <row r="77" spans="2:6" ht="15">
      <c r="B77" s="9" t="s">
        <v>30</v>
      </c>
      <c r="C77" s="24">
        <f>0</f>
        <v>0</v>
      </c>
      <c r="D77" s="24">
        <f>C57</f>
        <v>1209.6</v>
      </c>
      <c r="E77" s="24">
        <v>0</v>
      </c>
      <c r="F77" s="25">
        <f>E57</f>
        <v>5529.6</v>
      </c>
    </row>
    <row r="78" spans="2:6" ht="15">
      <c r="B78" s="9" t="s">
        <v>31</v>
      </c>
      <c r="C78" s="24">
        <f>C65</f>
        <v>1738.8000000000002</v>
      </c>
      <c r="D78" s="24">
        <v>0</v>
      </c>
      <c r="E78" s="24">
        <f>E65</f>
        <v>10714.320000000002</v>
      </c>
      <c r="F78" s="25">
        <v>0</v>
      </c>
    </row>
    <row r="79" spans="2:6" ht="15">
      <c r="B79" s="8" t="s">
        <v>32</v>
      </c>
      <c r="C79" s="26">
        <f>C72</f>
        <v>86.39999999999999</v>
      </c>
      <c r="D79" s="26">
        <v>0</v>
      </c>
      <c r="E79" s="26">
        <f>E72</f>
        <v>699.84</v>
      </c>
      <c r="F79" s="27">
        <v>0</v>
      </c>
    </row>
    <row r="80" spans="2:6" ht="15">
      <c r="B80" s="8" t="s">
        <v>25</v>
      </c>
      <c r="C80" s="26">
        <f>SUM(C77:C79)</f>
        <v>1825.2000000000003</v>
      </c>
      <c r="D80" s="26">
        <f>SUM(D77:D79)</f>
        <v>1209.6</v>
      </c>
      <c r="E80" s="26">
        <f>SUM(E77:E79)</f>
        <v>11414.160000000002</v>
      </c>
      <c r="F80" s="27">
        <f>SUM(F77:F79)</f>
        <v>5529.6</v>
      </c>
    </row>
    <row r="83" ht="15">
      <c r="A83" s="4" t="s">
        <v>33</v>
      </c>
    </row>
    <row r="85" ht="15">
      <c r="A85" s="4" t="s">
        <v>34</v>
      </c>
    </row>
    <row r="87" spans="2:9" ht="15">
      <c r="B87" s="4" t="s">
        <v>27</v>
      </c>
      <c r="C87" s="29" t="s">
        <v>35</v>
      </c>
      <c r="D87" s="10">
        <f>C80</f>
        <v>1825.2000000000003</v>
      </c>
      <c r="E87" s="3" t="s">
        <v>75</v>
      </c>
      <c r="F87" s="4" t="s">
        <v>36</v>
      </c>
      <c r="G87" s="29" t="s">
        <v>37</v>
      </c>
      <c r="H87" s="11">
        <f>H*(nf+nr)+b</f>
        <v>9.600000000000001</v>
      </c>
      <c r="I87" s="3" t="s">
        <v>10</v>
      </c>
    </row>
    <row r="88" spans="2:9" ht="18.75">
      <c r="B88" s="4" t="s">
        <v>38</v>
      </c>
      <c r="C88" s="35" t="s">
        <v>99</v>
      </c>
      <c r="D88" s="12">
        <f>μ</f>
        <v>0.7</v>
      </c>
      <c r="F88" t="s">
        <v>76</v>
      </c>
      <c r="G88" s="35" t="s">
        <v>78</v>
      </c>
      <c r="H88" s="10">
        <f>τ</f>
        <v>500</v>
      </c>
      <c r="I88" s="3" t="s">
        <v>50</v>
      </c>
    </row>
    <row r="89" spans="2:9" ht="16.5">
      <c r="B89" s="4" t="s">
        <v>39</v>
      </c>
      <c r="C89" s="29" t="s">
        <v>100</v>
      </c>
      <c r="D89" s="10">
        <f>D87*D88</f>
        <v>1277.64</v>
      </c>
      <c r="E89" s="3" t="s">
        <v>75</v>
      </c>
      <c r="F89" s="28" t="s">
        <v>77</v>
      </c>
      <c r="G89" s="35" t="s">
        <v>79</v>
      </c>
      <c r="H89" s="10">
        <f>H87*H88</f>
        <v>4800.000000000001</v>
      </c>
      <c r="I89" s="3" t="s">
        <v>75</v>
      </c>
    </row>
    <row r="90" ht="15">
      <c r="C90" s="5"/>
    </row>
    <row r="91" spans="2:6" ht="16.5">
      <c r="B91" s="4" t="s">
        <v>40</v>
      </c>
      <c r="C91" s="5"/>
      <c r="D91" s="29" t="s">
        <v>80</v>
      </c>
      <c r="E91" s="10">
        <f>D89+H89</f>
        <v>6077.640000000001</v>
      </c>
      <c r="F91" s="3" t="s">
        <v>75</v>
      </c>
    </row>
    <row r="92" spans="2:8" ht="16.5">
      <c r="B92" s="4" t="s">
        <v>41</v>
      </c>
      <c r="C92" s="5"/>
      <c r="D92" s="29" t="s">
        <v>81</v>
      </c>
      <c r="E92" s="10">
        <f>E91/D80</f>
        <v>5.02450396825397</v>
      </c>
      <c r="F92" s="13" t="str">
        <f>IF(E92&gt;H92,"&gt;","&lt;")</f>
        <v>&gt;</v>
      </c>
      <c r="G92" s="29" t="s">
        <v>82</v>
      </c>
      <c r="H92" s="14">
        <v>4</v>
      </c>
    </row>
    <row r="93" ht="15">
      <c r="I93" s="13" t="str">
        <f>IF(E92&gt;H92,"SAFE","OUT")</f>
        <v>SAFE</v>
      </c>
    </row>
    <row r="96" ht="15">
      <c r="A96" s="4" t="s">
        <v>42</v>
      </c>
    </row>
    <row r="98" spans="2:5" ht="15">
      <c r="B98" s="4" t="s">
        <v>36</v>
      </c>
      <c r="C98" s="29" t="s">
        <v>37</v>
      </c>
      <c r="D98" s="10">
        <f>H*(nf+nr)+b</f>
        <v>9.600000000000001</v>
      </c>
      <c r="E98" s="3" t="s">
        <v>10</v>
      </c>
    </row>
    <row r="99" spans="2:9" ht="15">
      <c r="B99" t="s">
        <v>101</v>
      </c>
      <c r="C99" s="30"/>
      <c r="D99" s="11">
        <f>D98/2-(E80-F80)/C80</f>
        <v>1.5759368836291916</v>
      </c>
      <c r="E99" s="3" t="s">
        <v>10</v>
      </c>
      <c r="F99" s="13" t="str">
        <f>IF(D99&gt;H99,"&gt;","&lt;")</f>
        <v>&lt;</v>
      </c>
      <c r="G99" s="29" t="s">
        <v>83</v>
      </c>
      <c r="H99" s="11">
        <f>D98/6</f>
        <v>1.6000000000000003</v>
      </c>
      <c r="I99" s="3" t="s">
        <v>10</v>
      </c>
    </row>
    <row r="100" spans="2:9" ht="15">
      <c r="B100" s="4"/>
      <c r="D100" s="11"/>
      <c r="F100" s="13"/>
      <c r="G100" s="5"/>
      <c r="H100" s="11"/>
      <c r="I100" s="13" t="str">
        <f>IF(D99&lt;=H99,"SAFE","OUT")</f>
        <v>SAFE</v>
      </c>
    </row>
    <row r="101" spans="2:8" ht="15">
      <c r="B101" s="4"/>
      <c r="D101" s="11"/>
      <c r="F101" s="13"/>
      <c r="G101" s="5"/>
      <c r="H101" s="11"/>
    </row>
    <row r="103" ht="15">
      <c r="A103" s="4" t="s">
        <v>43</v>
      </c>
    </row>
    <row r="105" ht="15">
      <c r="B105" s="4" t="s">
        <v>44</v>
      </c>
    </row>
    <row r="106" spans="2:5" ht="18.75">
      <c r="B106" s="15" t="s">
        <v>45</v>
      </c>
      <c r="C106" s="29" t="s">
        <v>84</v>
      </c>
      <c r="D106" s="10">
        <f>D87/D98*(1-6*D99/D98)</f>
        <v>2.859374999999988</v>
      </c>
      <c r="E106" s="3" t="s">
        <v>50</v>
      </c>
    </row>
    <row r="107" spans="2:5" ht="18.75">
      <c r="B107" s="15" t="s">
        <v>46</v>
      </c>
      <c r="C107" s="29" t="s">
        <v>85</v>
      </c>
      <c r="D107" s="10">
        <f>D87/D98*(1+6*D99/D98)</f>
        <v>377.390625</v>
      </c>
      <c r="E107" s="3" t="s">
        <v>50</v>
      </c>
    </row>
    <row r="108" spans="2:9" ht="18.75">
      <c r="B108" s="15" t="s">
        <v>47</v>
      </c>
      <c r="C108" s="29" t="s">
        <v>102</v>
      </c>
      <c r="D108" s="10">
        <f>MAX(D106:D107)</f>
        <v>377.390625</v>
      </c>
      <c r="E108" s="3" t="s">
        <v>50</v>
      </c>
      <c r="F108" s="13" t="str">
        <f>IF(D108&gt;H108,"&gt;","&lt;")</f>
        <v>&lt;</v>
      </c>
      <c r="G108" s="29" t="s">
        <v>52</v>
      </c>
      <c r="H108" s="12">
        <f>qa</f>
        <v>1200</v>
      </c>
      <c r="I108" s="3" t="s">
        <v>50</v>
      </c>
    </row>
    <row r="109" ht="15">
      <c r="I109" s="13" t="str">
        <f>IF(D108&lt;H108,"SAFE","OUT")</f>
        <v>SAFE</v>
      </c>
    </row>
  </sheetData>
  <mergeCells count="5">
    <mergeCell ref="E75:F75"/>
    <mergeCell ref="B53:B54"/>
    <mergeCell ref="B60:B61"/>
    <mergeCell ref="B68:B69"/>
    <mergeCell ref="B75:B76"/>
  </mergeCells>
  <printOptions/>
  <pageMargins left="0.75" right="0.75" top="1" bottom="1" header="0.512" footer="0.512"/>
  <pageSetup horizontalDpi="300" verticalDpi="300" orientation="portrait" paperSize="9" r:id="rId3"/>
  <headerFooter alignWithMargins="0">
    <oddHeader>&amp;C&amp;10重力式砂防堰堤の安定計算</oddHeader>
    <oddFooter>&amp;C- &amp;P -</oddFooter>
  </headerFooter>
  <rowBreaks count="2" manualBreakCount="2">
    <brk id="37" max="255" man="1"/>
    <brk id="8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2003-08-02T23:34:10Z</cp:lastPrinted>
  <dcterms:created xsi:type="dcterms:W3CDTF">1998-01-23T16:27:59Z</dcterms:created>
  <dcterms:modified xsi:type="dcterms:W3CDTF">2004-07-29T01:15:09Z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