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6768" windowHeight="4536" activeTab="0"/>
  </bookViews>
  <sheets>
    <sheet name="入力" sheetId="1" r:id="rId1"/>
    <sheet name="分布鉄筋" sheetId="2" r:id="rId2"/>
    <sheet name="分布無筋" sheetId="3" r:id="rId3"/>
    <sheet name="T荷重鉄筋" sheetId="4" r:id="rId4"/>
    <sheet name="T荷重無筋" sheetId="5" r:id="rId5"/>
    <sheet name="形状" sheetId="6" state="hidden" r:id="rId6"/>
    <sheet name="データ" sheetId="7" state="hidden" r:id="rId7"/>
  </sheets>
  <definedNames>
    <definedName name="_xlnm.Print_Area" localSheetId="3">'T荷重鉄筋'!$A$1:$I$262</definedName>
    <definedName name="_xlnm.Print_Area" localSheetId="4">'T荷重無筋'!$A$1:$I$218</definedName>
    <definedName name="_xlnm.Print_Area" localSheetId="0">'入力'!$A$2:$S$40</definedName>
    <definedName name="_xlnm.Print_Area" localSheetId="1">'分布鉄筋'!$A$1:$I$219</definedName>
    <definedName name="_xlnm.Print_Area" localSheetId="2">'分布無筋'!$A$1:$I$178</definedName>
  </definedNames>
  <calcPr fullCalcOnLoad="1"/>
</workbook>
</file>

<file path=xl/sharedStrings.xml><?xml version="1.0" encoding="utf-8"?>
<sst xmlns="http://schemas.openxmlformats.org/spreadsheetml/2006/main" count="897" uniqueCount="338">
  <si>
    <t>水路寸法</t>
  </si>
  <si>
    <t>内空幅</t>
  </si>
  <si>
    <t>B=</t>
  </si>
  <si>
    <t>m</t>
  </si>
  <si>
    <t>内空高</t>
  </si>
  <si>
    <t>H=</t>
  </si>
  <si>
    <t>x</t>
  </si>
  <si>
    <t>水路</t>
  </si>
  <si>
    <t>地盤</t>
  </si>
  <si>
    <t>過載荷重</t>
  </si>
  <si>
    <t>壁厚</t>
  </si>
  <si>
    <t>tw=</t>
  </si>
  <si>
    <t>底厚</t>
  </si>
  <si>
    <t>tb=</t>
  </si>
  <si>
    <t>q=</t>
  </si>
  <si>
    <t>tf/m2</t>
  </si>
  <si>
    <t>裏込土</t>
  </si>
  <si>
    <t>単位重量</t>
  </si>
  <si>
    <r>
      <t>g</t>
    </r>
    <r>
      <rPr>
        <sz val="10.5"/>
        <rFont val="ＭＳ 明朝"/>
        <family val="1"/>
      </rPr>
      <t>s=</t>
    </r>
  </si>
  <si>
    <t>tf/m3</t>
  </si>
  <si>
    <t>内部摩擦</t>
  </si>
  <si>
    <r>
      <t>f</t>
    </r>
    <r>
      <rPr>
        <sz val="10.5"/>
        <rFont val="ＭＳ 明朝"/>
        <family val="1"/>
      </rPr>
      <t>=</t>
    </r>
  </si>
  <si>
    <t>deg</t>
  </si>
  <si>
    <t>ｺﾝｸﾘｰﾄ</t>
  </si>
  <si>
    <r>
      <t>g</t>
    </r>
    <r>
      <rPr>
        <sz val="10.5"/>
        <rFont val="ＭＳ 明朝"/>
        <family val="1"/>
      </rPr>
      <t>c=</t>
    </r>
  </si>
  <si>
    <t>骨組み</t>
  </si>
  <si>
    <t>壁高</t>
  </si>
  <si>
    <t>Hb=</t>
  </si>
  <si>
    <t>底版幅</t>
  </si>
  <si>
    <t>Lb=</t>
  </si>
  <si>
    <t>土圧係数</t>
  </si>
  <si>
    <t>KA=</t>
  </si>
  <si>
    <t>壁重量</t>
  </si>
  <si>
    <t>Nw=</t>
  </si>
  <si>
    <t>tf/m</t>
  </si>
  <si>
    <t>地盤反力度</t>
  </si>
  <si>
    <t>曲げモーメント</t>
  </si>
  <si>
    <t>壁</t>
  </si>
  <si>
    <t>底面</t>
  </si>
  <si>
    <t>モーメントの図化倍率</t>
  </si>
  <si>
    <t>z</t>
  </si>
  <si>
    <t>Mz</t>
  </si>
  <si>
    <t>Mx</t>
  </si>
  <si>
    <t>y</t>
  </si>
  <si>
    <t>水路寸法</t>
  </si>
  <si>
    <t>水路幅</t>
  </si>
  <si>
    <t>水路高</t>
  </si>
  <si>
    <t>壁厚</t>
  </si>
  <si>
    <t>底版厚</t>
  </si>
  <si>
    <t>底版上面</t>
  </si>
  <si>
    <t>底版下面</t>
  </si>
  <si>
    <t>活荷重</t>
  </si>
  <si>
    <t>分布荷重</t>
  </si>
  <si>
    <t>後輪荷重</t>
  </si>
  <si>
    <t>設置幅</t>
  </si>
  <si>
    <t>q=</t>
  </si>
  <si>
    <t>T=</t>
  </si>
  <si>
    <t>a=</t>
  </si>
  <si>
    <t>b=</t>
  </si>
  <si>
    <r>
      <t>kN/m</t>
    </r>
    <r>
      <rPr>
        <vertAlign val="superscript"/>
        <sz val="10.5"/>
        <rFont val="Times New Roman"/>
        <family val="1"/>
      </rPr>
      <t>2</t>
    </r>
  </si>
  <si>
    <t>kN</t>
  </si>
  <si>
    <t>m</t>
  </si>
  <si>
    <t>土質定数</t>
  </si>
  <si>
    <t>単位体積重量　γ=</t>
  </si>
  <si>
    <t>せん断抵抗角　φ=</t>
  </si>
  <si>
    <t>度</t>
  </si>
  <si>
    <r>
      <t>kN/m</t>
    </r>
    <r>
      <rPr>
        <vertAlign val="superscript"/>
        <sz val="10.5"/>
        <rFont val="Times New Roman"/>
        <family val="1"/>
      </rPr>
      <t>3</t>
    </r>
  </si>
  <si>
    <t>土圧計算</t>
  </si>
  <si>
    <t>使用材料</t>
  </si>
  <si>
    <t>ｺﾝｸﾘｰﾄ設計基準強度</t>
  </si>
  <si>
    <t>σck=</t>
  </si>
  <si>
    <t>鉄筋</t>
  </si>
  <si>
    <t>側　　壁</t>
  </si>
  <si>
    <t>鉄筋径</t>
  </si>
  <si>
    <t>(mm)</t>
  </si>
  <si>
    <t>ピッチ</t>
  </si>
  <si>
    <t>中心かぶり</t>
  </si>
  <si>
    <t>水路構造</t>
  </si>
  <si>
    <t>KA</t>
  </si>
  <si>
    <t>deg</t>
  </si>
  <si>
    <t>rad</t>
  </si>
  <si>
    <t>SD295A</t>
  </si>
  <si>
    <t>SD345</t>
  </si>
  <si>
    <t>mm</t>
  </si>
  <si>
    <t>mm</t>
  </si>
  <si>
    <t>m</t>
  </si>
  <si>
    <t>m</t>
  </si>
  <si>
    <t>ピッチ</t>
  </si>
  <si>
    <t>D</t>
  </si>
  <si>
    <t>@</t>
  </si>
  <si>
    <t>D</t>
  </si>
  <si>
    <t>@</t>
  </si>
  <si>
    <t>１．設計条件</t>
  </si>
  <si>
    <t>水路寸法</t>
  </si>
  <si>
    <t>水路幅</t>
  </si>
  <si>
    <t>m</t>
  </si>
  <si>
    <t>水路高</t>
  </si>
  <si>
    <t>壁厚</t>
  </si>
  <si>
    <t>m</t>
  </si>
  <si>
    <t>底版厚</t>
  </si>
  <si>
    <t>m</t>
  </si>
  <si>
    <t>活荷重</t>
  </si>
  <si>
    <t>分布荷重</t>
  </si>
  <si>
    <r>
      <t>kN/m</t>
    </r>
    <r>
      <rPr>
        <vertAlign val="superscript"/>
        <sz val="10.5"/>
        <rFont val="Times New Roman"/>
        <family val="1"/>
      </rPr>
      <t>2</t>
    </r>
  </si>
  <si>
    <t>土質定数</t>
  </si>
  <si>
    <r>
      <t>単位体積重量　γ</t>
    </r>
    <r>
      <rPr>
        <sz val="10.5"/>
        <rFont val="Times New Roman"/>
        <family val="1"/>
      </rPr>
      <t>=</t>
    </r>
  </si>
  <si>
    <r>
      <t>kN/m</t>
    </r>
    <r>
      <rPr>
        <vertAlign val="superscript"/>
        <sz val="10.5"/>
        <rFont val="Times New Roman"/>
        <family val="1"/>
      </rPr>
      <t>3</t>
    </r>
  </si>
  <si>
    <r>
      <t>せん断抵抗角　φ</t>
    </r>
    <r>
      <rPr>
        <sz val="10.5"/>
        <rFont val="Times New Roman"/>
        <family val="1"/>
      </rPr>
      <t>=</t>
    </r>
  </si>
  <si>
    <t>度</t>
  </si>
  <si>
    <t>土圧計算</t>
  </si>
  <si>
    <t>水路構造</t>
  </si>
  <si>
    <r>
      <t>単位体積重量　γ</t>
    </r>
    <r>
      <rPr>
        <vertAlign val="subscript"/>
        <sz val="10.5"/>
        <rFont val="Times New Roman"/>
        <family val="1"/>
      </rPr>
      <t>c</t>
    </r>
    <r>
      <rPr>
        <sz val="10.5"/>
        <rFont val="Times New Roman"/>
        <family val="1"/>
      </rPr>
      <t>=</t>
    </r>
  </si>
  <si>
    <t>使用材料</t>
  </si>
  <si>
    <t>ｺﾝｸﾘｰﾄ設計基準強度</t>
  </si>
  <si>
    <r>
      <t>σ</t>
    </r>
    <r>
      <rPr>
        <sz val="10.5"/>
        <rFont val="Times New Roman"/>
        <family val="1"/>
      </rPr>
      <t>ck=</t>
    </r>
  </si>
  <si>
    <t>鉄筋</t>
  </si>
  <si>
    <t>鉄筋径</t>
  </si>
  <si>
    <t>中心かぶり</t>
  </si>
  <si>
    <t>(mm)</t>
  </si>
  <si>
    <t>側　　壁</t>
  </si>
  <si>
    <t>底版上面</t>
  </si>
  <si>
    <t>底版下面</t>
  </si>
  <si>
    <t>骨組寸法</t>
  </si>
  <si>
    <t>壁　高</t>
  </si>
  <si>
    <t>部材厚さ</t>
  </si>
  <si>
    <t>壁</t>
  </si>
  <si>
    <t>底版</t>
  </si>
  <si>
    <r>
      <t>H</t>
    </r>
    <r>
      <rPr>
        <i/>
        <vertAlign val="subscript"/>
        <sz val="10.5"/>
        <rFont val="Times New Roman"/>
        <family val="1"/>
      </rPr>
      <t>w</t>
    </r>
    <r>
      <rPr>
        <i/>
        <sz val="10.5"/>
        <rFont val="Times New Roman"/>
        <family val="1"/>
      </rPr>
      <t>=</t>
    </r>
  </si>
  <si>
    <r>
      <t>B</t>
    </r>
    <r>
      <rPr>
        <i/>
        <vertAlign val="subscript"/>
        <sz val="10.5"/>
        <rFont val="Times New Roman"/>
        <family val="1"/>
      </rPr>
      <t>b</t>
    </r>
    <r>
      <rPr>
        <i/>
        <sz val="10.5"/>
        <rFont val="Times New Roman"/>
        <family val="1"/>
      </rPr>
      <t>=</t>
    </r>
  </si>
  <si>
    <r>
      <t>t</t>
    </r>
    <r>
      <rPr>
        <i/>
        <vertAlign val="subscript"/>
        <sz val="10.5"/>
        <rFont val="Times New Roman"/>
        <family val="1"/>
      </rPr>
      <t>w</t>
    </r>
    <r>
      <rPr>
        <i/>
        <sz val="10.5"/>
        <rFont val="Times New Roman"/>
        <family val="1"/>
      </rPr>
      <t>=</t>
    </r>
  </si>
  <si>
    <r>
      <t>t</t>
    </r>
    <r>
      <rPr>
        <i/>
        <vertAlign val="subscript"/>
        <sz val="10.5"/>
        <rFont val="Times New Roman"/>
        <family val="1"/>
      </rPr>
      <t>b</t>
    </r>
    <r>
      <rPr>
        <i/>
        <sz val="10.5"/>
        <rFont val="Times New Roman"/>
        <family val="1"/>
      </rPr>
      <t>=</t>
    </r>
  </si>
  <si>
    <t>kN/m</t>
  </si>
  <si>
    <t>静止土圧</t>
  </si>
  <si>
    <t>土圧の種類</t>
  </si>
  <si>
    <t>土圧係数</t>
  </si>
  <si>
    <t>土圧強度</t>
  </si>
  <si>
    <t>下端</t>
  </si>
  <si>
    <t>上端</t>
  </si>
  <si>
    <t>壁面土圧</t>
  </si>
  <si>
    <t>２．荷重</t>
  </si>
  <si>
    <t>荷重図</t>
  </si>
  <si>
    <t>３．曲げモーメント</t>
  </si>
  <si>
    <t>分布鉄筋</t>
  </si>
  <si>
    <r>
      <t>z</t>
    </r>
    <r>
      <rPr>
        <sz val="10.5"/>
        <rFont val="Times New Roman"/>
        <family val="1"/>
      </rPr>
      <t>(m)</t>
    </r>
  </si>
  <si>
    <r>
      <t>x</t>
    </r>
    <r>
      <rPr>
        <sz val="10.5"/>
        <rFont val="Times New Roman"/>
        <family val="1"/>
      </rPr>
      <t>(m)</t>
    </r>
  </si>
  <si>
    <t>側壁</t>
  </si>
  <si>
    <r>
      <t>M</t>
    </r>
    <r>
      <rPr>
        <sz val="10.5"/>
        <rFont val="Times New Roman"/>
        <family val="1"/>
      </rPr>
      <t>(kNm)</t>
    </r>
  </si>
  <si>
    <t>曲げモーメント図</t>
  </si>
  <si>
    <t>４．応力度の計算</t>
  </si>
  <si>
    <t>max=</t>
  </si>
  <si>
    <t>min=</t>
  </si>
  <si>
    <t>曲げモーメント</t>
  </si>
  <si>
    <t>M=</t>
  </si>
  <si>
    <t>kNm</t>
  </si>
  <si>
    <t>有効幅</t>
  </si>
  <si>
    <t>有効高</t>
  </si>
  <si>
    <t>b=</t>
  </si>
  <si>
    <t>d=</t>
  </si>
  <si>
    <t>mm</t>
  </si>
  <si>
    <t>鉄筋径</t>
  </si>
  <si>
    <t>鉄筋間隔</t>
  </si>
  <si>
    <t>D=</t>
  </si>
  <si>
    <t>pich=</t>
  </si>
  <si>
    <t>鉄筋量</t>
  </si>
  <si>
    <t>As=</t>
  </si>
  <si>
    <r>
      <t>mm</t>
    </r>
    <r>
      <rPr>
        <vertAlign val="superscript"/>
        <sz val="10.5"/>
        <rFont val="Times New Roman"/>
        <family val="1"/>
      </rPr>
      <t>2</t>
    </r>
  </si>
  <si>
    <t>コンクリートの曲げ圧縮応力度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</si>
  <si>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</si>
  <si>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ＭＳ Ｐ明朝"/>
        <family val="1"/>
      </rPr>
      <t>ca</t>
    </r>
    <r>
      <rPr>
        <i/>
        <sz val="11"/>
        <rFont val="ＭＳ Ｐ明朝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</si>
  <si>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</si>
  <si>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鉄筋の曲げ引張応力度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</si>
  <si>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</si>
  <si>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ＭＳ Ｐ明朝"/>
        <family val="1"/>
      </rPr>
      <t>sa</t>
    </r>
    <r>
      <rPr>
        <i/>
        <sz val="11"/>
        <rFont val="ＭＳ Ｐ明朝"/>
        <family val="1"/>
      </rPr>
      <t>=</t>
    </r>
  </si>
  <si>
    <t>　４．１　側壁下端</t>
  </si>
  <si>
    <t>　４．２　底版下面(端部)</t>
  </si>
  <si>
    <t>　４．３　底版上面(中央)</t>
  </si>
  <si>
    <t>部材厚</t>
  </si>
  <si>
    <t>t=</t>
  </si>
  <si>
    <t>コンクリートの曲げ引張応力度</t>
  </si>
  <si>
    <t>１．設計条件</t>
  </si>
  <si>
    <t>底版厚</t>
  </si>
  <si>
    <t>後輪荷重</t>
  </si>
  <si>
    <t>kN</t>
  </si>
  <si>
    <t>載荷幅</t>
  </si>
  <si>
    <t>a=</t>
  </si>
  <si>
    <t>m</t>
  </si>
  <si>
    <t>b=</t>
  </si>
  <si>
    <t>土質定数</t>
  </si>
  <si>
    <r>
      <t>単位体積重量　γ</t>
    </r>
    <r>
      <rPr>
        <sz val="10.5"/>
        <rFont val="Times New Roman"/>
        <family val="1"/>
      </rPr>
      <t>=</t>
    </r>
  </si>
  <si>
    <r>
      <t>単位体積重量　γ</t>
    </r>
    <r>
      <rPr>
        <vertAlign val="subscript"/>
        <sz val="10.5"/>
        <rFont val="Times New Roman"/>
        <family val="1"/>
      </rPr>
      <t>c</t>
    </r>
    <r>
      <rPr>
        <sz val="10.5"/>
        <rFont val="Times New Roman"/>
        <family val="1"/>
      </rPr>
      <t>=</t>
    </r>
  </si>
  <si>
    <t>x</t>
  </si>
  <si>
    <t>２．荷重</t>
  </si>
  <si>
    <t>骨組寸法</t>
  </si>
  <si>
    <t>壁　高</t>
  </si>
  <si>
    <r>
      <t>H</t>
    </r>
    <r>
      <rPr>
        <i/>
        <vertAlign val="subscript"/>
        <sz val="10.5"/>
        <rFont val="Times New Roman"/>
        <family val="1"/>
      </rPr>
      <t>w</t>
    </r>
    <r>
      <rPr>
        <i/>
        <sz val="10.5"/>
        <rFont val="Times New Roman"/>
        <family val="1"/>
      </rPr>
      <t>=</t>
    </r>
  </si>
  <si>
    <r>
      <t>B</t>
    </r>
    <r>
      <rPr>
        <i/>
        <vertAlign val="subscript"/>
        <sz val="10.5"/>
        <rFont val="Times New Roman"/>
        <family val="1"/>
      </rPr>
      <t>b</t>
    </r>
    <r>
      <rPr>
        <i/>
        <sz val="10.5"/>
        <rFont val="Times New Roman"/>
        <family val="1"/>
      </rPr>
      <t>=</t>
    </r>
  </si>
  <si>
    <t>部材厚さ</t>
  </si>
  <si>
    <t>壁</t>
  </si>
  <si>
    <r>
      <t>t</t>
    </r>
    <r>
      <rPr>
        <i/>
        <vertAlign val="subscript"/>
        <sz val="10.5"/>
        <rFont val="Times New Roman"/>
        <family val="1"/>
      </rPr>
      <t>w</t>
    </r>
    <r>
      <rPr>
        <i/>
        <sz val="10.5"/>
        <rFont val="Times New Roman"/>
        <family val="1"/>
      </rPr>
      <t>=</t>
    </r>
  </si>
  <si>
    <t>底版</t>
  </si>
  <si>
    <r>
      <t>t</t>
    </r>
    <r>
      <rPr>
        <i/>
        <vertAlign val="subscript"/>
        <sz val="10.5"/>
        <rFont val="Times New Roman"/>
        <family val="1"/>
      </rPr>
      <t>b</t>
    </r>
    <r>
      <rPr>
        <i/>
        <sz val="10.5"/>
        <rFont val="Times New Roman"/>
        <family val="1"/>
      </rPr>
      <t>=</t>
    </r>
  </si>
  <si>
    <t>kN/m</t>
  </si>
  <si>
    <t>壁面土圧</t>
  </si>
  <si>
    <t>土圧の種類</t>
  </si>
  <si>
    <t>土圧係数</t>
  </si>
  <si>
    <t>土圧強度</t>
  </si>
  <si>
    <t>土砂による土圧</t>
  </si>
  <si>
    <t>後輪荷重による土圧</t>
  </si>
  <si>
    <r>
      <t>kN/m</t>
    </r>
    <r>
      <rPr>
        <vertAlign val="superscript"/>
        <sz val="10.5"/>
        <rFont val="Times New Roman"/>
        <family val="1"/>
      </rPr>
      <t>2</t>
    </r>
  </si>
  <si>
    <t>３．曲げモーメント</t>
  </si>
  <si>
    <t>側壁</t>
  </si>
  <si>
    <t>底版</t>
  </si>
  <si>
    <r>
      <t>z</t>
    </r>
    <r>
      <rPr>
        <sz val="10.5"/>
        <rFont val="Times New Roman"/>
        <family val="1"/>
      </rPr>
      <t>(m)</t>
    </r>
  </si>
  <si>
    <r>
      <t>M</t>
    </r>
    <r>
      <rPr>
        <sz val="10.5"/>
        <rFont val="Times New Roman"/>
        <family val="1"/>
      </rPr>
      <t>(kNm)</t>
    </r>
  </si>
  <si>
    <r>
      <t>x</t>
    </r>
    <r>
      <rPr>
        <sz val="10.5"/>
        <rFont val="Times New Roman"/>
        <family val="1"/>
      </rPr>
      <t>(m)</t>
    </r>
  </si>
  <si>
    <t>max=</t>
  </si>
  <si>
    <t>min=</t>
  </si>
  <si>
    <t>曲げモーメント図</t>
  </si>
  <si>
    <t>４．応力度の計算</t>
  </si>
  <si>
    <t>　４．１　側壁下端</t>
  </si>
  <si>
    <t>曲げモーメント</t>
  </si>
  <si>
    <t>M=</t>
  </si>
  <si>
    <t>kNm</t>
  </si>
  <si>
    <t>有効幅</t>
  </si>
  <si>
    <t>b=</t>
  </si>
  <si>
    <t>mm</t>
  </si>
  <si>
    <t>有効高</t>
  </si>
  <si>
    <t>d=</t>
  </si>
  <si>
    <t>鉄筋径</t>
  </si>
  <si>
    <t>D=</t>
  </si>
  <si>
    <t>鉄筋間隔</t>
  </si>
  <si>
    <t>pich=</t>
  </si>
  <si>
    <t>鉄筋量</t>
  </si>
  <si>
    <t>As=</t>
  </si>
  <si>
    <r>
      <t>mm</t>
    </r>
    <r>
      <rPr>
        <vertAlign val="superscript"/>
        <sz val="10.5"/>
        <rFont val="Times New Roman"/>
        <family val="1"/>
      </rPr>
      <t>2</t>
    </r>
  </si>
  <si>
    <t>コンクリートの曲げ圧縮応力度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</si>
  <si>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</si>
  <si>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ca</t>
    </r>
    <r>
      <rPr>
        <i/>
        <sz val="11"/>
        <rFont val="Times New Roman"/>
        <family val="1"/>
      </rPr>
      <t>=</t>
    </r>
  </si>
  <si>
    <t>鉄筋の曲げ引張応力度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</si>
  <si>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</si>
  <si>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sa</t>
    </r>
    <r>
      <rPr>
        <i/>
        <sz val="11"/>
        <rFont val="Times New Roman"/>
        <family val="1"/>
      </rPr>
      <t>=</t>
    </r>
  </si>
  <si>
    <r>
      <t>　４．２　底版下面</t>
    </r>
    <r>
      <rPr>
        <sz val="10.5"/>
        <rFont val="Times New Roman"/>
        <family val="1"/>
      </rPr>
      <t>(</t>
    </r>
    <r>
      <rPr>
        <sz val="10.5"/>
        <rFont val="ＭＳ Ｐ明朝"/>
        <family val="1"/>
      </rPr>
      <t>端部</t>
    </r>
    <r>
      <rPr>
        <sz val="10.5"/>
        <rFont val="Times New Roman"/>
        <family val="1"/>
      </rPr>
      <t>)</t>
    </r>
  </si>
  <si>
    <r>
      <t>　４．３　底版上面</t>
    </r>
    <r>
      <rPr>
        <sz val="10.5"/>
        <rFont val="Times New Roman"/>
        <family val="1"/>
      </rPr>
      <t>(</t>
    </r>
    <r>
      <rPr>
        <sz val="10.5"/>
        <rFont val="ＭＳ Ｐ明朝"/>
        <family val="1"/>
      </rPr>
      <t>中央</t>
    </r>
    <r>
      <rPr>
        <sz val="10.5"/>
        <rFont val="Times New Roman"/>
        <family val="1"/>
      </rPr>
      <t>)</t>
    </r>
  </si>
  <si>
    <t>曲げモーメント</t>
  </si>
  <si>
    <t>有効幅</t>
  </si>
  <si>
    <t>有効高</t>
  </si>
  <si>
    <t>鉄筋径</t>
  </si>
  <si>
    <t>コンクリートの曲げ圧縮応力度</t>
  </si>
  <si>
    <t>鉄筋の曲げ引張応力度</t>
  </si>
  <si>
    <r>
      <t>z</t>
    </r>
    <r>
      <rPr>
        <sz val="10.5"/>
        <rFont val="Times New Roman"/>
        <family val="1"/>
      </rPr>
      <t>(m)</t>
    </r>
  </si>
  <si>
    <r>
      <t>p</t>
    </r>
    <r>
      <rPr>
        <i/>
        <vertAlign val="subscript"/>
        <sz val="10.5"/>
        <rFont val="Times New Roman"/>
        <family val="1"/>
      </rPr>
      <t>d</t>
    </r>
  </si>
  <si>
    <r>
      <t>p</t>
    </r>
    <r>
      <rPr>
        <i/>
        <vertAlign val="subscript"/>
        <sz val="10.5"/>
        <rFont val="Times New Roman"/>
        <family val="1"/>
      </rPr>
      <t>l</t>
    </r>
  </si>
  <si>
    <t>p</t>
  </si>
  <si>
    <t>側壁下端</t>
  </si>
  <si>
    <t>計算結果</t>
  </si>
  <si>
    <t>ｺﾝｸﾘｰﾄ</t>
  </si>
  <si>
    <t>鉄筋</t>
  </si>
  <si>
    <t>判定</t>
  </si>
  <si>
    <t>圧縮応力</t>
  </si>
  <si>
    <t>引張応力</t>
  </si>
  <si>
    <t>引張応力</t>
  </si>
  <si>
    <t>計算値</t>
  </si>
  <si>
    <t>許容値</t>
  </si>
  <si>
    <t>側壁下端</t>
  </si>
  <si>
    <t>底版端部</t>
  </si>
  <si>
    <t>底版中央</t>
  </si>
  <si>
    <t>鉄筋中心かぶり</t>
  </si>
  <si>
    <t>I=</t>
  </si>
  <si>
    <t>鉄筋中心かぶり</t>
  </si>
  <si>
    <t>I=</t>
  </si>
  <si>
    <t>mm</t>
  </si>
  <si>
    <t>x</t>
  </si>
  <si>
    <t>y</t>
  </si>
  <si>
    <r>
      <t>K</t>
    </r>
    <r>
      <rPr>
        <sz val="10.5"/>
        <color indexed="9"/>
        <rFont val="Times New Roman"/>
        <family val="1"/>
      </rPr>
      <t>=</t>
    </r>
  </si>
  <si>
    <r>
      <t>K</t>
    </r>
    <r>
      <rPr>
        <sz val="10.5"/>
        <color indexed="9"/>
        <rFont val="Times New Roman"/>
        <family val="1"/>
      </rPr>
      <t>=tan</t>
    </r>
    <r>
      <rPr>
        <vertAlign val="superscript"/>
        <sz val="10.5"/>
        <color indexed="9"/>
        <rFont val="Times New Roman"/>
        <family val="1"/>
      </rPr>
      <t>2</t>
    </r>
    <r>
      <rPr>
        <sz val="10.5"/>
        <color indexed="9"/>
        <rFont val="Times New Roman"/>
        <family val="1"/>
      </rPr>
      <t>(</t>
    </r>
    <r>
      <rPr>
        <sz val="10.5"/>
        <color indexed="9"/>
        <rFont val="ＭＳ Ｐ明朝"/>
        <family val="1"/>
      </rPr>
      <t>π</t>
    </r>
    <r>
      <rPr>
        <sz val="10.5"/>
        <color indexed="9"/>
        <rFont val="Times New Roman"/>
        <family val="1"/>
      </rPr>
      <t>/4-</t>
    </r>
    <r>
      <rPr>
        <sz val="10.5"/>
        <color indexed="9"/>
        <rFont val="ＭＳ Ｐ明朝"/>
        <family val="1"/>
      </rPr>
      <t>φ</t>
    </r>
    <r>
      <rPr>
        <sz val="10.5"/>
        <color indexed="9"/>
        <rFont val="Times New Roman"/>
        <family val="1"/>
      </rPr>
      <t>/2)=</t>
    </r>
  </si>
  <si>
    <r>
      <t>K=</t>
    </r>
    <r>
      <rPr>
        <sz val="10.5"/>
        <color indexed="9"/>
        <rFont val="Times New Roman"/>
        <family val="1"/>
      </rPr>
      <t>1-sin</t>
    </r>
    <r>
      <rPr>
        <sz val="10.5"/>
        <color indexed="9"/>
        <rFont val="ＭＳ Ｐ明朝"/>
        <family val="1"/>
      </rPr>
      <t>φ</t>
    </r>
    <r>
      <rPr>
        <sz val="10.5"/>
        <color indexed="9"/>
        <rFont val="Times New Roman"/>
        <family val="1"/>
      </rPr>
      <t>=</t>
    </r>
  </si>
  <si>
    <r>
      <t>N/mm</t>
    </r>
    <r>
      <rPr>
        <vertAlign val="superscript"/>
        <sz val="10.5"/>
        <rFont val="ＭＳ Ｐ明朝"/>
        <family val="1"/>
      </rPr>
      <t>２</t>
    </r>
  </si>
  <si>
    <r>
      <t>N/mm</t>
    </r>
    <r>
      <rPr>
        <vertAlign val="superscript"/>
        <sz val="10.5"/>
        <rFont val="ＭＳ Ｐ明朝"/>
        <family val="1"/>
      </rPr>
      <t>２</t>
    </r>
  </si>
  <si>
    <t>分布荷重載荷</t>
  </si>
  <si>
    <t>後輪荷重載荷</t>
  </si>
  <si>
    <t>計算法</t>
  </si>
  <si>
    <t>φ=</t>
  </si>
  <si>
    <t>主働土圧</t>
  </si>
  <si>
    <t>kN/m2</t>
  </si>
  <si>
    <t>静止土圧 K=0.5</t>
  </si>
  <si>
    <t>kN</t>
  </si>
  <si>
    <t>静止土圧 ヤーキー式</t>
  </si>
  <si>
    <t>ヤーキー式</t>
  </si>
  <si>
    <t>m</t>
  </si>
  <si>
    <t>γc</t>
  </si>
  <si>
    <t>σca</t>
  </si>
  <si>
    <t>σta</t>
  </si>
  <si>
    <t>τca</t>
  </si>
  <si>
    <t>σck</t>
  </si>
  <si>
    <t>σsa</t>
  </si>
  <si>
    <t>鉄筋コンクリート</t>
  </si>
  <si>
    <t>無筋コンクリート</t>
  </si>
  <si>
    <t>***</t>
  </si>
  <si>
    <t>鉄筋中心かぶり</t>
  </si>
  <si>
    <t>側　　壁</t>
  </si>
  <si>
    <t>底版上面</t>
  </si>
  <si>
    <t>分布</t>
  </si>
  <si>
    <t>構造</t>
  </si>
  <si>
    <t>分布鉄筋</t>
  </si>
  <si>
    <t>分布無筋</t>
  </si>
  <si>
    <t>T荷重鉄筋</t>
  </si>
  <si>
    <t>T荷重無筋</t>
  </si>
  <si>
    <t>計算結果</t>
  </si>
  <si>
    <t>許容値</t>
  </si>
  <si>
    <t>判定</t>
  </si>
  <si>
    <t>T鉄筋</t>
  </si>
  <si>
    <t>T無筋</t>
  </si>
  <si>
    <t>側壁下端</t>
  </si>
  <si>
    <t>ｺﾝｸﾘｰﾄ</t>
  </si>
  <si>
    <t>圧縮応力</t>
  </si>
  <si>
    <t>引張応力</t>
  </si>
  <si>
    <t>***</t>
  </si>
  <si>
    <t>鉄筋</t>
  </si>
  <si>
    <t>ｺﾝｸﾘｰﾄ</t>
  </si>
  <si>
    <t>底版中央</t>
  </si>
  <si>
    <t>右</t>
  </si>
  <si>
    <t>縮尺</t>
  </si>
  <si>
    <t>左土圧</t>
  </si>
  <si>
    <t>右土圧</t>
  </si>
  <si>
    <t>部材</t>
  </si>
  <si>
    <t>左</t>
  </si>
  <si>
    <t>水路</t>
  </si>
  <si>
    <t>地盤反力</t>
  </si>
  <si>
    <t>式</t>
  </si>
  <si>
    <t>scale</t>
  </si>
  <si>
    <t>底面</t>
  </si>
  <si>
    <r>
      <t>K</t>
    </r>
    <r>
      <rPr>
        <sz val="10.5"/>
        <color indexed="9"/>
        <rFont val="Times New Roman"/>
        <family val="1"/>
      </rPr>
      <t>=tan2(</t>
    </r>
    <r>
      <rPr>
        <sz val="10.5"/>
        <color indexed="9"/>
        <rFont val="ＭＳ Ｐ明朝"/>
        <family val="1"/>
      </rPr>
      <t>π</t>
    </r>
    <r>
      <rPr>
        <sz val="10.5"/>
        <color indexed="9"/>
        <rFont val="Times New Roman"/>
        <family val="1"/>
      </rPr>
      <t>/4-</t>
    </r>
    <r>
      <rPr>
        <sz val="10.5"/>
        <color indexed="9"/>
        <rFont val="ＭＳ Ｐ明朝"/>
        <family val="1"/>
      </rPr>
      <t>φ</t>
    </r>
    <r>
      <rPr>
        <sz val="10.5"/>
        <color indexed="9"/>
        <rFont val="Times New Roman"/>
        <family val="1"/>
      </rPr>
      <t>/2)=</t>
    </r>
  </si>
  <si>
    <t>地盤反力</t>
  </si>
  <si>
    <t>式</t>
  </si>
  <si>
    <t>左</t>
  </si>
  <si>
    <t>底面</t>
  </si>
  <si>
    <t>水路</t>
  </si>
  <si>
    <t>2008.10.21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</si>
</sst>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000"/>
    <numFmt numFmtId="179" formatCode="0.0000"/>
    <numFmt numFmtId="180" formatCode="0.000"/>
    <numFmt numFmtId="181" formatCode="0.0"/>
    <numFmt numFmtId="182" formatCode="0.000_);[Red]\(0.000\)"/>
    <numFmt numFmtId="183" formatCode="0.00000000000000_);[Red]\(0.00000000000000\)"/>
    <numFmt numFmtId="184" formatCode="0.0000000000000_);[Red]\(0.0000000000000\)"/>
    <numFmt numFmtId="185" formatCode="0.000000000000_);[Red]\(0.000000000000\)"/>
    <numFmt numFmtId="186" formatCode="0.00000000000_);[Red]\(0.00000000000\)"/>
    <numFmt numFmtId="187" formatCode="0.0000000000_);[Red]\(0.0000000000\)"/>
    <numFmt numFmtId="188" formatCode="0.000000000_);[Red]\(0.000000000\)"/>
    <numFmt numFmtId="189" formatCode="0.00000000_);[Red]\(0.00000000\)"/>
    <numFmt numFmtId="190" formatCode="0.0000000_);[Red]\(0.0000000\)"/>
    <numFmt numFmtId="191" formatCode="0.000000_);[Red]\(0.000000\)"/>
    <numFmt numFmtId="192" formatCode="0.00000_);[Red]\(0.00000\)"/>
    <numFmt numFmtId="193" formatCode="0.0000_);[Red]\(0.0000\)"/>
  </numFmts>
  <fonts count="7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.5"/>
      <name val="Symbol"/>
      <family val="1"/>
    </font>
    <font>
      <sz val="10.5"/>
      <color indexed="10"/>
      <name val="ＭＳ 明朝"/>
      <family val="1"/>
    </font>
    <font>
      <sz val="6"/>
      <name val="ＭＳ 明朝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ＭＳ Ｐ明朝"/>
      <family val="1"/>
    </font>
    <font>
      <vertAlign val="superscript"/>
      <sz val="10.5"/>
      <name val="ＭＳ Ｐ明朝"/>
      <family val="1"/>
    </font>
    <font>
      <vertAlign val="subscript"/>
      <sz val="10.5"/>
      <name val="Times New Roman"/>
      <family val="1"/>
    </font>
    <font>
      <i/>
      <vertAlign val="subscript"/>
      <sz val="10.5"/>
      <name val="Times New Roman"/>
      <family val="1"/>
    </font>
    <font>
      <sz val="11"/>
      <name val="Times New Roman"/>
      <family val="1"/>
    </font>
    <font>
      <sz val="6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vertAlign val="superscript"/>
      <sz val="11"/>
      <name val="Times New Roman"/>
      <family val="1"/>
    </font>
    <font>
      <i/>
      <sz val="11"/>
      <name val="ＭＳ Ｐ明朝"/>
      <family val="1"/>
    </font>
    <font>
      <i/>
      <vertAlign val="subscript"/>
      <sz val="11"/>
      <name val="ＭＳ Ｐ明朝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0.5"/>
      <color indexed="9"/>
      <name val="Times New Roman"/>
      <family val="1"/>
    </font>
    <font>
      <sz val="10.5"/>
      <color indexed="9"/>
      <name val="ＭＳ Ｐ明朝"/>
      <family val="1"/>
    </font>
    <font>
      <i/>
      <sz val="10.5"/>
      <color indexed="9"/>
      <name val="Times New Roman"/>
      <family val="1"/>
    </font>
    <font>
      <vertAlign val="superscript"/>
      <sz val="10.5"/>
      <color indexed="9"/>
      <name val="Times New Roman"/>
      <family val="1"/>
    </font>
    <font>
      <sz val="10.5"/>
      <color indexed="9"/>
      <name val="ＭＳ 明朝"/>
      <family val="1"/>
    </font>
    <font>
      <sz val="11"/>
      <color indexed="9"/>
      <name val="Times New Roman"/>
      <family val="1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  <font>
      <sz val="14"/>
      <color indexed="61"/>
      <name val="ＭＳ Ｐゴシック"/>
      <family val="3"/>
    </font>
    <font>
      <u val="single"/>
      <sz val="10.5"/>
      <color indexed="36"/>
      <name val="ＭＳ 明朝"/>
      <family val="1"/>
    </font>
    <font>
      <sz val="9"/>
      <name val="MS UI Gothic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.5"/>
      <color indexed="8"/>
      <name val="ＭＳ 明朝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明朝"/>
      <family val="1"/>
    </font>
    <font>
      <i/>
      <sz val="10.5"/>
      <color indexed="8"/>
      <name val="ＭＳ 明朝"/>
      <family val="1"/>
    </font>
    <font>
      <i/>
      <vertAlign val="subscript"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181" fontId="14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2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0" fillId="33" borderId="0" xfId="0" applyFill="1" applyAlignment="1">
      <alignment shrinkToFit="1"/>
    </xf>
    <xf numFmtId="49" fontId="31" fillId="33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15"/>
          <c:w val="0.9622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データ!$S$2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1.2</c:v>
                </c:pt>
                <c:pt idx="4">
                  <c:v>1.0999999999999999</c:v>
                </c:pt>
                <c:pt idx="5">
                  <c:v>1.0999999999999999</c:v>
                </c:pt>
                <c:pt idx="6">
                  <c:v>0.09999999999999987</c:v>
                </c:pt>
                <c:pt idx="7">
                  <c:v>0.09999999999999987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1.2</c:v>
                </c:pt>
                <c:pt idx="12">
                  <c:v>2.2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1.2</c:v>
                </c:pt>
                <c:pt idx="17">
                  <c:v>1.2</c:v>
                </c:pt>
                <c:pt idx="18">
                  <c:v>2.2</c:v>
                </c:pt>
              </c:numCache>
            </c:numRef>
          </c:xVal>
          <c:yVal>
            <c:numRef>
              <c:f>データ!$S$3:$S$21</c:f>
              <c:numCache>
                <c:ptCount val="19"/>
                <c:pt idx="0">
                  <c:v>0.30000000000000004</c:v>
                </c:pt>
                <c:pt idx="1">
                  <c:v>0</c:v>
                </c:pt>
                <c:pt idx="2">
                  <c:v>0</c:v>
                </c:pt>
                <c:pt idx="3">
                  <c:v>0.30000000000000004</c:v>
                </c:pt>
                <c:pt idx="4">
                  <c:v>0.30000000000000004</c:v>
                </c:pt>
                <c:pt idx="5">
                  <c:v>0.1</c:v>
                </c:pt>
                <c:pt idx="6">
                  <c:v>0.1</c:v>
                </c:pt>
                <c:pt idx="7">
                  <c:v>0.30000000000000004</c:v>
                </c:pt>
                <c:pt idx="8">
                  <c:v>0.30000000000000004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データ!$T$2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1.2</c:v>
                </c:pt>
                <c:pt idx="4">
                  <c:v>1.0999999999999999</c:v>
                </c:pt>
                <c:pt idx="5">
                  <c:v>1.0999999999999999</c:v>
                </c:pt>
                <c:pt idx="6">
                  <c:v>0.09999999999999987</c:v>
                </c:pt>
                <c:pt idx="7">
                  <c:v>0.09999999999999987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1.2</c:v>
                </c:pt>
                <c:pt idx="12">
                  <c:v>2.2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1.2</c:v>
                </c:pt>
                <c:pt idx="17">
                  <c:v>1.2</c:v>
                </c:pt>
                <c:pt idx="18">
                  <c:v>2.2</c:v>
                </c:pt>
              </c:numCache>
            </c:numRef>
          </c:xVal>
          <c:yVal>
            <c:numRef>
              <c:f>データ!$T$3:$T$21</c:f>
              <c:numCache>
                <c:ptCount val="19"/>
                <c:pt idx="9">
                  <c:v>0.30000000000000004</c:v>
                </c:pt>
                <c:pt idx="10">
                  <c:v>0.30000000000000004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データ!$U$2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1.2</c:v>
                </c:pt>
                <c:pt idx="4">
                  <c:v>1.0999999999999999</c:v>
                </c:pt>
                <c:pt idx="5">
                  <c:v>1.0999999999999999</c:v>
                </c:pt>
                <c:pt idx="6">
                  <c:v>0.09999999999999987</c:v>
                </c:pt>
                <c:pt idx="7">
                  <c:v>0.09999999999999987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1.2</c:v>
                </c:pt>
                <c:pt idx="12">
                  <c:v>2.2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1.2</c:v>
                </c:pt>
                <c:pt idx="17">
                  <c:v>1.2</c:v>
                </c:pt>
                <c:pt idx="18">
                  <c:v>2.2</c:v>
                </c:pt>
              </c:numCache>
            </c:numRef>
          </c:xVal>
          <c:yVal>
            <c:numRef>
              <c:f>データ!$U$3:$U$21</c:f>
              <c:numCache>
                <c:ptCount val="19"/>
                <c:pt idx="11">
                  <c:v>0.30000000000000004</c:v>
                </c:pt>
                <c:pt idx="12">
                  <c:v>0.30000000000000004</c:v>
                </c:pt>
              </c:numCache>
            </c:numRef>
          </c:yVal>
          <c:smooth val="0"/>
        </c:ser>
        <c:axId val="20799712"/>
        <c:axId val="52979681"/>
      </c:scatterChart>
      <c:valAx>
        <c:axId val="2079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crossBetween val="midCat"/>
        <c:dispUnits/>
      </c:val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799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8"/>
          <c:w val="0.95325"/>
          <c:h val="0.9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'形状'!$K$4</c:f>
              <c:strCache>
                <c:ptCount val="1"/>
                <c:pt idx="0">
                  <c:v>水路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'形状'!$J$5:$J$23</c:f>
              <c:numCache/>
            </c:numRef>
          </c:xVal>
          <c:yVal>
            <c:numRef>
              <c:f>'形状'!$K$5:$K$23</c:f>
              <c:numCache/>
            </c:numRef>
          </c:yVal>
          <c:smooth val="0"/>
        </c:ser>
        <c:ser>
          <c:idx val="1"/>
          <c:order val="1"/>
          <c:tx>
            <c:strRef>
              <c:f>'形状'!$L$4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'形状'!$J$5:$J$23</c:f>
              <c:numCache/>
            </c:numRef>
          </c:xVal>
          <c:yVal>
            <c:numRef>
              <c:f>'形状'!$L$5:$L$23</c:f>
              <c:numCache/>
            </c:numRef>
          </c:yVal>
          <c:smooth val="0"/>
        </c:ser>
        <c:ser>
          <c:idx val="2"/>
          <c:order val="2"/>
          <c:tx>
            <c:strRef>
              <c:f>'形状'!$M$4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'形状'!$J$5:$J$23</c:f>
              <c:numCache/>
            </c:numRef>
          </c:xVal>
          <c:yVal>
            <c:numRef>
              <c:f>'形状'!$M$5:$M$23</c:f>
              <c:numCache/>
            </c:numRef>
          </c:yVal>
          <c:smooth val="0"/>
        </c:ser>
        <c:ser>
          <c:idx val="3"/>
          <c:order val="3"/>
          <c:tx>
            <c:strRef>
              <c:f>'形状'!$N$4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'形状'!$J$5:$J$23</c:f>
              <c:numCache/>
            </c:numRef>
          </c:xVal>
          <c:yVal>
            <c:numRef>
              <c:f>'形状'!$N$5:$N$23</c:f>
              <c:numCache/>
            </c:numRef>
          </c:yVal>
          <c:smooth val="0"/>
        </c:ser>
        <c:ser>
          <c:idx val="4"/>
          <c:order val="4"/>
          <c:tx>
            <c:strRef>
              <c:f>'形状'!$O$4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'形状'!$J$5:$J$23</c:f>
              <c:numCache/>
            </c:numRef>
          </c:xVal>
          <c:yVal>
            <c:numRef>
              <c:f>'形状'!$O$5:$O$23</c:f>
              <c:numCache/>
            </c:numRef>
          </c:yVal>
          <c:smooth val="0"/>
        </c:ser>
        <c:axId val="6000570"/>
        <c:axId val="54005131"/>
      </c:scatterChart>
      <c:val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 val="autoZero"/>
        <c:crossBetween val="midCat"/>
        <c:dispUnits/>
      </c:valAx>
      <c:valAx>
        <c:axId val="540051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7"/>
          <c:w val="0.953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'形状'!$M$38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'形状'!$L$39:$L$109</c:f>
              <c:numCache/>
            </c:numRef>
          </c:xVal>
          <c:yVal>
            <c:numRef>
              <c:f>'形状'!$M$39:$M$109</c:f>
              <c:numCache/>
            </c:numRef>
          </c:yVal>
          <c:smooth val="0"/>
        </c:ser>
        <c:ser>
          <c:idx val="1"/>
          <c:order val="1"/>
          <c:tx>
            <c:strRef>
              <c:f>'形状'!$N$38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'形状'!$L$39:$L$109</c:f>
              <c:numCache/>
            </c:numRef>
          </c:xVal>
          <c:yVal>
            <c:numRef>
              <c:f>'形状'!$N$39:$N$109</c:f>
              <c:numCache/>
            </c:numRef>
          </c:yVal>
          <c:smooth val="0"/>
        </c:ser>
        <c:ser>
          <c:idx val="2"/>
          <c:order val="2"/>
          <c:tx>
            <c:strRef>
              <c:f>'形状'!$O$38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'形状'!$L$39:$L$109</c:f>
              <c:numCache/>
            </c:numRef>
          </c:xVal>
          <c:yVal>
            <c:numRef>
              <c:f>'形状'!$O$39:$O$109</c:f>
              <c:numCache/>
            </c:numRef>
          </c:yVal>
          <c:smooth val="0"/>
        </c:ser>
        <c:ser>
          <c:idx val="3"/>
          <c:order val="3"/>
          <c:tx>
            <c:strRef>
              <c:f>'形状'!$P$38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'形状'!$L$39:$L$109</c:f>
              <c:numCache/>
            </c:numRef>
          </c:xVal>
          <c:yVal>
            <c:numRef>
              <c:f>'形状'!$P$39:$P$109</c:f>
              <c:numCache/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9461"/>
        <c:crosses val="autoZero"/>
        <c:crossBetween val="midCat"/>
        <c:dispUnits/>
      </c:valAx>
      <c:valAx>
        <c:axId val="12339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62841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8"/>
          <c:w val="0.9622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データ!$S$2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/>
            </c:numRef>
          </c:xVal>
          <c:yVal>
            <c:numRef>
              <c:f>データ!$S$3:$S$21</c:f>
              <c:numCache/>
            </c:numRef>
          </c:yVal>
          <c:smooth val="0"/>
        </c:ser>
        <c:ser>
          <c:idx val="1"/>
          <c:order val="1"/>
          <c:tx>
            <c:strRef>
              <c:f>データ!$T$2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/>
            </c:numRef>
          </c:xVal>
          <c:yVal>
            <c:numRef>
              <c:f>データ!$T$3:$T$21</c:f>
              <c:numCache/>
            </c:numRef>
          </c:yVal>
          <c:smooth val="0"/>
        </c:ser>
        <c:ser>
          <c:idx val="2"/>
          <c:order val="2"/>
          <c:tx>
            <c:strRef>
              <c:f>データ!$U$2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データ!$R$3:$R$21</c:f>
              <c:numCache/>
            </c:numRef>
          </c:xVal>
          <c:yVal>
            <c:numRef>
              <c:f>データ!$U$3:$U$21</c:f>
              <c:numCache/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crossBetween val="midCat"/>
        <c:dispUnits/>
      </c:val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9462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975"/>
          <c:w val="0.946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'分布鉄筋'!$Q$51</c:f>
              <c:strCache>
                <c:ptCount val="1"/>
                <c:pt idx="0">
                  <c:v>部材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'分布鉄筋'!$P$52:$P$67</c:f>
              <c:numCache/>
            </c:numRef>
          </c:xVal>
          <c:yVal>
            <c:numRef>
              <c:f>'分布鉄筋'!$Q$52:$Q$67</c:f>
              <c:numCache/>
            </c:numRef>
          </c:yVal>
          <c:smooth val="0"/>
        </c:ser>
        <c:ser>
          <c:idx val="1"/>
          <c:order val="1"/>
          <c:tx>
            <c:strRef>
              <c:f>'分布鉄筋'!$R$51</c:f>
              <c:strCache>
                <c:ptCount val="1"/>
                <c:pt idx="0">
                  <c:v>左土圧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'分布鉄筋'!$P$52:$P$67</c:f>
              <c:numCache/>
            </c:numRef>
          </c:xVal>
          <c:yVal>
            <c:numRef>
              <c:f>'分布鉄筋'!$R$52:$R$67</c:f>
              <c:numCache/>
            </c:numRef>
          </c:yVal>
          <c:smooth val="0"/>
        </c:ser>
        <c:ser>
          <c:idx val="2"/>
          <c:order val="2"/>
          <c:tx>
            <c:strRef>
              <c:f>'分布鉄筋'!$S$51</c:f>
              <c:strCache>
                <c:ptCount val="1"/>
                <c:pt idx="0">
                  <c:v>右土圧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'分布鉄筋'!$P$52:$P$67</c:f>
              <c:numCache/>
            </c:numRef>
          </c:xVal>
          <c:yVal>
            <c:numRef>
              <c:f>'分布鉄筋'!$S$52:$S$67</c:f>
              <c:numCache/>
            </c:numRef>
          </c:yVal>
          <c:smooth val="0"/>
        </c:ser>
        <c:ser>
          <c:idx val="3"/>
          <c:order val="3"/>
          <c:tx>
            <c:strRef>
              <c:f>'分布鉄筋'!$T$51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'分布鉄筋'!$P$52:$P$67</c:f>
              <c:numCache/>
            </c:numRef>
          </c:xVal>
          <c:yVal>
            <c:numRef>
              <c:f>'分布鉄筋'!$T$52:$T$67</c:f>
              <c:numCache/>
            </c:numRef>
          </c:yVal>
          <c:smooth val="0"/>
        </c:ser>
        <c:axId val="7055082"/>
        <c:axId val="63495739"/>
      </c:scatterChart>
      <c:valAx>
        <c:axId val="705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95739"/>
        <c:crosses val="autoZero"/>
        <c:crossBetween val="midCat"/>
        <c:dispUnits/>
      </c:valAx>
      <c:valAx>
        <c:axId val="63495739"/>
        <c:scaling>
          <c:orientation val="minMax"/>
        </c:scaling>
        <c:axPos val="l"/>
        <c:delete val="1"/>
        <c:majorTickMark val="out"/>
        <c:minorTickMark val="none"/>
        <c:tickLblPos val="nextTo"/>
        <c:crossAx val="70550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6375"/>
          <c:h val="0.9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'分布鉄筋'!$S$90</c:f>
              <c:strCache>
                <c:ptCount val="1"/>
                <c:pt idx="0">
                  <c:v>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'分布鉄筋'!$R$91:$R$161</c:f>
              <c:numCache/>
            </c:numRef>
          </c:xVal>
          <c:yVal>
            <c:numRef>
              <c:f>'分布鉄筋'!$S$91:$S$161</c:f>
              <c:numCache/>
            </c:numRef>
          </c:yVal>
          <c:smooth val="0"/>
        </c:ser>
        <c:ser>
          <c:idx val="1"/>
          <c:order val="1"/>
          <c:tx>
            <c:strRef>
              <c:f>'分布鉄筋'!$T$90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'分布鉄筋'!$R$91:$R$161</c:f>
              <c:numCache/>
            </c:numRef>
          </c:xVal>
          <c:yVal>
            <c:numRef>
              <c:f>'分布鉄筋'!$T$91:$T$161</c:f>
              <c:numCache/>
            </c:numRef>
          </c:yVal>
          <c:smooth val="0"/>
        </c:ser>
        <c:ser>
          <c:idx val="2"/>
          <c:order val="2"/>
          <c:tx>
            <c:strRef>
              <c:f>'分布鉄筋'!$U$90</c:f>
              <c:strCache>
                <c:ptCount val="1"/>
                <c:pt idx="0">
                  <c:v>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'分布鉄筋'!$R$91:$R$161</c:f>
              <c:numCache/>
            </c:numRef>
          </c:xVal>
          <c:yVal>
            <c:numRef>
              <c:f>'分布鉄筋'!$U$91:$U$161</c:f>
              <c:numCache/>
            </c:numRef>
          </c:yVal>
          <c:smooth val="0"/>
        </c:ser>
        <c:ser>
          <c:idx val="3"/>
          <c:order val="3"/>
          <c:tx>
            <c:strRef>
              <c:f>'分布鉄筋'!$V$90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'分布鉄筋'!$R$91:$R$161</c:f>
              <c:numCache/>
            </c:numRef>
          </c:xVal>
          <c:yVal>
            <c:numRef>
              <c:f>'分布鉄筋'!$V$91:$V$161</c:f>
              <c:numCache/>
            </c:numRef>
          </c:yVal>
          <c:smooth val="0"/>
        </c:ser>
        <c:axId val="34590740"/>
        <c:axId val="42881205"/>
      </c:scatterChart>
      <c:valAx>
        <c:axId val="34590740"/>
        <c:scaling>
          <c:orientation val="minMax"/>
        </c:scaling>
        <c:axPos val="b"/>
        <c:delete val="1"/>
        <c:majorTickMark val="out"/>
        <c:minorTickMark val="none"/>
        <c:tickLblPos val="nextTo"/>
        <c:crossAx val="42881205"/>
        <c:crosses val="autoZero"/>
        <c:crossBetween val="midCat"/>
        <c:dispUnits/>
      </c:valAx>
      <c:valAx>
        <c:axId val="42881205"/>
        <c:scaling>
          <c:orientation val="minMax"/>
        </c:scaling>
        <c:axPos val="l"/>
        <c:delete val="1"/>
        <c:majorTickMark val="out"/>
        <c:minorTickMark val="none"/>
        <c:tickLblPos val="nextTo"/>
        <c:crossAx val="345907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575"/>
          <c:w val="0.9532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'分布無筋'!$R$90</c:f>
              <c:strCache>
                <c:ptCount val="1"/>
                <c:pt idx="0">
                  <c:v>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'分布無筋'!$Q$91:$Q$161</c:f>
              <c:numCache/>
            </c:numRef>
          </c:xVal>
          <c:yVal>
            <c:numRef>
              <c:f>'分布無筋'!$R$91:$R$161</c:f>
              <c:numCache/>
            </c:numRef>
          </c:yVal>
          <c:smooth val="0"/>
        </c:ser>
        <c:ser>
          <c:idx val="1"/>
          <c:order val="1"/>
          <c:tx>
            <c:strRef>
              <c:f>'分布無筋'!$S$90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'分布無筋'!$Q$91:$Q$161</c:f>
              <c:numCache/>
            </c:numRef>
          </c:xVal>
          <c:yVal>
            <c:numRef>
              <c:f>'分布無筋'!$S$91:$S$161</c:f>
              <c:numCache/>
            </c:numRef>
          </c:yVal>
          <c:smooth val="0"/>
        </c:ser>
        <c:ser>
          <c:idx val="2"/>
          <c:order val="2"/>
          <c:tx>
            <c:strRef>
              <c:f>'分布無筋'!$T$90</c:f>
              <c:strCache>
                <c:ptCount val="1"/>
                <c:pt idx="0">
                  <c:v>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'分布無筋'!$Q$91:$Q$161</c:f>
              <c:numCache/>
            </c:numRef>
          </c:xVal>
          <c:yVal>
            <c:numRef>
              <c:f>'分布無筋'!$T$91:$T$161</c:f>
              <c:numCache/>
            </c:numRef>
          </c:yVal>
          <c:smooth val="0"/>
        </c:ser>
        <c:ser>
          <c:idx val="3"/>
          <c:order val="3"/>
          <c:tx>
            <c:strRef>
              <c:f>'分布無筋'!$U$90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'分布無筋'!$Q$91:$Q$161</c:f>
              <c:numCache/>
            </c:numRef>
          </c:xVal>
          <c:yVal>
            <c:numRef>
              <c:f>'分布無筋'!$U$91:$U$161</c:f>
              <c:numCache/>
            </c:numRef>
          </c:yVal>
          <c:smooth val="0"/>
        </c:ser>
        <c:axId val="50386526"/>
        <c:axId val="50825551"/>
      </c:scatterChart>
      <c:valAx>
        <c:axId val="50386526"/>
        <c:scaling>
          <c:orientation val="minMax"/>
        </c:scaling>
        <c:axPos val="b"/>
        <c:delete val="1"/>
        <c:majorTickMark val="out"/>
        <c:minorTickMark val="none"/>
        <c:tickLblPos val="nextTo"/>
        <c:crossAx val="50825551"/>
        <c:crosses val="autoZero"/>
        <c:crossBetween val="midCat"/>
        <c:dispUnits/>
      </c:valAx>
      <c:valAx>
        <c:axId val="50825551"/>
        <c:scaling>
          <c:orientation val="minMax"/>
        </c:scaling>
        <c:axPos val="l"/>
        <c:delete val="1"/>
        <c:majorTickMark val="out"/>
        <c:minorTickMark val="none"/>
        <c:tickLblPos val="nextTo"/>
        <c:crossAx val="503865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175"/>
          <c:w val="0.9455"/>
          <c:h val="0.9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'分布無筋'!$P$51</c:f>
              <c:strCache>
                <c:ptCount val="1"/>
                <c:pt idx="0">
                  <c:v>部材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'分布無筋'!$O$52:$O$67</c:f>
              <c:numCache/>
            </c:numRef>
          </c:xVal>
          <c:yVal>
            <c:numRef>
              <c:f>'分布無筋'!$P$52:$P$67</c:f>
              <c:numCache/>
            </c:numRef>
          </c:yVal>
          <c:smooth val="0"/>
        </c:ser>
        <c:ser>
          <c:idx val="1"/>
          <c:order val="1"/>
          <c:tx>
            <c:strRef>
              <c:f>'分布無筋'!$Q$51</c:f>
              <c:strCache>
                <c:ptCount val="1"/>
                <c:pt idx="0">
                  <c:v>左土圧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'分布無筋'!$O$52:$O$67</c:f>
              <c:numCache/>
            </c:numRef>
          </c:xVal>
          <c:yVal>
            <c:numRef>
              <c:f>'分布無筋'!$Q$52:$Q$67</c:f>
              <c:numCache/>
            </c:numRef>
          </c:yVal>
          <c:smooth val="0"/>
        </c:ser>
        <c:ser>
          <c:idx val="2"/>
          <c:order val="2"/>
          <c:tx>
            <c:strRef>
              <c:f>'分布無筋'!$R$51</c:f>
              <c:strCache>
                <c:ptCount val="1"/>
                <c:pt idx="0">
                  <c:v>右土圧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'分布無筋'!$O$52:$O$67</c:f>
              <c:numCache/>
            </c:numRef>
          </c:xVal>
          <c:yVal>
            <c:numRef>
              <c:f>'分布無筋'!$R$52:$R$67</c:f>
              <c:numCache/>
            </c:numRef>
          </c:yVal>
          <c:smooth val="0"/>
        </c:ser>
        <c:ser>
          <c:idx val="3"/>
          <c:order val="3"/>
          <c:tx>
            <c:strRef>
              <c:f>'分布無筋'!$S$51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'分布無筋'!$O$52:$O$67</c:f>
              <c:numCache/>
            </c:numRef>
          </c:xVal>
          <c:yVal>
            <c:numRef>
              <c:f>'分布無筋'!$S$52:$S$67</c:f>
              <c:numCache/>
            </c:numRef>
          </c:yVal>
          <c:smooth val="0"/>
        </c:ser>
        <c:axId val="54776776"/>
        <c:axId val="23228937"/>
      </c:scatterChart>
      <c:valAx>
        <c:axId val="547767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228937"/>
        <c:crosses val="autoZero"/>
        <c:crossBetween val="midCat"/>
        <c:dispUnits/>
      </c:valAx>
      <c:valAx>
        <c:axId val="23228937"/>
        <c:scaling>
          <c:orientation val="minMax"/>
        </c:scaling>
        <c:axPos val="l"/>
        <c:delete val="1"/>
        <c:majorTickMark val="out"/>
        <c:minorTickMark val="none"/>
        <c:tickLblPos val="nextTo"/>
        <c:crossAx val="547767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925"/>
          <c:w val="0.9127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'T荷重鉄筋'!$S$94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'T荷重鉄筋'!$Q$95:$Q$118</c:f>
              <c:numCache/>
            </c:numRef>
          </c:xVal>
          <c:yVal>
            <c:numRef>
              <c:f>'T荷重鉄筋'!$S$95:$S$118</c:f>
              <c:numCache/>
            </c:numRef>
          </c:yVal>
          <c:smooth val="0"/>
        </c:ser>
        <c:ser>
          <c:idx val="1"/>
          <c:order val="1"/>
          <c:tx>
            <c:strRef>
              <c:f>'T荷重鉄筋'!$T$94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'T荷重鉄筋'!$Q$95:$Q$118</c:f>
              <c:numCache/>
            </c:numRef>
          </c:xVal>
          <c:yVal>
            <c:numRef>
              <c:f>'T荷重鉄筋'!$T$95:$T$118</c:f>
              <c:numCache/>
            </c:numRef>
          </c:yVal>
          <c:smooth val="0"/>
        </c:ser>
        <c:axId val="7733842"/>
        <c:axId val="2495715"/>
      </c:scatterChart>
      <c:val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土圧強度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p(kN/m2)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495715"/>
        <c:crosses val="autoZero"/>
        <c:crossBetween val="midCat"/>
        <c:dispUnits/>
      </c:val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深さ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z(m)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85"/>
          <c:w val="0.949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'T荷重鉄筋'!$T$144</c:f>
              <c:strCache>
                <c:ptCount val="1"/>
                <c:pt idx="0">
                  <c:v>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'T荷重鉄筋'!$S$145:$S$215</c:f>
              <c:numCache/>
            </c:numRef>
          </c:xVal>
          <c:yVal>
            <c:numRef>
              <c:f>'T荷重鉄筋'!$T$145:$T$215</c:f>
              <c:numCache/>
            </c:numRef>
          </c:yVal>
          <c:smooth val="0"/>
        </c:ser>
        <c:ser>
          <c:idx val="1"/>
          <c:order val="1"/>
          <c:tx>
            <c:strRef>
              <c:f>'T荷重鉄筋'!$U$144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'T荷重鉄筋'!$S$145:$S$215</c:f>
              <c:numCache/>
            </c:numRef>
          </c:xVal>
          <c:yVal>
            <c:numRef>
              <c:f>'T荷重鉄筋'!$U$145:$U$215</c:f>
              <c:numCache/>
            </c:numRef>
          </c:yVal>
          <c:smooth val="0"/>
        </c:ser>
        <c:ser>
          <c:idx val="2"/>
          <c:order val="2"/>
          <c:tx>
            <c:strRef>
              <c:f>'T荷重鉄筋'!$V$144</c:f>
              <c:strCache>
                <c:ptCount val="1"/>
                <c:pt idx="0">
                  <c:v>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'T荷重鉄筋'!$S$145:$S$215</c:f>
              <c:numCache/>
            </c:numRef>
          </c:xVal>
          <c:yVal>
            <c:numRef>
              <c:f>'T荷重鉄筋'!$V$145:$V$215</c:f>
              <c:numCache/>
            </c:numRef>
          </c:yVal>
          <c:smooth val="0"/>
        </c:ser>
        <c:ser>
          <c:idx val="3"/>
          <c:order val="3"/>
          <c:tx>
            <c:strRef>
              <c:f>'T荷重鉄筋'!$W$144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'T荷重鉄筋'!$S$145:$S$215</c:f>
              <c:numCache/>
            </c:numRef>
          </c:xVal>
          <c:yVal>
            <c:numRef>
              <c:f>'T荷重鉄筋'!$W$145:$W$215</c:f>
              <c:numCache/>
            </c:numRef>
          </c:yVal>
          <c:smooth val="0"/>
        </c:ser>
        <c:axId val="22461436"/>
        <c:axId val="826333"/>
      </c:scatterChart>
      <c:valAx>
        <c:axId val="22461436"/>
        <c:scaling>
          <c:orientation val="minMax"/>
        </c:scaling>
        <c:axPos val="b"/>
        <c:delete val="1"/>
        <c:majorTickMark val="out"/>
        <c:minorTickMark val="none"/>
        <c:tickLblPos val="nextTo"/>
        <c:crossAx val="826333"/>
        <c:crosses val="autoZero"/>
        <c:crossBetween val="midCat"/>
        <c:dispUnits/>
      </c:valAx>
      <c:valAx>
        <c:axId val="826333"/>
        <c:scaling>
          <c:orientation val="minMax"/>
        </c:scaling>
        <c:axPos val="l"/>
        <c:delete val="1"/>
        <c:majorTickMark val="out"/>
        <c:minorTickMark val="none"/>
        <c:tickLblPos val="nextTo"/>
        <c:crossAx val="22461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925"/>
          <c:w val="0.9622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'T荷重鉄筋'!$S$94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'T荷重鉄筋'!$Q$95:$Q$118</c:f>
              <c:numCache>
                <c:ptCount val="24"/>
                <c:pt idx="0">
                  <c:v>0</c:v>
                </c:pt>
                <c:pt idx="1">
                  <c:v>166.5</c:v>
                </c:pt>
                <c:pt idx="2">
                  <c:v>127.01531785714286</c:v>
                </c:pt>
                <c:pt idx="3">
                  <c:v>101.2254409090909</c:v>
                </c:pt>
                <c:pt idx="4">
                  <c:v>83.2074442546584</c:v>
                </c:pt>
                <c:pt idx="5">
                  <c:v>70.0077</c:v>
                </c:pt>
                <c:pt idx="6">
                  <c:v>59.99087500000001</c:v>
                </c:pt>
                <c:pt idx="7">
                  <c:v>52.17981923076923</c:v>
                </c:pt>
                <c:pt idx="8">
                  <c:v>45.955709848484844</c:v>
                </c:pt>
                <c:pt idx="9">
                  <c:v>40.90825714285715</c:v>
                </c:pt>
                <c:pt idx="10">
                  <c:v>36.75513998673741</c:v>
                </c:pt>
                <c:pt idx="11">
                  <c:v>33.29603571428572</c:v>
                </c:pt>
                <c:pt idx="12">
                  <c:v>0</c:v>
                </c:pt>
                <c:pt idx="13">
                  <c:v>0</c:v>
                </c:pt>
                <c:pt idx="14">
                  <c:v>0.158175</c:v>
                </c:pt>
                <c:pt idx="15">
                  <c:v>0.31635</c:v>
                </c:pt>
                <c:pt idx="16">
                  <c:v>0.4745250000000001</c:v>
                </c:pt>
                <c:pt idx="17">
                  <c:v>0.6327</c:v>
                </c:pt>
                <c:pt idx="18">
                  <c:v>0.790875</c:v>
                </c:pt>
                <c:pt idx="19">
                  <c:v>0.94905</c:v>
                </c:pt>
                <c:pt idx="20">
                  <c:v>1.107225</c:v>
                </c:pt>
                <c:pt idx="21">
                  <c:v>1.2653999999999999</c:v>
                </c:pt>
                <c:pt idx="22">
                  <c:v>1.4235749999999998</c:v>
                </c:pt>
                <c:pt idx="23">
                  <c:v>1.5817499999999998</c:v>
                </c:pt>
              </c:numCache>
            </c:numRef>
          </c:xVal>
          <c:yVal>
            <c:numRef>
              <c:f>'T荷重鉄筋'!$S$95:$S$118</c:f>
              <c:numCache>
                <c:ptCount val="24"/>
                <c:pt idx="0">
                  <c:v>0.25</c:v>
                </c:pt>
                <c:pt idx="1">
                  <c:v>0.25</c:v>
                </c:pt>
                <c:pt idx="2">
                  <c:v>0.225</c:v>
                </c:pt>
                <c:pt idx="3">
                  <c:v>0.2</c:v>
                </c:pt>
                <c:pt idx="4">
                  <c:v>0.175</c:v>
                </c:pt>
                <c:pt idx="5">
                  <c:v>0.15</c:v>
                </c:pt>
                <c:pt idx="6">
                  <c:v>0.125</c:v>
                </c:pt>
                <c:pt idx="7">
                  <c:v>0.1</c:v>
                </c:pt>
                <c:pt idx="8">
                  <c:v>0.07500000000000001</c:v>
                </c:pt>
                <c:pt idx="9">
                  <c:v>0.05000000000000002</c:v>
                </c:pt>
                <c:pt idx="10">
                  <c:v>0.025000000000000022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'T荷重鉄筋'!$T$94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'T荷重鉄筋'!$Q$95:$Q$118</c:f>
              <c:numCache>
                <c:ptCount val="24"/>
                <c:pt idx="0">
                  <c:v>0</c:v>
                </c:pt>
                <c:pt idx="1">
                  <c:v>166.5</c:v>
                </c:pt>
                <c:pt idx="2">
                  <c:v>127.01531785714286</c:v>
                </c:pt>
                <c:pt idx="3">
                  <c:v>101.2254409090909</c:v>
                </c:pt>
                <c:pt idx="4">
                  <c:v>83.2074442546584</c:v>
                </c:pt>
                <c:pt idx="5">
                  <c:v>70.0077</c:v>
                </c:pt>
                <c:pt idx="6">
                  <c:v>59.99087500000001</c:v>
                </c:pt>
                <c:pt idx="7">
                  <c:v>52.17981923076923</c:v>
                </c:pt>
                <c:pt idx="8">
                  <c:v>45.955709848484844</c:v>
                </c:pt>
                <c:pt idx="9">
                  <c:v>40.90825714285715</c:v>
                </c:pt>
                <c:pt idx="10">
                  <c:v>36.75513998673741</c:v>
                </c:pt>
                <c:pt idx="11">
                  <c:v>33.29603571428572</c:v>
                </c:pt>
                <c:pt idx="12">
                  <c:v>0</c:v>
                </c:pt>
                <c:pt idx="13">
                  <c:v>0</c:v>
                </c:pt>
                <c:pt idx="14">
                  <c:v>0.158175</c:v>
                </c:pt>
                <c:pt idx="15">
                  <c:v>0.31635</c:v>
                </c:pt>
                <c:pt idx="16">
                  <c:v>0.4745250000000001</c:v>
                </c:pt>
                <c:pt idx="17">
                  <c:v>0.6327</c:v>
                </c:pt>
                <c:pt idx="18">
                  <c:v>0.790875</c:v>
                </c:pt>
                <c:pt idx="19">
                  <c:v>0.94905</c:v>
                </c:pt>
                <c:pt idx="20">
                  <c:v>1.107225</c:v>
                </c:pt>
                <c:pt idx="21">
                  <c:v>1.2653999999999999</c:v>
                </c:pt>
                <c:pt idx="22">
                  <c:v>1.4235749999999998</c:v>
                </c:pt>
                <c:pt idx="23">
                  <c:v>1.5817499999999998</c:v>
                </c:pt>
              </c:numCache>
            </c:numRef>
          </c:xVal>
          <c:yVal>
            <c:numRef>
              <c:f>'T荷重鉄筋'!$T$95:$T$118</c:f>
              <c:numCache>
                <c:ptCount val="24"/>
                <c:pt idx="13">
                  <c:v>0.25</c:v>
                </c:pt>
                <c:pt idx="14">
                  <c:v>0.225</c:v>
                </c:pt>
                <c:pt idx="15">
                  <c:v>0.2</c:v>
                </c:pt>
                <c:pt idx="16">
                  <c:v>0.175</c:v>
                </c:pt>
                <c:pt idx="17">
                  <c:v>0.15</c:v>
                </c:pt>
                <c:pt idx="18">
                  <c:v>0.125</c:v>
                </c:pt>
                <c:pt idx="19">
                  <c:v>0.1</c:v>
                </c:pt>
                <c:pt idx="20">
                  <c:v>0.07500000000000001</c:v>
                </c:pt>
                <c:pt idx="21">
                  <c:v>0.05000000000000002</c:v>
                </c:pt>
                <c:pt idx="22">
                  <c:v>0.025000000000000022</c:v>
                </c:pt>
                <c:pt idx="23">
                  <c:v>0</c:v>
                </c:pt>
              </c:numCache>
            </c:numRef>
          </c:yVal>
          <c:smooth val="0"/>
        </c:ser>
        <c:axId val="7436998"/>
        <c:axId val="66932983"/>
      </c:scatterChart>
      <c:valAx>
        <c:axId val="7436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66932983"/>
        <c:crosses val="autoZero"/>
        <c:crossBetween val="midCat"/>
        <c:dispUnits/>
      </c:val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875"/>
          <c:w val="0.949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'T荷重無筋'!$U$144</c:f>
              <c:strCache>
                <c:ptCount val="1"/>
                <c:pt idx="0">
                  <c:v>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'T荷重無筋'!$T$145:$T$215</c:f>
              <c:numCache/>
            </c:numRef>
          </c:xVal>
          <c:yVal>
            <c:numRef>
              <c:f>'T荷重無筋'!$U$145:$U$215</c:f>
              <c:numCache/>
            </c:numRef>
          </c:yVal>
          <c:smooth val="0"/>
        </c:ser>
        <c:ser>
          <c:idx val="1"/>
          <c:order val="1"/>
          <c:tx>
            <c:strRef>
              <c:f>'T荷重無筋'!$V$144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'T荷重無筋'!$T$145:$T$215</c:f>
              <c:numCache/>
            </c:numRef>
          </c:xVal>
          <c:yVal>
            <c:numRef>
              <c:f>'T荷重無筋'!$V$145:$V$215</c:f>
              <c:numCache/>
            </c:numRef>
          </c:yVal>
          <c:smooth val="0"/>
        </c:ser>
        <c:ser>
          <c:idx val="2"/>
          <c:order val="2"/>
          <c:tx>
            <c:strRef>
              <c:f>'T荷重無筋'!$W$144</c:f>
              <c:strCache>
                <c:ptCount val="1"/>
                <c:pt idx="0">
                  <c:v>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'T荷重無筋'!$T$145:$T$215</c:f>
              <c:numCache/>
            </c:numRef>
          </c:xVal>
          <c:yVal>
            <c:numRef>
              <c:f>'T荷重無筋'!$W$145:$W$215</c:f>
              <c:numCache/>
            </c:numRef>
          </c:yVal>
          <c:smooth val="0"/>
        </c:ser>
        <c:ser>
          <c:idx val="3"/>
          <c:order val="3"/>
          <c:tx>
            <c:strRef>
              <c:f>'T荷重無筋'!$X$144</c:f>
              <c:strCache>
                <c:ptCount val="1"/>
                <c:pt idx="0">
                  <c:v>水路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'T荷重無筋'!$T$145:$T$215</c:f>
              <c:numCache/>
            </c:numRef>
          </c:xVal>
          <c:yVal>
            <c:numRef>
              <c:f>'T荷重無筋'!$X$145:$X$215</c:f>
              <c:numCache/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</c:scaling>
        <c:axPos val="b"/>
        <c:delete val="1"/>
        <c:majorTickMark val="out"/>
        <c:minorTickMark val="none"/>
        <c:tickLblPos val="nextTo"/>
        <c:crossAx val="52862513"/>
        <c:crosses val="autoZero"/>
        <c:crossBetween val="midCat"/>
        <c:dispUnits/>
      </c:valAx>
      <c:valAx>
        <c:axId val="52862513"/>
        <c:scaling>
          <c:orientation val="minMax"/>
        </c:scaling>
        <c:axPos val="l"/>
        <c:delete val="1"/>
        <c:majorTickMark val="out"/>
        <c:minorTickMark val="none"/>
        <c:tickLblPos val="nextTo"/>
        <c:crossAx val="65525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chart" Target="/xl/charts/chart2.xml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chart" Target="/xl/charts/chart3.xml" /><Relationship Id="rId9" Type="http://schemas.openxmlformats.org/officeDocument/2006/relationships/image" Target="../media/image23.emf" /><Relationship Id="rId10" Type="http://schemas.openxmlformats.org/officeDocument/2006/relationships/image" Target="../media/image24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Relationship Id="rId6" Type="http://schemas.openxmlformats.org/officeDocument/2006/relationships/image" Target="../media/image26.emf" /><Relationship Id="rId7" Type="http://schemas.openxmlformats.org/officeDocument/2006/relationships/image" Target="../media/image27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chart" Target="/xl/charts/chart6.xml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42.emf" /><Relationship Id="rId15" Type="http://schemas.openxmlformats.org/officeDocument/2006/relationships/chart" Target="/xl/charts/chart7.xml" /><Relationship Id="rId16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17.emf" /><Relationship Id="rId3" Type="http://schemas.openxmlformats.org/officeDocument/2006/relationships/image" Target="../media/image20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Relationship Id="rId7" Type="http://schemas.openxmlformats.org/officeDocument/2006/relationships/chart" Target="/xl/charts/chart8.xml" /><Relationship Id="rId8" Type="http://schemas.openxmlformats.org/officeDocument/2006/relationships/image" Target="../media/image40.emf" /><Relationship Id="rId9" Type="http://schemas.openxmlformats.org/officeDocument/2006/relationships/image" Target="../media/image41.emf" /><Relationship Id="rId10" Type="http://schemas.openxmlformats.org/officeDocument/2006/relationships/image" Target="../media/image42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chart" Target="/xl/charts/chart9.xml" /><Relationship Id="rId14" Type="http://schemas.openxmlformats.org/officeDocument/2006/relationships/image" Target="../media/image4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8.emf" /><Relationship Id="rId13" Type="http://schemas.openxmlformats.org/officeDocument/2006/relationships/image" Target="../media/image8.emf" /><Relationship Id="rId14" Type="http://schemas.openxmlformats.org/officeDocument/2006/relationships/image" Target="../media/image11.emf" /><Relationship Id="rId15" Type="http://schemas.openxmlformats.org/officeDocument/2006/relationships/image" Target="../media/image12.emf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5.emf" /><Relationship Id="rId4" Type="http://schemas.openxmlformats.org/officeDocument/2006/relationships/image" Target="../media/image1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8.emf" /><Relationship Id="rId12" Type="http://schemas.openxmlformats.org/officeDocument/2006/relationships/image" Target="../media/image8.emf" /><Relationship Id="rId13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31.emf" /><Relationship Id="rId5" Type="http://schemas.openxmlformats.org/officeDocument/2006/relationships/image" Target="../media/image31.emf" /><Relationship Id="rId6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8.emf" /><Relationship Id="rId12" Type="http://schemas.openxmlformats.org/officeDocument/2006/relationships/image" Target="../media/image8.emf" /><Relationship Id="rId13" Type="http://schemas.openxmlformats.org/officeDocument/2006/relationships/image" Target="../media/image34.emf" /><Relationship Id="rId14" Type="http://schemas.openxmlformats.org/officeDocument/2006/relationships/image" Target="../media/image35.emf" /><Relationship Id="rId15" Type="http://schemas.openxmlformats.org/officeDocument/2006/relationships/image" Target="../media/image3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19050</xdr:rowOff>
    </xdr:from>
    <xdr:to>
      <xdr:col>11</xdr:col>
      <xdr:colOff>428625</xdr:colOff>
      <xdr:row>17</xdr:row>
      <xdr:rowOff>38100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1950"/>
          <a:ext cx="45910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17</xdr:row>
      <xdr:rowOff>19050</xdr:rowOff>
    </xdr:from>
    <xdr:to>
      <xdr:col>15</xdr:col>
      <xdr:colOff>76200</xdr:colOff>
      <xdr:row>30</xdr:row>
      <xdr:rowOff>9525</xdr:rowOff>
    </xdr:to>
    <xdr:grpSp>
      <xdr:nvGrpSpPr>
        <xdr:cNvPr id="2" name="Group 37"/>
        <xdr:cNvGrpSpPr>
          <a:grpSpLocks/>
        </xdr:cNvGrpSpPr>
      </xdr:nvGrpSpPr>
      <xdr:grpSpPr>
        <a:xfrm>
          <a:off x="4057650" y="3009900"/>
          <a:ext cx="6448425" cy="2238375"/>
          <a:chOff x="325" y="341"/>
          <a:chExt cx="592" cy="236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5" y="341"/>
            <a:ext cx="586" cy="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3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485" y="365"/>
            <a:ext cx="125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4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23" y="342"/>
            <a:ext cx="61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856" y="424"/>
            <a:ext cx="61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6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41" y="419"/>
            <a:ext cx="61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447675</xdr:colOff>
      <xdr:row>4</xdr:row>
      <xdr:rowOff>114300</xdr:rowOff>
    </xdr:from>
    <xdr:to>
      <xdr:col>18</xdr:col>
      <xdr:colOff>647700</xdr:colOff>
      <xdr:row>16</xdr:row>
      <xdr:rowOff>47625</xdr:rowOff>
    </xdr:to>
    <xdr:graphicFrame>
      <xdr:nvGraphicFramePr>
        <xdr:cNvPr id="8" name="グラフ 39"/>
        <xdr:cNvGraphicFramePr/>
      </xdr:nvGraphicFramePr>
      <xdr:xfrm>
        <a:off x="8096250" y="800100"/>
        <a:ext cx="50673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54</xdr:row>
      <xdr:rowOff>161925</xdr:rowOff>
    </xdr:from>
    <xdr:to>
      <xdr:col>3</xdr:col>
      <xdr:colOff>590550</xdr:colOff>
      <xdr:row>56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966787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57150</xdr:rowOff>
    </xdr:from>
    <xdr:to>
      <xdr:col>6</xdr:col>
      <xdr:colOff>161925</xdr:colOff>
      <xdr:row>79</xdr:row>
      <xdr:rowOff>47625</xdr:rowOff>
    </xdr:to>
    <xdr:graphicFrame>
      <xdr:nvGraphicFramePr>
        <xdr:cNvPr id="2" name="グラフ 27"/>
        <xdr:cNvGraphicFramePr/>
      </xdr:nvGraphicFramePr>
      <xdr:xfrm>
        <a:off x="866775" y="11563350"/>
        <a:ext cx="33528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76200</xdr:colOff>
      <xdr:row>60</xdr:row>
      <xdr:rowOff>200025</xdr:rowOff>
    </xdr:from>
    <xdr:to>
      <xdr:col>5</xdr:col>
      <xdr:colOff>666750</xdr:colOff>
      <xdr:row>62</xdr:row>
      <xdr:rowOff>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10734675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60</xdr:row>
      <xdr:rowOff>19050</xdr:rowOff>
    </xdr:from>
    <xdr:to>
      <xdr:col>6</xdr:col>
      <xdr:colOff>9525</xdr:colOff>
      <xdr:row>61</xdr:row>
      <xdr:rowOff>28575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1055370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62</xdr:row>
      <xdr:rowOff>123825</xdr:rowOff>
    </xdr:from>
    <xdr:to>
      <xdr:col>3</xdr:col>
      <xdr:colOff>638175</xdr:colOff>
      <xdr:row>64</xdr:row>
      <xdr:rowOff>142875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107757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84</xdr:row>
      <xdr:rowOff>66675</xdr:rowOff>
    </xdr:from>
    <xdr:to>
      <xdr:col>4</xdr:col>
      <xdr:colOff>438150</xdr:colOff>
      <xdr:row>86</xdr:row>
      <xdr:rowOff>142875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148685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85725</xdr:rowOff>
    </xdr:from>
    <xdr:to>
      <xdr:col>6</xdr:col>
      <xdr:colOff>438150</xdr:colOff>
      <xdr:row>89</xdr:row>
      <xdr:rowOff>161925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15401925"/>
          <a:ext cx="3143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116</xdr:row>
      <xdr:rowOff>133350</xdr:rowOff>
    </xdr:from>
    <xdr:to>
      <xdr:col>6</xdr:col>
      <xdr:colOff>571500</xdr:colOff>
      <xdr:row>131</xdr:row>
      <xdr:rowOff>47625</xdr:rowOff>
    </xdr:to>
    <xdr:graphicFrame>
      <xdr:nvGraphicFramePr>
        <xdr:cNvPr id="8" name="グラフ 35"/>
        <xdr:cNvGraphicFramePr/>
      </xdr:nvGraphicFramePr>
      <xdr:xfrm>
        <a:off x="295275" y="20421600"/>
        <a:ext cx="43338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</xdr:col>
      <xdr:colOff>533400</xdr:colOff>
      <xdr:row>146</xdr:row>
      <xdr:rowOff>66675</xdr:rowOff>
    </xdr:from>
    <xdr:to>
      <xdr:col>3</xdr:col>
      <xdr:colOff>85725</xdr:colOff>
      <xdr:row>148</xdr:row>
      <xdr:rowOff>85725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2553652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148</xdr:row>
      <xdr:rowOff>123825</xdr:rowOff>
    </xdr:from>
    <xdr:to>
      <xdr:col>4</xdr:col>
      <xdr:colOff>38100</xdr:colOff>
      <xdr:row>150</xdr:row>
      <xdr:rowOff>47625</xdr:rowOff>
    </xdr:to>
    <xdr:pic>
      <xdr:nvPicPr>
        <xdr:cNvPr id="10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259746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57150</xdr:rowOff>
    </xdr:from>
    <xdr:to>
      <xdr:col>3</xdr:col>
      <xdr:colOff>104775</xdr:colOff>
      <xdr:row>153</xdr:row>
      <xdr:rowOff>76200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" y="2647950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155</xdr:row>
      <xdr:rowOff>85725</xdr:rowOff>
    </xdr:from>
    <xdr:to>
      <xdr:col>3</xdr:col>
      <xdr:colOff>28575</xdr:colOff>
      <xdr:row>157</xdr:row>
      <xdr:rowOff>95250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14425" y="2725102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160</xdr:row>
      <xdr:rowOff>85725</xdr:rowOff>
    </xdr:from>
    <xdr:to>
      <xdr:col>3</xdr:col>
      <xdr:colOff>9525</xdr:colOff>
      <xdr:row>162</xdr:row>
      <xdr:rowOff>95250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4425" y="28203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174</xdr:row>
      <xdr:rowOff>66675</xdr:rowOff>
    </xdr:from>
    <xdr:to>
      <xdr:col>3</xdr:col>
      <xdr:colOff>85725</xdr:colOff>
      <xdr:row>176</xdr:row>
      <xdr:rowOff>85725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3070860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176</xdr:row>
      <xdr:rowOff>95250</xdr:rowOff>
    </xdr:from>
    <xdr:to>
      <xdr:col>4</xdr:col>
      <xdr:colOff>38100</xdr:colOff>
      <xdr:row>178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311181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57150</xdr:rowOff>
    </xdr:from>
    <xdr:to>
      <xdr:col>3</xdr:col>
      <xdr:colOff>104775</xdr:colOff>
      <xdr:row>181</xdr:row>
      <xdr:rowOff>76200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" y="3165157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183</xdr:row>
      <xdr:rowOff>95250</xdr:rowOff>
    </xdr:from>
    <xdr:to>
      <xdr:col>3</xdr:col>
      <xdr:colOff>28575</xdr:colOff>
      <xdr:row>185</xdr:row>
      <xdr:rowOff>104775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14425" y="3243262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188</xdr:row>
      <xdr:rowOff>85725</xdr:rowOff>
    </xdr:from>
    <xdr:to>
      <xdr:col>3</xdr:col>
      <xdr:colOff>9525</xdr:colOff>
      <xdr:row>190</xdr:row>
      <xdr:rowOff>95250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4425" y="333756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201</xdr:row>
      <xdr:rowOff>66675</xdr:rowOff>
    </xdr:from>
    <xdr:to>
      <xdr:col>3</xdr:col>
      <xdr:colOff>85725</xdr:colOff>
      <xdr:row>203</xdr:row>
      <xdr:rowOff>85725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35709225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203</xdr:row>
      <xdr:rowOff>123825</xdr:rowOff>
    </xdr:from>
    <xdr:to>
      <xdr:col>4</xdr:col>
      <xdr:colOff>38100</xdr:colOff>
      <xdr:row>205</xdr:row>
      <xdr:rowOff>47625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36147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57150</xdr:rowOff>
    </xdr:from>
    <xdr:to>
      <xdr:col>3</xdr:col>
      <xdr:colOff>104775</xdr:colOff>
      <xdr:row>208</xdr:row>
      <xdr:rowOff>76200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" y="3665220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210</xdr:row>
      <xdr:rowOff>95250</xdr:rowOff>
    </xdr:from>
    <xdr:to>
      <xdr:col>3</xdr:col>
      <xdr:colOff>28575</xdr:colOff>
      <xdr:row>212</xdr:row>
      <xdr:rowOff>104775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14425" y="3743325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215</xdr:row>
      <xdr:rowOff>104775</xdr:rowOff>
    </xdr:from>
    <xdr:to>
      <xdr:col>3</xdr:col>
      <xdr:colOff>9525</xdr:colOff>
      <xdr:row>217</xdr:row>
      <xdr:rowOff>114300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14425" y="383952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34</xdr:row>
      <xdr:rowOff>57150</xdr:rowOff>
    </xdr:from>
    <xdr:to>
      <xdr:col>7</xdr:col>
      <xdr:colOff>47625</xdr:colOff>
      <xdr:row>34</xdr:row>
      <xdr:rowOff>66675</xdr:rowOff>
    </xdr:to>
    <xdr:sp>
      <xdr:nvSpPr>
        <xdr:cNvPr id="24" name="Line 453"/>
        <xdr:cNvSpPr>
          <a:spLocks/>
        </xdr:cNvSpPr>
      </xdr:nvSpPr>
      <xdr:spPr>
        <a:xfrm>
          <a:off x="3495675" y="6019800"/>
          <a:ext cx="1285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34</xdr:row>
      <xdr:rowOff>57150</xdr:rowOff>
    </xdr:from>
    <xdr:to>
      <xdr:col>2</xdr:col>
      <xdr:colOff>257175</xdr:colOff>
      <xdr:row>34</xdr:row>
      <xdr:rowOff>66675</xdr:rowOff>
    </xdr:to>
    <xdr:sp>
      <xdr:nvSpPr>
        <xdr:cNvPr id="25" name="Line 454"/>
        <xdr:cNvSpPr>
          <a:spLocks/>
        </xdr:cNvSpPr>
      </xdr:nvSpPr>
      <xdr:spPr>
        <a:xfrm flipH="1">
          <a:off x="390525" y="601980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34</xdr:row>
      <xdr:rowOff>57150</xdr:rowOff>
    </xdr:from>
    <xdr:to>
      <xdr:col>5</xdr:col>
      <xdr:colOff>114300</xdr:colOff>
      <xdr:row>43</xdr:row>
      <xdr:rowOff>47625</xdr:rowOff>
    </xdr:to>
    <xdr:sp>
      <xdr:nvSpPr>
        <xdr:cNvPr id="26" name="Freeform 455"/>
        <xdr:cNvSpPr>
          <a:spLocks/>
        </xdr:cNvSpPr>
      </xdr:nvSpPr>
      <xdr:spPr>
        <a:xfrm>
          <a:off x="1609725" y="6019800"/>
          <a:ext cx="1885950" cy="1533525"/>
        </a:xfrm>
        <a:custGeom>
          <a:pathLst>
            <a:path h="161" w="174">
              <a:moveTo>
                <a:pt x="174" y="0"/>
              </a:moveTo>
              <a:lnTo>
                <a:pt x="174" y="161"/>
              </a:lnTo>
              <a:lnTo>
                <a:pt x="0" y="161"/>
              </a:lnTo>
              <a:lnTo>
                <a:pt x="0" y="0"/>
              </a:lnTo>
              <a:lnTo>
                <a:pt x="31" y="0"/>
              </a:lnTo>
              <a:lnTo>
                <a:pt x="31" y="129"/>
              </a:lnTo>
              <a:lnTo>
                <a:pt x="143" y="129"/>
              </a:lnTo>
              <a:lnTo>
                <a:pt x="143" y="0"/>
              </a:lnTo>
              <a:lnTo>
                <a:pt x="174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123825</xdr:rowOff>
    </xdr:from>
    <xdr:to>
      <xdr:col>5</xdr:col>
      <xdr:colOff>66675</xdr:colOff>
      <xdr:row>43</xdr:row>
      <xdr:rowOff>0</xdr:rowOff>
    </xdr:to>
    <xdr:grpSp>
      <xdr:nvGrpSpPr>
        <xdr:cNvPr id="27" name="Group 462"/>
        <xdr:cNvGrpSpPr>
          <a:grpSpLocks/>
        </xdr:cNvGrpSpPr>
      </xdr:nvGrpSpPr>
      <xdr:grpSpPr>
        <a:xfrm>
          <a:off x="1685925" y="6086475"/>
          <a:ext cx="1762125" cy="1419225"/>
          <a:chOff x="154" y="641"/>
          <a:chExt cx="162" cy="149"/>
        </a:xfrm>
        <a:solidFill>
          <a:srgbClr val="FFFFFF"/>
        </a:solidFill>
      </xdr:grpSpPr>
      <xdr:sp>
        <xdr:nvSpPr>
          <xdr:cNvPr id="28" name="Line 456"/>
          <xdr:cNvSpPr>
            <a:spLocks/>
          </xdr:cNvSpPr>
        </xdr:nvSpPr>
        <xdr:spPr>
          <a:xfrm>
            <a:off x="154" y="641"/>
            <a:ext cx="1" cy="1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" name="Line 457"/>
          <xdr:cNvSpPr>
            <a:spLocks/>
          </xdr:cNvSpPr>
        </xdr:nvSpPr>
        <xdr:spPr>
          <a:xfrm>
            <a:off x="315" y="641"/>
            <a:ext cx="1" cy="1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Line 458"/>
          <xdr:cNvSpPr>
            <a:spLocks/>
          </xdr:cNvSpPr>
        </xdr:nvSpPr>
        <xdr:spPr>
          <a:xfrm>
            <a:off x="172" y="789"/>
            <a:ext cx="124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" name="Line 459"/>
          <xdr:cNvSpPr>
            <a:spLocks/>
          </xdr:cNvSpPr>
        </xdr:nvSpPr>
        <xdr:spPr>
          <a:xfrm>
            <a:off x="154" y="769"/>
            <a:ext cx="161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Freeform 460"/>
          <xdr:cNvSpPr>
            <a:spLocks/>
          </xdr:cNvSpPr>
        </xdr:nvSpPr>
        <xdr:spPr>
          <a:xfrm>
            <a:off x="296" y="769"/>
            <a:ext cx="19" cy="20"/>
          </a:xfrm>
          <a:custGeom>
            <a:pathLst>
              <a:path h="24" w="24">
                <a:moveTo>
                  <a:pt x="24" y="0"/>
                </a:moveTo>
                <a:cubicBezTo>
                  <a:pt x="24" y="13"/>
                  <a:pt x="13" y="24"/>
                  <a:pt x="0" y="24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Freeform 461"/>
          <xdr:cNvSpPr>
            <a:spLocks/>
          </xdr:cNvSpPr>
        </xdr:nvSpPr>
        <xdr:spPr>
          <a:xfrm>
            <a:off x="154" y="769"/>
            <a:ext cx="18" cy="20"/>
          </a:xfrm>
          <a:custGeom>
            <a:pathLst>
              <a:path h="24" w="24">
                <a:moveTo>
                  <a:pt x="0" y="0"/>
                </a:moveTo>
                <a:cubicBezTo>
                  <a:pt x="0" y="13"/>
                  <a:pt x="11" y="24"/>
                  <a:pt x="24" y="24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30</xdr:row>
      <xdr:rowOff>133350</xdr:rowOff>
    </xdr:from>
    <xdr:to>
      <xdr:col>2</xdr:col>
      <xdr:colOff>266700</xdr:colOff>
      <xdr:row>34</xdr:row>
      <xdr:rowOff>57150</xdr:rowOff>
    </xdr:to>
    <xdr:sp>
      <xdr:nvSpPr>
        <xdr:cNvPr id="34" name="Line 463"/>
        <xdr:cNvSpPr>
          <a:spLocks/>
        </xdr:cNvSpPr>
      </xdr:nvSpPr>
      <xdr:spPr>
        <a:xfrm flipV="1">
          <a:off x="1609725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30</xdr:row>
      <xdr:rowOff>133350</xdr:rowOff>
    </xdr:from>
    <xdr:to>
      <xdr:col>2</xdr:col>
      <xdr:colOff>600075</xdr:colOff>
      <xdr:row>34</xdr:row>
      <xdr:rowOff>57150</xdr:rowOff>
    </xdr:to>
    <xdr:sp>
      <xdr:nvSpPr>
        <xdr:cNvPr id="35" name="Line 464"/>
        <xdr:cNvSpPr>
          <a:spLocks/>
        </xdr:cNvSpPr>
      </xdr:nvSpPr>
      <xdr:spPr>
        <a:xfrm flipV="1">
          <a:off x="1943100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133350</xdr:rowOff>
    </xdr:from>
    <xdr:to>
      <xdr:col>4</xdr:col>
      <xdr:colOff>466725</xdr:colOff>
      <xdr:row>34</xdr:row>
      <xdr:rowOff>57150</xdr:rowOff>
    </xdr:to>
    <xdr:sp>
      <xdr:nvSpPr>
        <xdr:cNvPr id="36" name="Line 465"/>
        <xdr:cNvSpPr>
          <a:spLocks/>
        </xdr:cNvSpPr>
      </xdr:nvSpPr>
      <xdr:spPr>
        <a:xfrm flipV="1">
          <a:off x="3162300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30</xdr:row>
      <xdr:rowOff>133350</xdr:rowOff>
    </xdr:from>
    <xdr:to>
      <xdr:col>5</xdr:col>
      <xdr:colOff>123825</xdr:colOff>
      <xdr:row>34</xdr:row>
      <xdr:rowOff>57150</xdr:rowOff>
    </xdr:to>
    <xdr:sp>
      <xdr:nvSpPr>
        <xdr:cNvPr id="37" name="Line 466"/>
        <xdr:cNvSpPr>
          <a:spLocks/>
        </xdr:cNvSpPr>
      </xdr:nvSpPr>
      <xdr:spPr>
        <a:xfrm flipV="1">
          <a:off x="3495675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152400</xdr:rowOff>
    </xdr:from>
    <xdr:to>
      <xdr:col>2</xdr:col>
      <xdr:colOff>590550</xdr:colOff>
      <xdr:row>31</xdr:row>
      <xdr:rowOff>66675</xdr:rowOff>
    </xdr:to>
    <xdr:grpSp>
      <xdr:nvGrpSpPr>
        <xdr:cNvPr id="38" name="Group 470"/>
        <xdr:cNvGrpSpPr>
          <a:grpSpLocks/>
        </xdr:cNvGrpSpPr>
      </xdr:nvGrpSpPr>
      <xdr:grpSpPr>
        <a:xfrm>
          <a:off x="1609725" y="5429250"/>
          <a:ext cx="342900" cy="85725"/>
          <a:chOff x="147" y="572"/>
          <a:chExt cx="31" cy="9"/>
        </a:xfrm>
        <a:solidFill>
          <a:srgbClr val="FFFFFF"/>
        </a:solidFill>
      </xdr:grpSpPr>
      <xdr:sp>
        <xdr:nvSpPr>
          <xdr:cNvPr id="39" name="Line 467"/>
          <xdr:cNvSpPr>
            <a:spLocks/>
          </xdr:cNvSpPr>
        </xdr:nvSpPr>
        <xdr:spPr>
          <a:xfrm>
            <a:off x="154" y="576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0" name="Freeform 468"/>
          <xdr:cNvSpPr>
            <a:spLocks/>
          </xdr:cNvSpPr>
        </xdr:nvSpPr>
        <xdr:spPr>
          <a:xfrm>
            <a:off x="147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1" name="Freeform 469"/>
          <xdr:cNvSpPr>
            <a:spLocks/>
          </xdr:cNvSpPr>
        </xdr:nvSpPr>
        <xdr:spPr>
          <a:xfrm>
            <a:off x="171" y="572"/>
            <a:ext cx="7" cy="9"/>
          </a:xfrm>
          <a:custGeom>
            <a:pathLst>
              <a:path h="9" w="7">
                <a:moveTo>
                  <a:pt x="0" y="9"/>
                </a:moveTo>
                <a:lnTo>
                  <a:pt x="7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590550</xdr:colOff>
      <xdr:row>30</xdr:row>
      <xdr:rowOff>152400</xdr:rowOff>
    </xdr:from>
    <xdr:to>
      <xdr:col>4</xdr:col>
      <xdr:colOff>457200</xdr:colOff>
      <xdr:row>31</xdr:row>
      <xdr:rowOff>66675</xdr:rowOff>
    </xdr:to>
    <xdr:grpSp>
      <xdr:nvGrpSpPr>
        <xdr:cNvPr id="42" name="Group 474"/>
        <xdr:cNvGrpSpPr>
          <a:grpSpLocks/>
        </xdr:cNvGrpSpPr>
      </xdr:nvGrpSpPr>
      <xdr:grpSpPr>
        <a:xfrm>
          <a:off x="1943100" y="5429250"/>
          <a:ext cx="1219200" cy="85725"/>
          <a:chOff x="178" y="572"/>
          <a:chExt cx="112" cy="9"/>
        </a:xfrm>
        <a:solidFill>
          <a:srgbClr val="FFFFFF"/>
        </a:solidFill>
      </xdr:grpSpPr>
      <xdr:sp>
        <xdr:nvSpPr>
          <xdr:cNvPr id="43" name="Line 471"/>
          <xdr:cNvSpPr>
            <a:spLocks/>
          </xdr:cNvSpPr>
        </xdr:nvSpPr>
        <xdr:spPr>
          <a:xfrm>
            <a:off x="185" y="576"/>
            <a:ext cx="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Freeform 472"/>
          <xdr:cNvSpPr>
            <a:spLocks/>
          </xdr:cNvSpPr>
        </xdr:nvSpPr>
        <xdr:spPr>
          <a:xfrm>
            <a:off x="178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Freeform 473"/>
          <xdr:cNvSpPr>
            <a:spLocks/>
          </xdr:cNvSpPr>
        </xdr:nvSpPr>
        <xdr:spPr>
          <a:xfrm>
            <a:off x="282" y="572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8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30</xdr:row>
      <xdr:rowOff>152400</xdr:rowOff>
    </xdr:from>
    <xdr:to>
      <xdr:col>5</xdr:col>
      <xdr:colOff>114300</xdr:colOff>
      <xdr:row>31</xdr:row>
      <xdr:rowOff>66675</xdr:rowOff>
    </xdr:to>
    <xdr:grpSp>
      <xdr:nvGrpSpPr>
        <xdr:cNvPr id="46" name="Group 478"/>
        <xdr:cNvGrpSpPr>
          <a:grpSpLocks/>
        </xdr:cNvGrpSpPr>
      </xdr:nvGrpSpPr>
      <xdr:grpSpPr>
        <a:xfrm>
          <a:off x="3162300" y="5429250"/>
          <a:ext cx="333375" cy="85725"/>
          <a:chOff x="290" y="572"/>
          <a:chExt cx="31" cy="9"/>
        </a:xfrm>
        <a:solidFill>
          <a:srgbClr val="FFFFFF"/>
        </a:solidFill>
      </xdr:grpSpPr>
      <xdr:sp>
        <xdr:nvSpPr>
          <xdr:cNvPr id="47" name="Line 475"/>
          <xdr:cNvSpPr>
            <a:spLocks/>
          </xdr:cNvSpPr>
        </xdr:nvSpPr>
        <xdr:spPr>
          <a:xfrm>
            <a:off x="296" y="576"/>
            <a:ext cx="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Freeform 476"/>
          <xdr:cNvSpPr>
            <a:spLocks/>
          </xdr:cNvSpPr>
        </xdr:nvSpPr>
        <xdr:spPr>
          <a:xfrm>
            <a:off x="290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Freeform 477"/>
          <xdr:cNvSpPr>
            <a:spLocks/>
          </xdr:cNvSpPr>
        </xdr:nvSpPr>
        <xdr:spPr>
          <a:xfrm>
            <a:off x="313" y="572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8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43</xdr:row>
      <xdr:rowOff>47625</xdr:rowOff>
    </xdr:from>
    <xdr:to>
      <xdr:col>2</xdr:col>
      <xdr:colOff>257175</xdr:colOff>
      <xdr:row>43</xdr:row>
      <xdr:rowOff>57150</xdr:rowOff>
    </xdr:to>
    <xdr:sp>
      <xdr:nvSpPr>
        <xdr:cNvPr id="50" name="Line 479"/>
        <xdr:cNvSpPr>
          <a:spLocks/>
        </xdr:cNvSpPr>
      </xdr:nvSpPr>
      <xdr:spPr>
        <a:xfrm flipH="1">
          <a:off x="866775" y="75533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85725</xdr:rowOff>
    </xdr:from>
    <xdr:to>
      <xdr:col>2</xdr:col>
      <xdr:colOff>523875</xdr:colOff>
      <xdr:row>41</xdr:row>
      <xdr:rowOff>95250</xdr:rowOff>
    </xdr:to>
    <xdr:sp>
      <xdr:nvSpPr>
        <xdr:cNvPr id="51" name="Line 480"/>
        <xdr:cNvSpPr>
          <a:spLocks/>
        </xdr:cNvSpPr>
      </xdr:nvSpPr>
      <xdr:spPr>
        <a:xfrm flipH="1">
          <a:off x="866775" y="7248525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34</xdr:row>
      <xdr:rowOff>57150</xdr:rowOff>
    </xdr:from>
    <xdr:to>
      <xdr:col>1</xdr:col>
      <xdr:colOff>304800</xdr:colOff>
      <xdr:row>41</xdr:row>
      <xdr:rowOff>85725</xdr:rowOff>
    </xdr:to>
    <xdr:grpSp>
      <xdr:nvGrpSpPr>
        <xdr:cNvPr id="52" name="Group 484"/>
        <xdr:cNvGrpSpPr>
          <a:grpSpLocks/>
        </xdr:cNvGrpSpPr>
      </xdr:nvGrpSpPr>
      <xdr:grpSpPr>
        <a:xfrm>
          <a:off x="895350" y="6019800"/>
          <a:ext cx="85725" cy="1228725"/>
          <a:chOff x="82" y="634"/>
          <a:chExt cx="8" cy="129"/>
        </a:xfrm>
        <a:solidFill>
          <a:srgbClr val="FFFFFF"/>
        </a:solidFill>
      </xdr:grpSpPr>
      <xdr:sp>
        <xdr:nvSpPr>
          <xdr:cNvPr id="53" name="Line 481"/>
          <xdr:cNvSpPr>
            <a:spLocks/>
          </xdr:cNvSpPr>
        </xdr:nvSpPr>
        <xdr:spPr>
          <a:xfrm flipV="1">
            <a:off x="85" y="641"/>
            <a:ext cx="1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4" name="Freeform 482"/>
          <xdr:cNvSpPr>
            <a:spLocks/>
          </xdr:cNvSpPr>
        </xdr:nvSpPr>
        <xdr:spPr>
          <a:xfrm>
            <a:off x="82" y="755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3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Freeform 483"/>
          <xdr:cNvSpPr>
            <a:spLocks/>
          </xdr:cNvSpPr>
        </xdr:nvSpPr>
        <xdr:spPr>
          <a:xfrm>
            <a:off x="82" y="634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3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41</xdr:row>
      <xdr:rowOff>85725</xdr:rowOff>
    </xdr:from>
    <xdr:to>
      <xdr:col>1</xdr:col>
      <xdr:colOff>304800</xdr:colOff>
      <xdr:row>43</xdr:row>
      <xdr:rowOff>47625</xdr:rowOff>
    </xdr:to>
    <xdr:grpSp>
      <xdr:nvGrpSpPr>
        <xdr:cNvPr id="56" name="Group 488"/>
        <xdr:cNvGrpSpPr>
          <a:grpSpLocks/>
        </xdr:cNvGrpSpPr>
      </xdr:nvGrpSpPr>
      <xdr:grpSpPr>
        <a:xfrm>
          <a:off x="895350" y="7248525"/>
          <a:ext cx="85725" cy="304800"/>
          <a:chOff x="82" y="763"/>
          <a:chExt cx="8" cy="32"/>
        </a:xfrm>
        <a:solidFill>
          <a:srgbClr val="FFFFFF"/>
        </a:solidFill>
      </xdr:grpSpPr>
      <xdr:sp>
        <xdr:nvSpPr>
          <xdr:cNvPr id="57" name="Line 485"/>
          <xdr:cNvSpPr>
            <a:spLocks/>
          </xdr:cNvSpPr>
        </xdr:nvSpPr>
        <xdr:spPr>
          <a:xfrm>
            <a:off x="85" y="769"/>
            <a:ext cx="1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8" name="Freeform 486"/>
          <xdr:cNvSpPr>
            <a:spLocks/>
          </xdr:cNvSpPr>
        </xdr:nvSpPr>
        <xdr:spPr>
          <a:xfrm>
            <a:off x="82" y="763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3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9" name="Freeform 487"/>
          <xdr:cNvSpPr>
            <a:spLocks/>
          </xdr:cNvSpPr>
        </xdr:nvSpPr>
        <xdr:spPr>
          <a:xfrm>
            <a:off x="82" y="787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3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32</xdr:row>
      <xdr:rowOff>38100</xdr:rowOff>
    </xdr:from>
    <xdr:to>
      <xdr:col>2</xdr:col>
      <xdr:colOff>342900</xdr:colOff>
      <xdr:row>34</xdr:row>
      <xdr:rowOff>57150</xdr:rowOff>
    </xdr:to>
    <xdr:sp>
      <xdr:nvSpPr>
        <xdr:cNvPr id="60" name="Line 489"/>
        <xdr:cNvSpPr>
          <a:spLocks/>
        </xdr:cNvSpPr>
      </xdr:nvSpPr>
      <xdr:spPr>
        <a:xfrm flipV="1">
          <a:off x="1685925" y="5657850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666750</xdr:colOff>
      <xdr:row>32</xdr:row>
      <xdr:rowOff>57150</xdr:rowOff>
    </xdr:from>
    <xdr:to>
      <xdr:col>2</xdr:col>
      <xdr:colOff>257175</xdr:colOff>
      <xdr:row>32</xdr:row>
      <xdr:rowOff>142875</xdr:rowOff>
    </xdr:to>
    <xdr:grpSp>
      <xdr:nvGrpSpPr>
        <xdr:cNvPr id="61" name="Group 492"/>
        <xdr:cNvGrpSpPr>
          <a:grpSpLocks/>
        </xdr:cNvGrpSpPr>
      </xdr:nvGrpSpPr>
      <xdr:grpSpPr>
        <a:xfrm>
          <a:off x="1343025" y="5676900"/>
          <a:ext cx="266700" cy="85725"/>
          <a:chOff x="123" y="598"/>
          <a:chExt cx="24" cy="9"/>
        </a:xfrm>
        <a:solidFill>
          <a:srgbClr val="FFFFFF"/>
        </a:solidFill>
      </xdr:grpSpPr>
      <xdr:sp>
        <xdr:nvSpPr>
          <xdr:cNvPr id="62" name="Line 490"/>
          <xdr:cNvSpPr>
            <a:spLocks/>
          </xdr:cNvSpPr>
        </xdr:nvSpPr>
        <xdr:spPr>
          <a:xfrm>
            <a:off x="123" y="602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3" name="Freeform 491"/>
          <xdr:cNvSpPr>
            <a:spLocks/>
          </xdr:cNvSpPr>
        </xdr:nvSpPr>
        <xdr:spPr>
          <a:xfrm>
            <a:off x="140" y="598"/>
            <a:ext cx="7" cy="9"/>
          </a:xfrm>
          <a:custGeom>
            <a:pathLst>
              <a:path h="9" w="7">
                <a:moveTo>
                  <a:pt x="0" y="9"/>
                </a:moveTo>
                <a:lnTo>
                  <a:pt x="7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32</xdr:row>
      <xdr:rowOff>57150</xdr:rowOff>
    </xdr:from>
    <xdr:to>
      <xdr:col>2</xdr:col>
      <xdr:colOff>523875</xdr:colOff>
      <xdr:row>32</xdr:row>
      <xdr:rowOff>152400</xdr:rowOff>
    </xdr:to>
    <xdr:grpSp>
      <xdr:nvGrpSpPr>
        <xdr:cNvPr id="64" name="Group 495"/>
        <xdr:cNvGrpSpPr>
          <a:grpSpLocks/>
        </xdr:cNvGrpSpPr>
      </xdr:nvGrpSpPr>
      <xdr:grpSpPr>
        <a:xfrm>
          <a:off x="1685925" y="5676900"/>
          <a:ext cx="190500" cy="85725"/>
          <a:chOff x="154" y="598"/>
          <a:chExt cx="18" cy="9"/>
        </a:xfrm>
        <a:solidFill>
          <a:srgbClr val="FFFFFF"/>
        </a:solidFill>
      </xdr:grpSpPr>
      <xdr:sp>
        <xdr:nvSpPr>
          <xdr:cNvPr id="65" name="Line 493"/>
          <xdr:cNvSpPr>
            <a:spLocks/>
          </xdr:cNvSpPr>
        </xdr:nvSpPr>
        <xdr:spPr>
          <a:xfrm flipH="1">
            <a:off x="160" y="60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6" name="Freeform 494"/>
          <xdr:cNvSpPr>
            <a:spLocks/>
          </xdr:cNvSpPr>
        </xdr:nvSpPr>
        <xdr:spPr>
          <a:xfrm>
            <a:off x="154" y="598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0" y="4"/>
                </a:lnTo>
                <a:lnTo>
                  <a:pt x="8" y="9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42</xdr:row>
      <xdr:rowOff>161925</xdr:rowOff>
    </xdr:from>
    <xdr:to>
      <xdr:col>5</xdr:col>
      <xdr:colOff>666750</xdr:colOff>
      <xdr:row>43</xdr:row>
      <xdr:rowOff>0</xdr:rowOff>
    </xdr:to>
    <xdr:sp>
      <xdr:nvSpPr>
        <xdr:cNvPr id="67" name="Line 496"/>
        <xdr:cNvSpPr>
          <a:spLocks/>
        </xdr:cNvSpPr>
      </xdr:nvSpPr>
      <xdr:spPr>
        <a:xfrm>
          <a:off x="3305175" y="749617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47625</xdr:rowOff>
    </xdr:from>
    <xdr:to>
      <xdr:col>5</xdr:col>
      <xdr:colOff>666750</xdr:colOff>
      <xdr:row>43</xdr:row>
      <xdr:rowOff>47625</xdr:rowOff>
    </xdr:to>
    <xdr:sp>
      <xdr:nvSpPr>
        <xdr:cNvPr id="68" name="Line 497"/>
        <xdr:cNvSpPr>
          <a:spLocks/>
        </xdr:cNvSpPr>
      </xdr:nvSpPr>
      <xdr:spPr>
        <a:xfrm>
          <a:off x="3495675" y="755332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561975</xdr:colOff>
      <xdr:row>41</xdr:row>
      <xdr:rowOff>142875</xdr:rowOff>
    </xdr:from>
    <xdr:to>
      <xdr:col>5</xdr:col>
      <xdr:colOff>638175</xdr:colOff>
      <xdr:row>42</xdr:row>
      <xdr:rowOff>161925</xdr:rowOff>
    </xdr:to>
    <xdr:grpSp>
      <xdr:nvGrpSpPr>
        <xdr:cNvPr id="69" name="Group 500"/>
        <xdr:cNvGrpSpPr>
          <a:grpSpLocks/>
        </xdr:cNvGrpSpPr>
      </xdr:nvGrpSpPr>
      <xdr:grpSpPr>
        <a:xfrm>
          <a:off x="3943350" y="7305675"/>
          <a:ext cx="85725" cy="190500"/>
          <a:chOff x="361" y="769"/>
          <a:chExt cx="8" cy="20"/>
        </a:xfrm>
        <a:solidFill>
          <a:srgbClr val="FFFFFF"/>
        </a:solidFill>
      </xdr:grpSpPr>
      <xdr:sp>
        <xdr:nvSpPr>
          <xdr:cNvPr id="70" name="Line 498"/>
          <xdr:cNvSpPr>
            <a:spLocks/>
          </xdr:cNvSpPr>
        </xdr:nvSpPr>
        <xdr:spPr>
          <a:xfrm>
            <a:off x="365" y="769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1" name="Freeform 499"/>
          <xdr:cNvSpPr>
            <a:spLocks/>
          </xdr:cNvSpPr>
        </xdr:nvSpPr>
        <xdr:spPr>
          <a:xfrm>
            <a:off x="361" y="780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4" y="9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43</xdr:row>
      <xdr:rowOff>47625</xdr:rowOff>
    </xdr:from>
    <xdr:to>
      <xdr:col>5</xdr:col>
      <xdr:colOff>638175</xdr:colOff>
      <xdr:row>44</xdr:row>
      <xdr:rowOff>57150</xdr:rowOff>
    </xdr:to>
    <xdr:grpSp>
      <xdr:nvGrpSpPr>
        <xdr:cNvPr id="72" name="Group 503"/>
        <xdr:cNvGrpSpPr>
          <a:grpSpLocks/>
        </xdr:cNvGrpSpPr>
      </xdr:nvGrpSpPr>
      <xdr:grpSpPr>
        <a:xfrm>
          <a:off x="3943350" y="7553325"/>
          <a:ext cx="85725" cy="180975"/>
          <a:chOff x="361" y="795"/>
          <a:chExt cx="8" cy="19"/>
        </a:xfrm>
        <a:solidFill>
          <a:srgbClr val="FFFFFF"/>
        </a:solidFill>
      </xdr:grpSpPr>
      <xdr:sp>
        <xdr:nvSpPr>
          <xdr:cNvPr id="73" name="Line 501"/>
          <xdr:cNvSpPr>
            <a:spLocks/>
          </xdr:cNvSpPr>
        </xdr:nvSpPr>
        <xdr:spPr>
          <a:xfrm flipV="1">
            <a:off x="365" y="801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4" name="Freeform 502"/>
          <xdr:cNvSpPr>
            <a:spLocks/>
          </xdr:cNvSpPr>
        </xdr:nvSpPr>
        <xdr:spPr>
          <a:xfrm>
            <a:off x="361" y="795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4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485775</xdr:colOff>
      <xdr:row>41</xdr:row>
      <xdr:rowOff>85725</xdr:rowOff>
    </xdr:from>
    <xdr:to>
      <xdr:col>5</xdr:col>
      <xdr:colOff>666750</xdr:colOff>
      <xdr:row>41</xdr:row>
      <xdr:rowOff>95250</xdr:rowOff>
    </xdr:to>
    <xdr:sp>
      <xdr:nvSpPr>
        <xdr:cNvPr id="75" name="Line 513"/>
        <xdr:cNvSpPr>
          <a:spLocks/>
        </xdr:cNvSpPr>
      </xdr:nvSpPr>
      <xdr:spPr>
        <a:xfrm>
          <a:off x="3190875" y="72485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5</xdr:col>
      <xdr:colOff>638175</xdr:colOff>
      <xdr:row>41</xdr:row>
      <xdr:rowOff>152400</xdr:rowOff>
    </xdr:to>
    <xdr:sp>
      <xdr:nvSpPr>
        <xdr:cNvPr id="76" name="Line 514"/>
        <xdr:cNvSpPr>
          <a:spLocks/>
        </xdr:cNvSpPr>
      </xdr:nvSpPr>
      <xdr:spPr>
        <a:xfrm>
          <a:off x="3419475" y="73056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40</xdr:row>
      <xdr:rowOff>76200</xdr:rowOff>
    </xdr:from>
    <xdr:to>
      <xdr:col>5</xdr:col>
      <xdr:colOff>638175</xdr:colOff>
      <xdr:row>41</xdr:row>
      <xdr:rowOff>95250</xdr:rowOff>
    </xdr:to>
    <xdr:grpSp>
      <xdr:nvGrpSpPr>
        <xdr:cNvPr id="77" name="Group 517"/>
        <xdr:cNvGrpSpPr>
          <a:grpSpLocks/>
        </xdr:cNvGrpSpPr>
      </xdr:nvGrpSpPr>
      <xdr:grpSpPr>
        <a:xfrm>
          <a:off x="3933825" y="7067550"/>
          <a:ext cx="95250" cy="190500"/>
          <a:chOff x="360" y="744"/>
          <a:chExt cx="9" cy="20"/>
        </a:xfrm>
        <a:solidFill>
          <a:srgbClr val="FFFFFF"/>
        </a:solidFill>
      </xdr:grpSpPr>
      <xdr:sp>
        <xdr:nvSpPr>
          <xdr:cNvPr id="78" name="Line 515"/>
          <xdr:cNvSpPr>
            <a:spLocks/>
          </xdr:cNvSpPr>
        </xdr:nvSpPr>
        <xdr:spPr>
          <a:xfrm>
            <a:off x="364" y="744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9" name="Freeform 516"/>
          <xdr:cNvSpPr>
            <a:spLocks/>
          </xdr:cNvSpPr>
        </xdr:nvSpPr>
        <xdr:spPr>
          <a:xfrm>
            <a:off x="360" y="756"/>
            <a:ext cx="9" cy="8"/>
          </a:xfrm>
          <a:custGeom>
            <a:pathLst>
              <a:path h="8" w="9">
                <a:moveTo>
                  <a:pt x="0" y="0"/>
                </a:moveTo>
                <a:lnTo>
                  <a:pt x="5" y="8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41</xdr:row>
      <xdr:rowOff>142875</xdr:rowOff>
    </xdr:from>
    <xdr:to>
      <xdr:col>5</xdr:col>
      <xdr:colOff>638175</xdr:colOff>
      <xdr:row>42</xdr:row>
      <xdr:rowOff>152400</xdr:rowOff>
    </xdr:to>
    <xdr:grpSp>
      <xdr:nvGrpSpPr>
        <xdr:cNvPr id="80" name="Group 520"/>
        <xdr:cNvGrpSpPr>
          <a:grpSpLocks/>
        </xdr:cNvGrpSpPr>
      </xdr:nvGrpSpPr>
      <xdr:grpSpPr>
        <a:xfrm>
          <a:off x="3943350" y="7305675"/>
          <a:ext cx="85725" cy="180975"/>
          <a:chOff x="361" y="769"/>
          <a:chExt cx="8" cy="19"/>
        </a:xfrm>
        <a:solidFill>
          <a:srgbClr val="FFFFFF"/>
        </a:solidFill>
      </xdr:grpSpPr>
      <xdr:sp>
        <xdr:nvSpPr>
          <xdr:cNvPr id="81" name="Line 518"/>
          <xdr:cNvSpPr>
            <a:spLocks/>
          </xdr:cNvSpPr>
        </xdr:nvSpPr>
        <xdr:spPr>
          <a:xfrm flipV="1">
            <a:off x="365" y="775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2" name="Freeform 519"/>
          <xdr:cNvSpPr>
            <a:spLocks/>
          </xdr:cNvSpPr>
        </xdr:nvSpPr>
        <xdr:spPr>
          <a:xfrm>
            <a:off x="361" y="769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4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95250</xdr:rowOff>
    </xdr:from>
    <xdr:to>
      <xdr:col>5</xdr:col>
      <xdr:colOff>190500</xdr:colOff>
      <xdr:row>34</xdr:row>
      <xdr:rowOff>57150</xdr:rowOff>
    </xdr:to>
    <xdr:grpSp>
      <xdr:nvGrpSpPr>
        <xdr:cNvPr id="83" name="Group 523"/>
        <xdr:cNvGrpSpPr>
          <a:grpSpLocks/>
        </xdr:cNvGrpSpPr>
      </xdr:nvGrpSpPr>
      <xdr:grpSpPr>
        <a:xfrm>
          <a:off x="3457575" y="5715000"/>
          <a:ext cx="114300" cy="304800"/>
          <a:chOff x="317" y="602"/>
          <a:chExt cx="10" cy="32"/>
        </a:xfrm>
        <a:solidFill>
          <a:srgbClr val="FFFFFF"/>
        </a:solidFill>
      </xdr:grpSpPr>
      <xdr:sp>
        <xdr:nvSpPr>
          <xdr:cNvPr id="84" name="Line 521"/>
          <xdr:cNvSpPr>
            <a:spLocks/>
          </xdr:cNvSpPr>
        </xdr:nvSpPr>
        <xdr:spPr>
          <a:xfrm>
            <a:off x="321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5" name="Freeform 522"/>
          <xdr:cNvSpPr>
            <a:spLocks/>
          </xdr:cNvSpPr>
        </xdr:nvSpPr>
        <xdr:spPr>
          <a:xfrm>
            <a:off x="317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32</xdr:row>
      <xdr:rowOff>95250</xdr:rowOff>
    </xdr:from>
    <xdr:to>
      <xdr:col>5</xdr:col>
      <xdr:colOff>314325</xdr:colOff>
      <xdr:row>34</xdr:row>
      <xdr:rowOff>57150</xdr:rowOff>
    </xdr:to>
    <xdr:grpSp>
      <xdr:nvGrpSpPr>
        <xdr:cNvPr id="86" name="Group 526"/>
        <xdr:cNvGrpSpPr>
          <a:grpSpLocks/>
        </xdr:cNvGrpSpPr>
      </xdr:nvGrpSpPr>
      <xdr:grpSpPr>
        <a:xfrm>
          <a:off x="3590925" y="5715000"/>
          <a:ext cx="104775" cy="304800"/>
          <a:chOff x="329" y="602"/>
          <a:chExt cx="10" cy="32"/>
        </a:xfrm>
        <a:solidFill>
          <a:srgbClr val="FFFFFF"/>
        </a:solidFill>
      </xdr:grpSpPr>
      <xdr:sp>
        <xdr:nvSpPr>
          <xdr:cNvPr id="87" name="Line 524"/>
          <xdr:cNvSpPr>
            <a:spLocks/>
          </xdr:cNvSpPr>
        </xdr:nvSpPr>
        <xdr:spPr>
          <a:xfrm>
            <a:off x="334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8" name="Freeform 525"/>
          <xdr:cNvSpPr>
            <a:spLocks/>
          </xdr:cNvSpPr>
        </xdr:nvSpPr>
        <xdr:spPr>
          <a:xfrm>
            <a:off x="329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342900</xdr:colOff>
      <xdr:row>32</xdr:row>
      <xdr:rowOff>95250</xdr:rowOff>
    </xdr:from>
    <xdr:to>
      <xdr:col>5</xdr:col>
      <xdr:colOff>447675</xdr:colOff>
      <xdr:row>34</xdr:row>
      <xdr:rowOff>57150</xdr:rowOff>
    </xdr:to>
    <xdr:grpSp>
      <xdr:nvGrpSpPr>
        <xdr:cNvPr id="89" name="Group 529"/>
        <xdr:cNvGrpSpPr>
          <a:grpSpLocks/>
        </xdr:cNvGrpSpPr>
      </xdr:nvGrpSpPr>
      <xdr:grpSpPr>
        <a:xfrm>
          <a:off x="3724275" y="5715000"/>
          <a:ext cx="114300" cy="304800"/>
          <a:chOff x="341" y="602"/>
          <a:chExt cx="10" cy="32"/>
        </a:xfrm>
        <a:solidFill>
          <a:srgbClr val="FFFFFF"/>
        </a:solidFill>
      </xdr:grpSpPr>
      <xdr:sp>
        <xdr:nvSpPr>
          <xdr:cNvPr id="90" name="Line 527"/>
          <xdr:cNvSpPr>
            <a:spLocks/>
          </xdr:cNvSpPr>
        </xdr:nvSpPr>
        <xdr:spPr>
          <a:xfrm>
            <a:off x="346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1" name="Freeform 528"/>
          <xdr:cNvSpPr>
            <a:spLocks/>
          </xdr:cNvSpPr>
        </xdr:nvSpPr>
        <xdr:spPr>
          <a:xfrm>
            <a:off x="341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485775</xdr:colOff>
      <xdr:row>32</xdr:row>
      <xdr:rowOff>95250</xdr:rowOff>
    </xdr:from>
    <xdr:to>
      <xdr:col>5</xdr:col>
      <xdr:colOff>590550</xdr:colOff>
      <xdr:row>34</xdr:row>
      <xdr:rowOff>57150</xdr:rowOff>
    </xdr:to>
    <xdr:grpSp>
      <xdr:nvGrpSpPr>
        <xdr:cNvPr id="92" name="Group 532"/>
        <xdr:cNvGrpSpPr>
          <a:grpSpLocks/>
        </xdr:cNvGrpSpPr>
      </xdr:nvGrpSpPr>
      <xdr:grpSpPr>
        <a:xfrm>
          <a:off x="3867150" y="5715000"/>
          <a:ext cx="114300" cy="304800"/>
          <a:chOff x="354" y="602"/>
          <a:chExt cx="10" cy="32"/>
        </a:xfrm>
        <a:solidFill>
          <a:srgbClr val="FFFFFF"/>
        </a:solidFill>
      </xdr:grpSpPr>
      <xdr:sp>
        <xdr:nvSpPr>
          <xdr:cNvPr id="93" name="Line 530"/>
          <xdr:cNvSpPr>
            <a:spLocks/>
          </xdr:cNvSpPr>
        </xdr:nvSpPr>
        <xdr:spPr>
          <a:xfrm>
            <a:off x="358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4" name="Freeform 531"/>
          <xdr:cNvSpPr>
            <a:spLocks/>
          </xdr:cNvSpPr>
        </xdr:nvSpPr>
        <xdr:spPr>
          <a:xfrm>
            <a:off x="354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32</xdr:row>
      <xdr:rowOff>95250</xdr:rowOff>
    </xdr:from>
    <xdr:to>
      <xdr:col>6</xdr:col>
      <xdr:colOff>38100</xdr:colOff>
      <xdr:row>34</xdr:row>
      <xdr:rowOff>57150</xdr:rowOff>
    </xdr:to>
    <xdr:grpSp>
      <xdr:nvGrpSpPr>
        <xdr:cNvPr id="95" name="Group 535"/>
        <xdr:cNvGrpSpPr>
          <a:grpSpLocks/>
        </xdr:cNvGrpSpPr>
      </xdr:nvGrpSpPr>
      <xdr:grpSpPr>
        <a:xfrm>
          <a:off x="3990975" y="5715000"/>
          <a:ext cx="104775" cy="304800"/>
          <a:chOff x="366" y="602"/>
          <a:chExt cx="10" cy="32"/>
        </a:xfrm>
        <a:solidFill>
          <a:srgbClr val="FFFFFF"/>
        </a:solidFill>
      </xdr:grpSpPr>
      <xdr:sp>
        <xdr:nvSpPr>
          <xdr:cNvPr id="96" name="Line 533"/>
          <xdr:cNvSpPr>
            <a:spLocks/>
          </xdr:cNvSpPr>
        </xdr:nvSpPr>
        <xdr:spPr>
          <a:xfrm>
            <a:off x="371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7" name="Freeform 534"/>
          <xdr:cNvSpPr>
            <a:spLocks/>
          </xdr:cNvSpPr>
        </xdr:nvSpPr>
        <xdr:spPr>
          <a:xfrm>
            <a:off x="366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32</xdr:row>
      <xdr:rowOff>95250</xdr:rowOff>
    </xdr:from>
    <xdr:to>
      <xdr:col>6</xdr:col>
      <xdr:colOff>190500</xdr:colOff>
      <xdr:row>34</xdr:row>
      <xdr:rowOff>57150</xdr:rowOff>
    </xdr:to>
    <xdr:grpSp>
      <xdr:nvGrpSpPr>
        <xdr:cNvPr id="98" name="Group 538"/>
        <xdr:cNvGrpSpPr>
          <a:grpSpLocks/>
        </xdr:cNvGrpSpPr>
      </xdr:nvGrpSpPr>
      <xdr:grpSpPr>
        <a:xfrm>
          <a:off x="4133850" y="5715000"/>
          <a:ext cx="114300" cy="304800"/>
          <a:chOff x="379" y="602"/>
          <a:chExt cx="10" cy="32"/>
        </a:xfrm>
        <a:solidFill>
          <a:srgbClr val="FFFFFF"/>
        </a:solidFill>
      </xdr:grpSpPr>
      <xdr:sp>
        <xdr:nvSpPr>
          <xdr:cNvPr id="99" name="Line 536"/>
          <xdr:cNvSpPr>
            <a:spLocks/>
          </xdr:cNvSpPr>
        </xdr:nvSpPr>
        <xdr:spPr>
          <a:xfrm>
            <a:off x="383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0" name="Freeform 537"/>
          <xdr:cNvSpPr>
            <a:spLocks/>
          </xdr:cNvSpPr>
        </xdr:nvSpPr>
        <xdr:spPr>
          <a:xfrm>
            <a:off x="379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32</xdr:row>
      <xdr:rowOff>95250</xdr:rowOff>
    </xdr:from>
    <xdr:to>
      <xdr:col>6</xdr:col>
      <xdr:colOff>314325</xdr:colOff>
      <xdr:row>34</xdr:row>
      <xdr:rowOff>57150</xdr:rowOff>
    </xdr:to>
    <xdr:grpSp>
      <xdr:nvGrpSpPr>
        <xdr:cNvPr id="101" name="Group 541"/>
        <xdr:cNvGrpSpPr>
          <a:grpSpLocks/>
        </xdr:cNvGrpSpPr>
      </xdr:nvGrpSpPr>
      <xdr:grpSpPr>
        <a:xfrm>
          <a:off x="4267200" y="5715000"/>
          <a:ext cx="104775" cy="304800"/>
          <a:chOff x="391" y="602"/>
          <a:chExt cx="10" cy="32"/>
        </a:xfrm>
        <a:solidFill>
          <a:srgbClr val="FFFFFF"/>
        </a:solidFill>
      </xdr:grpSpPr>
      <xdr:sp>
        <xdr:nvSpPr>
          <xdr:cNvPr id="102" name="Line 539"/>
          <xdr:cNvSpPr>
            <a:spLocks/>
          </xdr:cNvSpPr>
        </xdr:nvSpPr>
        <xdr:spPr>
          <a:xfrm>
            <a:off x="396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3" name="Freeform 540"/>
          <xdr:cNvSpPr>
            <a:spLocks/>
          </xdr:cNvSpPr>
        </xdr:nvSpPr>
        <xdr:spPr>
          <a:xfrm>
            <a:off x="391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95250</xdr:rowOff>
    </xdr:from>
    <xdr:to>
      <xdr:col>6</xdr:col>
      <xdr:colOff>447675</xdr:colOff>
      <xdr:row>34</xdr:row>
      <xdr:rowOff>57150</xdr:rowOff>
    </xdr:to>
    <xdr:grpSp>
      <xdr:nvGrpSpPr>
        <xdr:cNvPr id="104" name="Group 544"/>
        <xdr:cNvGrpSpPr>
          <a:grpSpLocks/>
        </xdr:cNvGrpSpPr>
      </xdr:nvGrpSpPr>
      <xdr:grpSpPr>
        <a:xfrm>
          <a:off x="4400550" y="5715000"/>
          <a:ext cx="114300" cy="304800"/>
          <a:chOff x="403" y="602"/>
          <a:chExt cx="10" cy="32"/>
        </a:xfrm>
        <a:solidFill>
          <a:srgbClr val="FFFFFF"/>
        </a:solidFill>
      </xdr:grpSpPr>
      <xdr:sp>
        <xdr:nvSpPr>
          <xdr:cNvPr id="105" name="Line 542"/>
          <xdr:cNvSpPr>
            <a:spLocks/>
          </xdr:cNvSpPr>
        </xdr:nvSpPr>
        <xdr:spPr>
          <a:xfrm>
            <a:off x="408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6" name="Freeform 543"/>
          <xdr:cNvSpPr>
            <a:spLocks/>
          </xdr:cNvSpPr>
        </xdr:nvSpPr>
        <xdr:spPr>
          <a:xfrm>
            <a:off x="403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485775</xdr:colOff>
      <xdr:row>32</xdr:row>
      <xdr:rowOff>95250</xdr:rowOff>
    </xdr:from>
    <xdr:to>
      <xdr:col>6</xdr:col>
      <xdr:colOff>590550</xdr:colOff>
      <xdr:row>34</xdr:row>
      <xdr:rowOff>57150</xdr:rowOff>
    </xdr:to>
    <xdr:grpSp>
      <xdr:nvGrpSpPr>
        <xdr:cNvPr id="107" name="Group 547"/>
        <xdr:cNvGrpSpPr>
          <a:grpSpLocks/>
        </xdr:cNvGrpSpPr>
      </xdr:nvGrpSpPr>
      <xdr:grpSpPr>
        <a:xfrm>
          <a:off x="4543425" y="5715000"/>
          <a:ext cx="114300" cy="304800"/>
          <a:chOff x="416" y="602"/>
          <a:chExt cx="10" cy="32"/>
        </a:xfrm>
        <a:solidFill>
          <a:srgbClr val="FFFFFF"/>
        </a:solidFill>
      </xdr:grpSpPr>
      <xdr:sp>
        <xdr:nvSpPr>
          <xdr:cNvPr id="108" name="Line 545"/>
          <xdr:cNvSpPr>
            <a:spLocks/>
          </xdr:cNvSpPr>
        </xdr:nvSpPr>
        <xdr:spPr>
          <a:xfrm>
            <a:off x="420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9" name="Freeform 546"/>
          <xdr:cNvSpPr>
            <a:spLocks/>
          </xdr:cNvSpPr>
        </xdr:nvSpPr>
        <xdr:spPr>
          <a:xfrm>
            <a:off x="416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30</xdr:row>
      <xdr:rowOff>133350</xdr:rowOff>
    </xdr:from>
    <xdr:to>
      <xdr:col>5</xdr:col>
      <xdr:colOff>638175</xdr:colOff>
      <xdr:row>32</xdr:row>
      <xdr:rowOff>85725</xdr:rowOff>
    </xdr:to>
    <xdr:sp>
      <xdr:nvSpPr>
        <xdr:cNvPr id="110" name="Rectangle 548"/>
        <xdr:cNvSpPr>
          <a:spLocks/>
        </xdr:cNvSpPr>
      </xdr:nvSpPr>
      <xdr:spPr>
        <a:xfrm>
          <a:off x="3648075" y="5410200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342900</xdr:colOff>
      <xdr:row>31</xdr:row>
      <xdr:rowOff>19050</xdr:rowOff>
    </xdr:from>
    <xdr:ext cx="133350" cy="228600"/>
    <xdr:sp>
      <xdr:nvSpPr>
        <xdr:cNvPr id="111" name="Rectangle 549"/>
        <xdr:cNvSpPr>
          <a:spLocks/>
        </xdr:cNvSpPr>
      </xdr:nvSpPr>
      <xdr:spPr>
        <a:xfrm>
          <a:off x="3724275" y="54673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q</a:t>
          </a:r>
        </a:p>
      </xdr:txBody>
    </xdr:sp>
    <xdr:clientData/>
  </xdr:oneCellAnchor>
  <xdr:oneCellAnchor>
    <xdr:from>
      <xdr:col>5</xdr:col>
      <xdr:colOff>438150</xdr:colOff>
      <xdr:row>31</xdr:row>
      <xdr:rowOff>19050</xdr:rowOff>
    </xdr:from>
    <xdr:ext cx="114300" cy="228600"/>
    <xdr:sp>
      <xdr:nvSpPr>
        <xdr:cNvPr id="112" name="Rectangle 550"/>
        <xdr:cNvSpPr>
          <a:spLocks/>
        </xdr:cNvSpPr>
      </xdr:nvSpPr>
      <xdr:spPr>
        <a:xfrm>
          <a:off x="3819525" y="5467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twoCellAnchor>
    <xdr:from>
      <xdr:col>5</xdr:col>
      <xdr:colOff>114300</xdr:colOff>
      <xdr:row>34</xdr:row>
      <xdr:rowOff>57150</xdr:rowOff>
    </xdr:from>
    <xdr:to>
      <xdr:col>7</xdr:col>
      <xdr:colOff>47625</xdr:colOff>
      <xdr:row>34</xdr:row>
      <xdr:rowOff>66675</xdr:rowOff>
    </xdr:to>
    <xdr:sp>
      <xdr:nvSpPr>
        <xdr:cNvPr id="113" name="Line 551"/>
        <xdr:cNvSpPr>
          <a:spLocks/>
        </xdr:cNvSpPr>
      </xdr:nvSpPr>
      <xdr:spPr>
        <a:xfrm>
          <a:off x="3495675" y="6019800"/>
          <a:ext cx="1285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34</xdr:row>
      <xdr:rowOff>57150</xdr:rowOff>
    </xdr:from>
    <xdr:to>
      <xdr:col>2</xdr:col>
      <xdr:colOff>257175</xdr:colOff>
      <xdr:row>34</xdr:row>
      <xdr:rowOff>66675</xdr:rowOff>
    </xdr:to>
    <xdr:sp>
      <xdr:nvSpPr>
        <xdr:cNvPr id="114" name="Line 552"/>
        <xdr:cNvSpPr>
          <a:spLocks/>
        </xdr:cNvSpPr>
      </xdr:nvSpPr>
      <xdr:spPr>
        <a:xfrm flipH="1">
          <a:off x="390525" y="601980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34</xdr:row>
      <xdr:rowOff>57150</xdr:rowOff>
    </xdr:from>
    <xdr:to>
      <xdr:col>5</xdr:col>
      <xdr:colOff>114300</xdr:colOff>
      <xdr:row>43</xdr:row>
      <xdr:rowOff>47625</xdr:rowOff>
    </xdr:to>
    <xdr:sp>
      <xdr:nvSpPr>
        <xdr:cNvPr id="115" name="Freeform 553"/>
        <xdr:cNvSpPr>
          <a:spLocks/>
        </xdr:cNvSpPr>
      </xdr:nvSpPr>
      <xdr:spPr>
        <a:xfrm>
          <a:off x="1609725" y="6019800"/>
          <a:ext cx="1885950" cy="1533525"/>
        </a:xfrm>
        <a:custGeom>
          <a:pathLst>
            <a:path h="161" w="174">
              <a:moveTo>
                <a:pt x="174" y="0"/>
              </a:moveTo>
              <a:lnTo>
                <a:pt x="174" y="161"/>
              </a:lnTo>
              <a:lnTo>
                <a:pt x="0" y="161"/>
              </a:lnTo>
              <a:lnTo>
                <a:pt x="0" y="0"/>
              </a:lnTo>
              <a:lnTo>
                <a:pt x="31" y="0"/>
              </a:lnTo>
              <a:lnTo>
                <a:pt x="31" y="129"/>
              </a:lnTo>
              <a:lnTo>
                <a:pt x="143" y="129"/>
              </a:lnTo>
              <a:lnTo>
                <a:pt x="143" y="0"/>
              </a:lnTo>
              <a:lnTo>
                <a:pt x="174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123825</xdr:rowOff>
    </xdr:from>
    <xdr:to>
      <xdr:col>2</xdr:col>
      <xdr:colOff>342900</xdr:colOff>
      <xdr:row>41</xdr:row>
      <xdr:rowOff>142875</xdr:rowOff>
    </xdr:to>
    <xdr:sp>
      <xdr:nvSpPr>
        <xdr:cNvPr id="116" name="Line 554"/>
        <xdr:cNvSpPr>
          <a:spLocks/>
        </xdr:cNvSpPr>
      </xdr:nvSpPr>
      <xdr:spPr>
        <a:xfrm>
          <a:off x="1685925" y="6086475"/>
          <a:ext cx="952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34</xdr:row>
      <xdr:rowOff>123825</xdr:rowOff>
    </xdr:from>
    <xdr:to>
      <xdr:col>5</xdr:col>
      <xdr:colOff>66675</xdr:colOff>
      <xdr:row>41</xdr:row>
      <xdr:rowOff>142875</xdr:rowOff>
    </xdr:to>
    <xdr:sp>
      <xdr:nvSpPr>
        <xdr:cNvPr id="117" name="Line 555"/>
        <xdr:cNvSpPr>
          <a:spLocks/>
        </xdr:cNvSpPr>
      </xdr:nvSpPr>
      <xdr:spPr>
        <a:xfrm>
          <a:off x="3429000" y="6086475"/>
          <a:ext cx="19050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42</xdr:row>
      <xdr:rowOff>161925</xdr:rowOff>
    </xdr:from>
    <xdr:to>
      <xdr:col>4</xdr:col>
      <xdr:colOff>523875</xdr:colOff>
      <xdr:row>43</xdr:row>
      <xdr:rowOff>0</xdr:rowOff>
    </xdr:to>
    <xdr:sp>
      <xdr:nvSpPr>
        <xdr:cNvPr id="118" name="Line 556"/>
        <xdr:cNvSpPr>
          <a:spLocks/>
        </xdr:cNvSpPr>
      </xdr:nvSpPr>
      <xdr:spPr>
        <a:xfrm>
          <a:off x="1876425" y="7496175"/>
          <a:ext cx="1352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142875</xdr:rowOff>
    </xdr:from>
    <xdr:to>
      <xdr:col>5</xdr:col>
      <xdr:colOff>47625</xdr:colOff>
      <xdr:row>41</xdr:row>
      <xdr:rowOff>152400</xdr:rowOff>
    </xdr:to>
    <xdr:sp>
      <xdr:nvSpPr>
        <xdr:cNvPr id="119" name="Line 557"/>
        <xdr:cNvSpPr>
          <a:spLocks/>
        </xdr:cNvSpPr>
      </xdr:nvSpPr>
      <xdr:spPr>
        <a:xfrm>
          <a:off x="1685925" y="7305675"/>
          <a:ext cx="1743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142875</xdr:rowOff>
    </xdr:from>
    <xdr:to>
      <xdr:col>5</xdr:col>
      <xdr:colOff>47625</xdr:colOff>
      <xdr:row>42</xdr:row>
      <xdr:rowOff>161925</xdr:rowOff>
    </xdr:to>
    <xdr:sp>
      <xdr:nvSpPr>
        <xdr:cNvPr id="120" name="Freeform 558"/>
        <xdr:cNvSpPr>
          <a:spLocks/>
        </xdr:cNvSpPr>
      </xdr:nvSpPr>
      <xdr:spPr>
        <a:xfrm>
          <a:off x="3228975" y="7305675"/>
          <a:ext cx="200025" cy="190500"/>
        </a:xfrm>
        <a:custGeom>
          <a:pathLst>
            <a:path h="24" w="24">
              <a:moveTo>
                <a:pt x="24" y="0"/>
              </a:moveTo>
              <a:cubicBezTo>
                <a:pt x="24" y="13"/>
                <a:pt x="13" y="24"/>
                <a:pt x="0" y="2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142875</xdr:rowOff>
    </xdr:from>
    <xdr:to>
      <xdr:col>2</xdr:col>
      <xdr:colOff>523875</xdr:colOff>
      <xdr:row>42</xdr:row>
      <xdr:rowOff>161925</xdr:rowOff>
    </xdr:to>
    <xdr:sp>
      <xdr:nvSpPr>
        <xdr:cNvPr id="121" name="Freeform 559"/>
        <xdr:cNvSpPr>
          <a:spLocks/>
        </xdr:cNvSpPr>
      </xdr:nvSpPr>
      <xdr:spPr>
        <a:xfrm>
          <a:off x="1685925" y="7305675"/>
          <a:ext cx="190500" cy="190500"/>
        </a:xfrm>
        <a:custGeom>
          <a:pathLst>
            <a:path h="24" w="24">
              <a:moveTo>
                <a:pt x="0" y="0"/>
              </a:moveTo>
              <a:cubicBezTo>
                <a:pt x="0" y="13"/>
                <a:pt x="11" y="24"/>
                <a:pt x="24" y="2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123825</xdr:rowOff>
    </xdr:from>
    <xdr:to>
      <xdr:col>2</xdr:col>
      <xdr:colOff>342900</xdr:colOff>
      <xdr:row>41</xdr:row>
      <xdr:rowOff>142875</xdr:rowOff>
    </xdr:to>
    <xdr:sp>
      <xdr:nvSpPr>
        <xdr:cNvPr id="122" name="Line 560"/>
        <xdr:cNvSpPr>
          <a:spLocks/>
        </xdr:cNvSpPr>
      </xdr:nvSpPr>
      <xdr:spPr>
        <a:xfrm>
          <a:off x="1685925" y="6086475"/>
          <a:ext cx="952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34</xdr:row>
      <xdr:rowOff>123825</xdr:rowOff>
    </xdr:from>
    <xdr:to>
      <xdr:col>5</xdr:col>
      <xdr:colOff>66675</xdr:colOff>
      <xdr:row>41</xdr:row>
      <xdr:rowOff>142875</xdr:rowOff>
    </xdr:to>
    <xdr:sp>
      <xdr:nvSpPr>
        <xdr:cNvPr id="123" name="Line 561"/>
        <xdr:cNvSpPr>
          <a:spLocks/>
        </xdr:cNvSpPr>
      </xdr:nvSpPr>
      <xdr:spPr>
        <a:xfrm>
          <a:off x="3429000" y="6086475"/>
          <a:ext cx="19050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42</xdr:row>
      <xdr:rowOff>161925</xdr:rowOff>
    </xdr:from>
    <xdr:to>
      <xdr:col>4</xdr:col>
      <xdr:colOff>523875</xdr:colOff>
      <xdr:row>43</xdr:row>
      <xdr:rowOff>0</xdr:rowOff>
    </xdr:to>
    <xdr:sp>
      <xdr:nvSpPr>
        <xdr:cNvPr id="124" name="Line 562"/>
        <xdr:cNvSpPr>
          <a:spLocks/>
        </xdr:cNvSpPr>
      </xdr:nvSpPr>
      <xdr:spPr>
        <a:xfrm>
          <a:off x="1876425" y="7496175"/>
          <a:ext cx="1352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142875</xdr:rowOff>
    </xdr:from>
    <xdr:to>
      <xdr:col>5</xdr:col>
      <xdr:colOff>47625</xdr:colOff>
      <xdr:row>41</xdr:row>
      <xdr:rowOff>152400</xdr:rowOff>
    </xdr:to>
    <xdr:sp>
      <xdr:nvSpPr>
        <xdr:cNvPr id="125" name="Line 563"/>
        <xdr:cNvSpPr>
          <a:spLocks/>
        </xdr:cNvSpPr>
      </xdr:nvSpPr>
      <xdr:spPr>
        <a:xfrm>
          <a:off x="1685925" y="7305675"/>
          <a:ext cx="1743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142875</xdr:rowOff>
    </xdr:from>
    <xdr:to>
      <xdr:col>5</xdr:col>
      <xdr:colOff>47625</xdr:colOff>
      <xdr:row>42</xdr:row>
      <xdr:rowOff>161925</xdr:rowOff>
    </xdr:to>
    <xdr:sp>
      <xdr:nvSpPr>
        <xdr:cNvPr id="126" name="Freeform 564"/>
        <xdr:cNvSpPr>
          <a:spLocks/>
        </xdr:cNvSpPr>
      </xdr:nvSpPr>
      <xdr:spPr>
        <a:xfrm>
          <a:off x="3228975" y="7305675"/>
          <a:ext cx="200025" cy="190500"/>
        </a:xfrm>
        <a:custGeom>
          <a:pathLst>
            <a:path h="24" w="24">
              <a:moveTo>
                <a:pt x="24" y="0"/>
              </a:moveTo>
              <a:cubicBezTo>
                <a:pt x="24" y="13"/>
                <a:pt x="13" y="24"/>
                <a:pt x="0" y="2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142875</xdr:rowOff>
    </xdr:from>
    <xdr:to>
      <xdr:col>2</xdr:col>
      <xdr:colOff>523875</xdr:colOff>
      <xdr:row>42</xdr:row>
      <xdr:rowOff>161925</xdr:rowOff>
    </xdr:to>
    <xdr:sp>
      <xdr:nvSpPr>
        <xdr:cNvPr id="127" name="Freeform 565"/>
        <xdr:cNvSpPr>
          <a:spLocks/>
        </xdr:cNvSpPr>
      </xdr:nvSpPr>
      <xdr:spPr>
        <a:xfrm>
          <a:off x="1685925" y="7305675"/>
          <a:ext cx="190500" cy="190500"/>
        </a:xfrm>
        <a:custGeom>
          <a:pathLst>
            <a:path h="24" w="24">
              <a:moveTo>
                <a:pt x="0" y="0"/>
              </a:moveTo>
              <a:cubicBezTo>
                <a:pt x="0" y="13"/>
                <a:pt x="11" y="24"/>
                <a:pt x="24" y="2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133350</xdr:rowOff>
    </xdr:from>
    <xdr:to>
      <xdr:col>2</xdr:col>
      <xdr:colOff>266700</xdr:colOff>
      <xdr:row>34</xdr:row>
      <xdr:rowOff>57150</xdr:rowOff>
    </xdr:to>
    <xdr:sp>
      <xdr:nvSpPr>
        <xdr:cNvPr id="128" name="Line 566"/>
        <xdr:cNvSpPr>
          <a:spLocks/>
        </xdr:cNvSpPr>
      </xdr:nvSpPr>
      <xdr:spPr>
        <a:xfrm flipV="1">
          <a:off x="1609725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30</xdr:row>
      <xdr:rowOff>133350</xdr:rowOff>
    </xdr:from>
    <xdr:to>
      <xdr:col>2</xdr:col>
      <xdr:colOff>600075</xdr:colOff>
      <xdr:row>34</xdr:row>
      <xdr:rowOff>57150</xdr:rowOff>
    </xdr:to>
    <xdr:sp>
      <xdr:nvSpPr>
        <xdr:cNvPr id="129" name="Line 567"/>
        <xdr:cNvSpPr>
          <a:spLocks/>
        </xdr:cNvSpPr>
      </xdr:nvSpPr>
      <xdr:spPr>
        <a:xfrm flipV="1">
          <a:off x="1943100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133350</xdr:rowOff>
    </xdr:from>
    <xdr:to>
      <xdr:col>4</xdr:col>
      <xdr:colOff>466725</xdr:colOff>
      <xdr:row>34</xdr:row>
      <xdr:rowOff>57150</xdr:rowOff>
    </xdr:to>
    <xdr:sp>
      <xdr:nvSpPr>
        <xdr:cNvPr id="130" name="Line 568"/>
        <xdr:cNvSpPr>
          <a:spLocks/>
        </xdr:cNvSpPr>
      </xdr:nvSpPr>
      <xdr:spPr>
        <a:xfrm flipV="1">
          <a:off x="3162300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30</xdr:row>
      <xdr:rowOff>133350</xdr:rowOff>
    </xdr:from>
    <xdr:to>
      <xdr:col>5</xdr:col>
      <xdr:colOff>123825</xdr:colOff>
      <xdr:row>34</xdr:row>
      <xdr:rowOff>57150</xdr:rowOff>
    </xdr:to>
    <xdr:sp>
      <xdr:nvSpPr>
        <xdr:cNvPr id="131" name="Line 569"/>
        <xdr:cNvSpPr>
          <a:spLocks/>
        </xdr:cNvSpPr>
      </xdr:nvSpPr>
      <xdr:spPr>
        <a:xfrm flipV="1">
          <a:off x="3495675" y="54102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152400</xdr:rowOff>
    </xdr:from>
    <xdr:to>
      <xdr:col>2</xdr:col>
      <xdr:colOff>590550</xdr:colOff>
      <xdr:row>31</xdr:row>
      <xdr:rowOff>66675</xdr:rowOff>
    </xdr:to>
    <xdr:grpSp>
      <xdr:nvGrpSpPr>
        <xdr:cNvPr id="132" name="Group 573"/>
        <xdr:cNvGrpSpPr>
          <a:grpSpLocks/>
        </xdr:cNvGrpSpPr>
      </xdr:nvGrpSpPr>
      <xdr:grpSpPr>
        <a:xfrm>
          <a:off x="1609725" y="5429250"/>
          <a:ext cx="342900" cy="85725"/>
          <a:chOff x="147" y="572"/>
          <a:chExt cx="31" cy="9"/>
        </a:xfrm>
        <a:solidFill>
          <a:srgbClr val="FFFFFF"/>
        </a:solidFill>
      </xdr:grpSpPr>
      <xdr:sp>
        <xdr:nvSpPr>
          <xdr:cNvPr id="133" name="Line 570"/>
          <xdr:cNvSpPr>
            <a:spLocks/>
          </xdr:cNvSpPr>
        </xdr:nvSpPr>
        <xdr:spPr>
          <a:xfrm>
            <a:off x="154" y="576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4" name="Freeform 571"/>
          <xdr:cNvSpPr>
            <a:spLocks/>
          </xdr:cNvSpPr>
        </xdr:nvSpPr>
        <xdr:spPr>
          <a:xfrm>
            <a:off x="147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5" name="Freeform 572"/>
          <xdr:cNvSpPr>
            <a:spLocks/>
          </xdr:cNvSpPr>
        </xdr:nvSpPr>
        <xdr:spPr>
          <a:xfrm>
            <a:off x="171" y="572"/>
            <a:ext cx="7" cy="9"/>
          </a:xfrm>
          <a:custGeom>
            <a:pathLst>
              <a:path h="9" w="7">
                <a:moveTo>
                  <a:pt x="0" y="9"/>
                </a:moveTo>
                <a:lnTo>
                  <a:pt x="7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590550</xdr:colOff>
      <xdr:row>30</xdr:row>
      <xdr:rowOff>152400</xdr:rowOff>
    </xdr:from>
    <xdr:to>
      <xdr:col>4</xdr:col>
      <xdr:colOff>457200</xdr:colOff>
      <xdr:row>31</xdr:row>
      <xdr:rowOff>66675</xdr:rowOff>
    </xdr:to>
    <xdr:grpSp>
      <xdr:nvGrpSpPr>
        <xdr:cNvPr id="136" name="Group 577"/>
        <xdr:cNvGrpSpPr>
          <a:grpSpLocks/>
        </xdr:cNvGrpSpPr>
      </xdr:nvGrpSpPr>
      <xdr:grpSpPr>
        <a:xfrm>
          <a:off x="1943100" y="5429250"/>
          <a:ext cx="1219200" cy="85725"/>
          <a:chOff x="178" y="572"/>
          <a:chExt cx="112" cy="9"/>
        </a:xfrm>
        <a:solidFill>
          <a:srgbClr val="FFFFFF"/>
        </a:solidFill>
      </xdr:grpSpPr>
      <xdr:sp>
        <xdr:nvSpPr>
          <xdr:cNvPr id="137" name="Line 574"/>
          <xdr:cNvSpPr>
            <a:spLocks/>
          </xdr:cNvSpPr>
        </xdr:nvSpPr>
        <xdr:spPr>
          <a:xfrm>
            <a:off x="185" y="576"/>
            <a:ext cx="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8" name="Freeform 575"/>
          <xdr:cNvSpPr>
            <a:spLocks/>
          </xdr:cNvSpPr>
        </xdr:nvSpPr>
        <xdr:spPr>
          <a:xfrm>
            <a:off x="178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9" name="Freeform 576"/>
          <xdr:cNvSpPr>
            <a:spLocks/>
          </xdr:cNvSpPr>
        </xdr:nvSpPr>
        <xdr:spPr>
          <a:xfrm>
            <a:off x="282" y="572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8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30</xdr:row>
      <xdr:rowOff>152400</xdr:rowOff>
    </xdr:from>
    <xdr:to>
      <xdr:col>5</xdr:col>
      <xdr:colOff>114300</xdr:colOff>
      <xdr:row>31</xdr:row>
      <xdr:rowOff>66675</xdr:rowOff>
    </xdr:to>
    <xdr:grpSp>
      <xdr:nvGrpSpPr>
        <xdr:cNvPr id="140" name="Group 581"/>
        <xdr:cNvGrpSpPr>
          <a:grpSpLocks/>
        </xdr:cNvGrpSpPr>
      </xdr:nvGrpSpPr>
      <xdr:grpSpPr>
        <a:xfrm>
          <a:off x="3162300" y="5429250"/>
          <a:ext cx="333375" cy="85725"/>
          <a:chOff x="290" y="572"/>
          <a:chExt cx="31" cy="9"/>
        </a:xfrm>
        <a:solidFill>
          <a:srgbClr val="FFFFFF"/>
        </a:solidFill>
      </xdr:grpSpPr>
      <xdr:sp>
        <xdr:nvSpPr>
          <xdr:cNvPr id="141" name="Line 578"/>
          <xdr:cNvSpPr>
            <a:spLocks/>
          </xdr:cNvSpPr>
        </xdr:nvSpPr>
        <xdr:spPr>
          <a:xfrm>
            <a:off x="296" y="576"/>
            <a:ext cx="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2" name="Freeform 579"/>
          <xdr:cNvSpPr>
            <a:spLocks/>
          </xdr:cNvSpPr>
        </xdr:nvSpPr>
        <xdr:spPr>
          <a:xfrm>
            <a:off x="290" y="572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4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3" name="Freeform 580"/>
          <xdr:cNvSpPr>
            <a:spLocks/>
          </xdr:cNvSpPr>
        </xdr:nvSpPr>
        <xdr:spPr>
          <a:xfrm>
            <a:off x="313" y="572"/>
            <a:ext cx="8" cy="9"/>
          </a:xfrm>
          <a:custGeom>
            <a:pathLst>
              <a:path h="9" w="8">
                <a:moveTo>
                  <a:pt x="0" y="9"/>
                </a:moveTo>
                <a:lnTo>
                  <a:pt x="8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43</xdr:row>
      <xdr:rowOff>47625</xdr:rowOff>
    </xdr:from>
    <xdr:to>
      <xdr:col>2</xdr:col>
      <xdr:colOff>257175</xdr:colOff>
      <xdr:row>43</xdr:row>
      <xdr:rowOff>57150</xdr:rowOff>
    </xdr:to>
    <xdr:sp>
      <xdr:nvSpPr>
        <xdr:cNvPr id="144" name="Line 582"/>
        <xdr:cNvSpPr>
          <a:spLocks/>
        </xdr:cNvSpPr>
      </xdr:nvSpPr>
      <xdr:spPr>
        <a:xfrm flipH="1">
          <a:off x="866775" y="75533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85725</xdr:rowOff>
    </xdr:from>
    <xdr:to>
      <xdr:col>2</xdr:col>
      <xdr:colOff>523875</xdr:colOff>
      <xdr:row>41</xdr:row>
      <xdr:rowOff>95250</xdr:rowOff>
    </xdr:to>
    <xdr:sp>
      <xdr:nvSpPr>
        <xdr:cNvPr id="145" name="Line 583"/>
        <xdr:cNvSpPr>
          <a:spLocks/>
        </xdr:cNvSpPr>
      </xdr:nvSpPr>
      <xdr:spPr>
        <a:xfrm flipH="1">
          <a:off x="866775" y="7248525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34</xdr:row>
      <xdr:rowOff>57150</xdr:rowOff>
    </xdr:from>
    <xdr:to>
      <xdr:col>1</xdr:col>
      <xdr:colOff>304800</xdr:colOff>
      <xdr:row>41</xdr:row>
      <xdr:rowOff>85725</xdr:rowOff>
    </xdr:to>
    <xdr:grpSp>
      <xdr:nvGrpSpPr>
        <xdr:cNvPr id="146" name="Group 587"/>
        <xdr:cNvGrpSpPr>
          <a:grpSpLocks/>
        </xdr:cNvGrpSpPr>
      </xdr:nvGrpSpPr>
      <xdr:grpSpPr>
        <a:xfrm>
          <a:off x="895350" y="6019800"/>
          <a:ext cx="85725" cy="1228725"/>
          <a:chOff x="82" y="634"/>
          <a:chExt cx="8" cy="129"/>
        </a:xfrm>
        <a:solidFill>
          <a:srgbClr val="FFFFFF"/>
        </a:solidFill>
      </xdr:grpSpPr>
      <xdr:sp>
        <xdr:nvSpPr>
          <xdr:cNvPr id="147" name="Line 584"/>
          <xdr:cNvSpPr>
            <a:spLocks/>
          </xdr:cNvSpPr>
        </xdr:nvSpPr>
        <xdr:spPr>
          <a:xfrm flipV="1">
            <a:off x="85" y="641"/>
            <a:ext cx="1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8" name="Freeform 585"/>
          <xdr:cNvSpPr>
            <a:spLocks/>
          </xdr:cNvSpPr>
        </xdr:nvSpPr>
        <xdr:spPr>
          <a:xfrm>
            <a:off x="82" y="755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3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9" name="Freeform 586"/>
          <xdr:cNvSpPr>
            <a:spLocks/>
          </xdr:cNvSpPr>
        </xdr:nvSpPr>
        <xdr:spPr>
          <a:xfrm>
            <a:off x="82" y="634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3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41</xdr:row>
      <xdr:rowOff>85725</xdr:rowOff>
    </xdr:from>
    <xdr:to>
      <xdr:col>1</xdr:col>
      <xdr:colOff>304800</xdr:colOff>
      <xdr:row>43</xdr:row>
      <xdr:rowOff>47625</xdr:rowOff>
    </xdr:to>
    <xdr:grpSp>
      <xdr:nvGrpSpPr>
        <xdr:cNvPr id="150" name="Group 591"/>
        <xdr:cNvGrpSpPr>
          <a:grpSpLocks/>
        </xdr:cNvGrpSpPr>
      </xdr:nvGrpSpPr>
      <xdr:grpSpPr>
        <a:xfrm>
          <a:off x="895350" y="7248525"/>
          <a:ext cx="85725" cy="304800"/>
          <a:chOff x="82" y="763"/>
          <a:chExt cx="8" cy="32"/>
        </a:xfrm>
        <a:solidFill>
          <a:srgbClr val="FFFFFF"/>
        </a:solidFill>
      </xdr:grpSpPr>
      <xdr:sp>
        <xdr:nvSpPr>
          <xdr:cNvPr id="151" name="Line 588"/>
          <xdr:cNvSpPr>
            <a:spLocks/>
          </xdr:cNvSpPr>
        </xdr:nvSpPr>
        <xdr:spPr>
          <a:xfrm>
            <a:off x="85" y="769"/>
            <a:ext cx="1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2" name="Freeform 589"/>
          <xdr:cNvSpPr>
            <a:spLocks/>
          </xdr:cNvSpPr>
        </xdr:nvSpPr>
        <xdr:spPr>
          <a:xfrm>
            <a:off x="82" y="763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3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3" name="Freeform 590"/>
          <xdr:cNvSpPr>
            <a:spLocks/>
          </xdr:cNvSpPr>
        </xdr:nvSpPr>
        <xdr:spPr>
          <a:xfrm>
            <a:off x="82" y="787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3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32</xdr:row>
      <xdr:rowOff>38100</xdr:rowOff>
    </xdr:from>
    <xdr:to>
      <xdr:col>2</xdr:col>
      <xdr:colOff>342900</xdr:colOff>
      <xdr:row>34</xdr:row>
      <xdr:rowOff>57150</xdr:rowOff>
    </xdr:to>
    <xdr:sp>
      <xdr:nvSpPr>
        <xdr:cNvPr id="154" name="Line 592"/>
        <xdr:cNvSpPr>
          <a:spLocks/>
        </xdr:cNvSpPr>
      </xdr:nvSpPr>
      <xdr:spPr>
        <a:xfrm flipV="1">
          <a:off x="1685925" y="5657850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666750</xdr:colOff>
      <xdr:row>32</xdr:row>
      <xdr:rowOff>57150</xdr:rowOff>
    </xdr:from>
    <xdr:to>
      <xdr:col>2</xdr:col>
      <xdr:colOff>257175</xdr:colOff>
      <xdr:row>32</xdr:row>
      <xdr:rowOff>142875</xdr:rowOff>
    </xdr:to>
    <xdr:grpSp>
      <xdr:nvGrpSpPr>
        <xdr:cNvPr id="155" name="Group 595"/>
        <xdr:cNvGrpSpPr>
          <a:grpSpLocks/>
        </xdr:cNvGrpSpPr>
      </xdr:nvGrpSpPr>
      <xdr:grpSpPr>
        <a:xfrm>
          <a:off x="1343025" y="5676900"/>
          <a:ext cx="266700" cy="85725"/>
          <a:chOff x="123" y="598"/>
          <a:chExt cx="24" cy="9"/>
        </a:xfrm>
        <a:solidFill>
          <a:srgbClr val="FFFFFF"/>
        </a:solidFill>
      </xdr:grpSpPr>
      <xdr:sp>
        <xdr:nvSpPr>
          <xdr:cNvPr id="156" name="Line 593"/>
          <xdr:cNvSpPr>
            <a:spLocks/>
          </xdr:cNvSpPr>
        </xdr:nvSpPr>
        <xdr:spPr>
          <a:xfrm>
            <a:off x="123" y="602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7" name="Freeform 594"/>
          <xdr:cNvSpPr>
            <a:spLocks/>
          </xdr:cNvSpPr>
        </xdr:nvSpPr>
        <xdr:spPr>
          <a:xfrm>
            <a:off x="140" y="598"/>
            <a:ext cx="7" cy="9"/>
          </a:xfrm>
          <a:custGeom>
            <a:pathLst>
              <a:path h="9" w="7">
                <a:moveTo>
                  <a:pt x="0" y="9"/>
                </a:moveTo>
                <a:lnTo>
                  <a:pt x="7" y="4"/>
                </a:lnTo>
                <a:lnTo>
                  <a:pt x="0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32</xdr:row>
      <xdr:rowOff>57150</xdr:rowOff>
    </xdr:from>
    <xdr:to>
      <xdr:col>2</xdr:col>
      <xdr:colOff>523875</xdr:colOff>
      <xdr:row>32</xdr:row>
      <xdr:rowOff>152400</xdr:rowOff>
    </xdr:to>
    <xdr:grpSp>
      <xdr:nvGrpSpPr>
        <xdr:cNvPr id="158" name="Group 598"/>
        <xdr:cNvGrpSpPr>
          <a:grpSpLocks/>
        </xdr:cNvGrpSpPr>
      </xdr:nvGrpSpPr>
      <xdr:grpSpPr>
        <a:xfrm>
          <a:off x="1685925" y="5676900"/>
          <a:ext cx="190500" cy="85725"/>
          <a:chOff x="154" y="598"/>
          <a:chExt cx="18" cy="9"/>
        </a:xfrm>
        <a:solidFill>
          <a:srgbClr val="FFFFFF"/>
        </a:solidFill>
      </xdr:grpSpPr>
      <xdr:sp>
        <xdr:nvSpPr>
          <xdr:cNvPr id="159" name="Line 596"/>
          <xdr:cNvSpPr>
            <a:spLocks/>
          </xdr:cNvSpPr>
        </xdr:nvSpPr>
        <xdr:spPr>
          <a:xfrm flipH="1">
            <a:off x="160" y="60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0" name="Freeform 597"/>
          <xdr:cNvSpPr>
            <a:spLocks/>
          </xdr:cNvSpPr>
        </xdr:nvSpPr>
        <xdr:spPr>
          <a:xfrm>
            <a:off x="154" y="598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0" y="4"/>
                </a:lnTo>
                <a:lnTo>
                  <a:pt x="8" y="9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42</xdr:row>
      <xdr:rowOff>161925</xdr:rowOff>
    </xdr:from>
    <xdr:to>
      <xdr:col>5</xdr:col>
      <xdr:colOff>666750</xdr:colOff>
      <xdr:row>43</xdr:row>
      <xdr:rowOff>0</xdr:rowOff>
    </xdr:to>
    <xdr:sp>
      <xdr:nvSpPr>
        <xdr:cNvPr id="161" name="Line 599"/>
        <xdr:cNvSpPr>
          <a:spLocks/>
        </xdr:cNvSpPr>
      </xdr:nvSpPr>
      <xdr:spPr>
        <a:xfrm>
          <a:off x="3305175" y="749617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47625</xdr:rowOff>
    </xdr:from>
    <xdr:to>
      <xdr:col>5</xdr:col>
      <xdr:colOff>666750</xdr:colOff>
      <xdr:row>43</xdr:row>
      <xdr:rowOff>47625</xdr:rowOff>
    </xdr:to>
    <xdr:sp>
      <xdr:nvSpPr>
        <xdr:cNvPr id="162" name="Line 600"/>
        <xdr:cNvSpPr>
          <a:spLocks/>
        </xdr:cNvSpPr>
      </xdr:nvSpPr>
      <xdr:spPr>
        <a:xfrm>
          <a:off x="3495675" y="755332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561975</xdr:colOff>
      <xdr:row>41</xdr:row>
      <xdr:rowOff>142875</xdr:rowOff>
    </xdr:from>
    <xdr:to>
      <xdr:col>5</xdr:col>
      <xdr:colOff>638175</xdr:colOff>
      <xdr:row>42</xdr:row>
      <xdr:rowOff>161925</xdr:rowOff>
    </xdr:to>
    <xdr:grpSp>
      <xdr:nvGrpSpPr>
        <xdr:cNvPr id="163" name="Group 603"/>
        <xdr:cNvGrpSpPr>
          <a:grpSpLocks/>
        </xdr:cNvGrpSpPr>
      </xdr:nvGrpSpPr>
      <xdr:grpSpPr>
        <a:xfrm>
          <a:off x="3943350" y="7305675"/>
          <a:ext cx="85725" cy="190500"/>
          <a:chOff x="361" y="769"/>
          <a:chExt cx="8" cy="20"/>
        </a:xfrm>
        <a:solidFill>
          <a:srgbClr val="FFFFFF"/>
        </a:solidFill>
      </xdr:grpSpPr>
      <xdr:sp>
        <xdr:nvSpPr>
          <xdr:cNvPr id="164" name="Line 601"/>
          <xdr:cNvSpPr>
            <a:spLocks/>
          </xdr:cNvSpPr>
        </xdr:nvSpPr>
        <xdr:spPr>
          <a:xfrm>
            <a:off x="365" y="769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5" name="Freeform 602"/>
          <xdr:cNvSpPr>
            <a:spLocks/>
          </xdr:cNvSpPr>
        </xdr:nvSpPr>
        <xdr:spPr>
          <a:xfrm>
            <a:off x="361" y="780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4" y="9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43</xdr:row>
      <xdr:rowOff>47625</xdr:rowOff>
    </xdr:from>
    <xdr:to>
      <xdr:col>5</xdr:col>
      <xdr:colOff>638175</xdr:colOff>
      <xdr:row>44</xdr:row>
      <xdr:rowOff>57150</xdr:rowOff>
    </xdr:to>
    <xdr:grpSp>
      <xdr:nvGrpSpPr>
        <xdr:cNvPr id="166" name="Group 606"/>
        <xdr:cNvGrpSpPr>
          <a:grpSpLocks/>
        </xdr:cNvGrpSpPr>
      </xdr:nvGrpSpPr>
      <xdr:grpSpPr>
        <a:xfrm>
          <a:off x="3943350" y="7553325"/>
          <a:ext cx="85725" cy="180975"/>
          <a:chOff x="361" y="795"/>
          <a:chExt cx="8" cy="19"/>
        </a:xfrm>
        <a:solidFill>
          <a:srgbClr val="FFFFFF"/>
        </a:solidFill>
      </xdr:grpSpPr>
      <xdr:sp>
        <xdr:nvSpPr>
          <xdr:cNvPr id="167" name="Line 604"/>
          <xdr:cNvSpPr>
            <a:spLocks/>
          </xdr:cNvSpPr>
        </xdr:nvSpPr>
        <xdr:spPr>
          <a:xfrm flipV="1">
            <a:off x="365" y="801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8" name="Freeform 605"/>
          <xdr:cNvSpPr>
            <a:spLocks/>
          </xdr:cNvSpPr>
        </xdr:nvSpPr>
        <xdr:spPr>
          <a:xfrm>
            <a:off x="361" y="795"/>
            <a:ext cx="8" cy="9"/>
          </a:xfrm>
          <a:custGeom>
            <a:pathLst>
              <a:path h="9" w="8">
                <a:moveTo>
                  <a:pt x="8" y="9"/>
                </a:moveTo>
                <a:lnTo>
                  <a:pt x="4" y="0"/>
                </a:lnTo>
                <a:lnTo>
                  <a:pt x="0" y="9"/>
                </a:lnTo>
                <a:lnTo>
                  <a:pt x="8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485775</xdr:colOff>
      <xdr:row>41</xdr:row>
      <xdr:rowOff>85725</xdr:rowOff>
    </xdr:from>
    <xdr:to>
      <xdr:col>5</xdr:col>
      <xdr:colOff>666750</xdr:colOff>
      <xdr:row>41</xdr:row>
      <xdr:rowOff>95250</xdr:rowOff>
    </xdr:to>
    <xdr:sp>
      <xdr:nvSpPr>
        <xdr:cNvPr id="169" name="Line 616"/>
        <xdr:cNvSpPr>
          <a:spLocks/>
        </xdr:cNvSpPr>
      </xdr:nvSpPr>
      <xdr:spPr>
        <a:xfrm>
          <a:off x="3190875" y="72485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5</xdr:col>
      <xdr:colOff>638175</xdr:colOff>
      <xdr:row>41</xdr:row>
      <xdr:rowOff>152400</xdr:rowOff>
    </xdr:to>
    <xdr:sp>
      <xdr:nvSpPr>
        <xdr:cNvPr id="170" name="Line 617"/>
        <xdr:cNvSpPr>
          <a:spLocks/>
        </xdr:cNvSpPr>
      </xdr:nvSpPr>
      <xdr:spPr>
        <a:xfrm>
          <a:off x="3419475" y="73056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40</xdr:row>
      <xdr:rowOff>76200</xdr:rowOff>
    </xdr:from>
    <xdr:to>
      <xdr:col>5</xdr:col>
      <xdr:colOff>638175</xdr:colOff>
      <xdr:row>41</xdr:row>
      <xdr:rowOff>95250</xdr:rowOff>
    </xdr:to>
    <xdr:grpSp>
      <xdr:nvGrpSpPr>
        <xdr:cNvPr id="171" name="Group 620"/>
        <xdr:cNvGrpSpPr>
          <a:grpSpLocks/>
        </xdr:cNvGrpSpPr>
      </xdr:nvGrpSpPr>
      <xdr:grpSpPr>
        <a:xfrm>
          <a:off x="3933825" y="7067550"/>
          <a:ext cx="95250" cy="190500"/>
          <a:chOff x="360" y="744"/>
          <a:chExt cx="9" cy="20"/>
        </a:xfrm>
        <a:solidFill>
          <a:srgbClr val="FFFFFF"/>
        </a:solidFill>
      </xdr:grpSpPr>
      <xdr:sp>
        <xdr:nvSpPr>
          <xdr:cNvPr id="172" name="Line 618"/>
          <xdr:cNvSpPr>
            <a:spLocks/>
          </xdr:cNvSpPr>
        </xdr:nvSpPr>
        <xdr:spPr>
          <a:xfrm>
            <a:off x="364" y="744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3" name="Freeform 619"/>
          <xdr:cNvSpPr>
            <a:spLocks/>
          </xdr:cNvSpPr>
        </xdr:nvSpPr>
        <xdr:spPr>
          <a:xfrm>
            <a:off x="360" y="756"/>
            <a:ext cx="9" cy="8"/>
          </a:xfrm>
          <a:custGeom>
            <a:pathLst>
              <a:path h="8" w="9">
                <a:moveTo>
                  <a:pt x="0" y="0"/>
                </a:moveTo>
                <a:lnTo>
                  <a:pt x="5" y="8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41</xdr:row>
      <xdr:rowOff>142875</xdr:rowOff>
    </xdr:from>
    <xdr:to>
      <xdr:col>5</xdr:col>
      <xdr:colOff>638175</xdr:colOff>
      <xdr:row>42</xdr:row>
      <xdr:rowOff>152400</xdr:rowOff>
    </xdr:to>
    <xdr:grpSp>
      <xdr:nvGrpSpPr>
        <xdr:cNvPr id="174" name="Group 623"/>
        <xdr:cNvGrpSpPr>
          <a:grpSpLocks/>
        </xdr:cNvGrpSpPr>
      </xdr:nvGrpSpPr>
      <xdr:grpSpPr>
        <a:xfrm>
          <a:off x="3943350" y="7305675"/>
          <a:ext cx="85725" cy="180975"/>
          <a:chOff x="361" y="769"/>
          <a:chExt cx="8" cy="19"/>
        </a:xfrm>
        <a:solidFill>
          <a:srgbClr val="FFFFFF"/>
        </a:solidFill>
      </xdr:grpSpPr>
      <xdr:sp>
        <xdr:nvSpPr>
          <xdr:cNvPr id="175" name="Line 621"/>
          <xdr:cNvSpPr>
            <a:spLocks/>
          </xdr:cNvSpPr>
        </xdr:nvSpPr>
        <xdr:spPr>
          <a:xfrm flipV="1">
            <a:off x="365" y="775"/>
            <a:ext cx="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6" name="Freeform 622"/>
          <xdr:cNvSpPr>
            <a:spLocks/>
          </xdr:cNvSpPr>
        </xdr:nvSpPr>
        <xdr:spPr>
          <a:xfrm>
            <a:off x="361" y="769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4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95250</xdr:rowOff>
    </xdr:from>
    <xdr:to>
      <xdr:col>5</xdr:col>
      <xdr:colOff>190500</xdr:colOff>
      <xdr:row>34</xdr:row>
      <xdr:rowOff>57150</xdr:rowOff>
    </xdr:to>
    <xdr:grpSp>
      <xdr:nvGrpSpPr>
        <xdr:cNvPr id="177" name="Group 626"/>
        <xdr:cNvGrpSpPr>
          <a:grpSpLocks/>
        </xdr:cNvGrpSpPr>
      </xdr:nvGrpSpPr>
      <xdr:grpSpPr>
        <a:xfrm>
          <a:off x="3457575" y="5715000"/>
          <a:ext cx="114300" cy="304800"/>
          <a:chOff x="317" y="602"/>
          <a:chExt cx="10" cy="32"/>
        </a:xfrm>
        <a:solidFill>
          <a:srgbClr val="FFFFFF"/>
        </a:solidFill>
      </xdr:grpSpPr>
      <xdr:sp>
        <xdr:nvSpPr>
          <xdr:cNvPr id="178" name="Line 624"/>
          <xdr:cNvSpPr>
            <a:spLocks/>
          </xdr:cNvSpPr>
        </xdr:nvSpPr>
        <xdr:spPr>
          <a:xfrm>
            <a:off x="321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9" name="Freeform 625"/>
          <xdr:cNvSpPr>
            <a:spLocks/>
          </xdr:cNvSpPr>
        </xdr:nvSpPr>
        <xdr:spPr>
          <a:xfrm>
            <a:off x="317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32</xdr:row>
      <xdr:rowOff>95250</xdr:rowOff>
    </xdr:from>
    <xdr:to>
      <xdr:col>5</xdr:col>
      <xdr:colOff>314325</xdr:colOff>
      <xdr:row>34</xdr:row>
      <xdr:rowOff>57150</xdr:rowOff>
    </xdr:to>
    <xdr:grpSp>
      <xdr:nvGrpSpPr>
        <xdr:cNvPr id="180" name="Group 629"/>
        <xdr:cNvGrpSpPr>
          <a:grpSpLocks/>
        </xdr:cNvGrpSpPr>
      </xdr:nvGrpSpPr>
      <xdr:grpSpPr>
        <a:xfrm>
          <a:off x="3590925" y="5715000"/>
          <a:ext cx="104775" cy="304800"/>
          <a:chOff x="329" y="602"/>
          <a:chExt cx="10" cy="32"/>
        </a:xfrm>
        <a:solidFill>
          <a:srgbClr val="FFFFFF"/>
        </a:solidFill>
      </xdr:grpSpPr>
      <xdr:sp>
        <xdr:nvSpPr>
          <xdr:cNvPr id="181" name="Line 627"/>
          <xdr:cNvSpPr>
            <a:spLocks/>
          </xdr:cNvSpPr>
        </xdr:nvSpPr>
        <xdr:spPr>
          <a:xfrm>
            <a:off x="334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2" name="Freeform 628"/>
          <xdr:cNvSpPr>
            <a:spLocks/>
          </xdr:cNvSpPr>
        </xdr:nvSpPr>
        <xdr:spPr>
          <a:xfrm>
            <a:off x="329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342900</xdr:colOff>
      <xdr:row>32</xdr:row>
      <xdr:rowOff>95250</xdr:rowOff>
    </xdr:from>
    <xdr:to>
      <xdr:col>5</xdr:col>
      <xdr:colOff>447675</xdr:colOff>
      <xdr:row>34</xdr:row>
      <xdr:rowOff>57150</xdr:rowOff>
    </xdr:to>
    <xdr:grpSp>
      <xdr:nvGrpSpPr>
        <xdr:cNvPr id="183" name="Group 632"/>
        <xdr:cNvGrpSpPr>
          <a:grpSpLocks/>
        </xdr:cNvGrpSpPr>
      </xdr:nvGrpSpPr>
      <xdr:grpSpPr>
        <a:xfrm>
          <a:off x="3724275" y="5715000"/>
          <a:ext cx="114300" cy="304800"/>
          <a:chOff x="341" y="602"/>
          <a:chExt cx="10" cy="32"/>
        </a:xfrm>
        <a:solidFill>
          <a:srgbClr val="FFFFFF"/>
        </a:solidFill>
      </xdr:grpSpPr>
      <xdr:sp>
        <xdr:nvSpPr>
          <xdr:cNvPr id="184" name="Line 630"/>
          <xdr:cNvSpPr>
            <a:spLocks/>
          </xdr:cNvSpPr>
        </xdr:nvSpPr>
        <xdr:spPr>
          <a:xfrm>
            <a:off x="346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5" name="Freeform 631"/>
          <xdr:cNvSpPr>
            <a:spLocks/>
          </xdr:cNvSpPr>
        </xdr:nvSpPr>
        <xdr:spPr>
          <a:xfrm>
            <a:off x="341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485775</xdr:colOff>
      <xdr:row>32</xdr:row>
      <xdr:rowOff>95250</xdr:rowOff>
    </xdr:from>
    <xdr:to>
      <xdr:col>5</xdr:col>
      <xdr:colOff>590550</xdr:colOff>
      <xdr:row>34</xdr:row>
      <xdr:rowOff>57150</xdr:rowOff>
    </xdr:to>
    <xdr:grpSp>
      <xdr:nvGrpSpPr>
        <xdr:cNvPr id="186" name="Group 635"/>
        <xdr:cNvGrpSpPr>
          <a:grpSpLocks/>
        </xdr:cNvGrpSpPr>
      </xdr:nvGrpSpPr>
      <xdr:grpSpPr>
        <a:xfrm>
          <a:off x="3867150" y="5715000"/>
          <a:ext cx="114300" cy="304800"/>
          <a:chOff x="354" y="602"/>
          <a:chExt cx="10" cy="32"/>
        </a:xfrm>
        <a:solidFill>
          <a:srgbClr val="FFFFFF"/>
        </a:solidFill>
      </xdr:grpSpPr>
      <xdr:sp>
        <xdr:nvSpPr>
          <xdr:cNvPr id="187" name="Line 633"/>
          <xdr:cNvSpPr>
            <a:spLocks/>
          </xdr:cNvSpPr>
        </xdr:nvSpPr>
        <xdr:spPr>
          <a:xfrm>
            <a:off x="358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8" name="Freeform 634"/>
          <xdr:cNvSpPr>
            <a:spLocks/>
          </xdr:cNvSpPr>
        </xdr:nvSpPr>
        <xdr:spPr>
          <a:xfrm>
            <a:off x="354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32</xdr:row>
      <xdr:rowOff>95250</xdr:rowOff>
    </xdr:from>
    <xdr:to>
      <xdr:col>6</xdr:col>
      <xdr:colOff>38100</xdr:colOff>
      <xdr:row>34</xdr:row>
      <xdr:rowOff>57150</xdr:rowOff>
    </xdr:to>
    <xdr:grpSp>
      <xdr:nvGrpSpPr>
        <xdr:cNvPr id="189" name="Group 638"/>
        <xdr:cNvGrpSpPr>
          <a:grpSpLocks/>
        </xdr:cNvGrpSpPr>
      </xdr:nvGrpSpPr>
      <xdr:grpSpPr>
        <a:xfrm>
          <a:off x="3990975" y="5715000"/>
          <a:ext cx="104775" cy="304800"/>
          <a:chOff x="366" y="602"/>
          <a:chExt cx="10" cy="32"/>
        </a:xfrm>
        <a:solidFill>
          <a:srgbClr val="FFFFFF"/>
        </a:solidFill>
      </xdr:grpSpPr>
      <xdr:sp>
        <xdr:nvSpPr>
          <xdr:cNvPr id="190" name="Line 636"/>
          <xdr:cNvSpPr>
            <a:spLocks/>
          </xdr:cNvSpPr>
        </xdr:nvSpPr>
        <xdr:spPr>
          <a:xfrm>
            <a:off x="371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1" name="Freeform 637"/>
          <xdr:cNvSpPr>
            <a:spLocks/>
          </xdr:cNvSpPr>
        </xdr:nvSpPr>
        <xdr:spPr>
          <a:xfrm>
            <a:off x="366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32</xdr:row>
      <xdr:rowOff>95250</xdr:rowOff>
    </xdr:from>
    <xdr:to>
      <xdr:col>6</xdr:col>
      <xdr:colOff>190500</xdr:colOff>
      <xdr:row>34</xdr:row>
      <xdr:rowOff>57150</xdr:rowOff>
    </xdr:to>
    <xdr:grpSp>
      <xdr:nvGrpSpPr>
        <xdr:cNvPr id="192" name="Group 641"/>
        <xdr:cNvGrpSpPr>
          <a:grpSpLocks/>
        </xdr:cNvGrpSpPr>
      </xdr:nvGrpSpPr>
      <xdr:grpSpPr>
        <a:xfrm>
          <a:off x="4133850" y="5715000"/>
          <a:ext cx="114300" cy="304800"/>
          <a:chOff x="379" y="602"/>
          <a:chExt cx="10" cy="32"/>
        </a:xfrm>
        <a:solidFill>
          <a:srgbClr val="FFFFFF"/>
        </a:solidFill>
      </xdr:grpSpPr>
      <xdr:sp>
        <xdr:nvSpPr>
          <xdr:cNvPr id="193" name="Line 639"/>
          <xdr:cNvSpPr>
            <a:spLocks/>
          </xdr:cNvSpPr>
        </xdr:nvSpPr>
        <xdr:spPr>
          <a:xfrm>
            <a:off x="383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4" name="Freeform 640"/>
          <xdr:cNvSpPr>
            <a:spLocks/>
          </xdr:cNvSpPr>
        </xdr:nvSpPr>
        <xdr:spPr>
          <a:xfrm>
            <a:off x="379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32</xdr:row>
      <xdr:rowOff>95250</xdr:rowOff>
    </xdr:from>
    <xdr:to>
      <xdr:col>6</xdr:col>
      <xdr:colOff>314325</xdr:colOff>
      <xdr:row>34</xdr:row>
      <xdr:rowOff>57150</xdr:rowOff>
    </xdr:to>
    <xdr:grpSp>
      <xdr:nvGrpSpPr>
        <xdr:cNvPr id="195" name="Group 644"/>
        <xdr:cNvGrpSpPr>
          <a:grpSpLocks/>
        </xdr:cNvGrpSpPr>
      </xdr:nvGrpSpPr>
      <xdr:grpSpPr>
        <a:xfrm>
          <a:off x="4267200" y="5715000"/>
          <a:ext cx="104775" cy="304800"/>
          <a:chOff x="391" y="602"/>
          <a:chExt cx="10" cy="32"/>
        </a:xfrm>
        <a:solidFill>
          <a:srgbClr val="FFFFFF"/>
        </a:solidFill>
      </xdr:grpSpPr>
      <xdr:sp>
        <xdr:nvSpPr>
          <xdr:cNvPr id="196" name="Line 642"/>
          <xdr:cNvSpPr>
            <a:spLocks/>
          </xdr:cNvSpPr>
        </xdr:nvSpPr>
        <xdr:spPr>
          <a:xfrm>
            <a:off x="396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7" name="Freeform 643"/>
          <xdr:cNvSpPr>
            <a:spLocks/>
          </xdr:cNvSpPr>
        </xdr:nvSpPr>
        <xdr:spPr>
          <a:xfrm>
            <a:off x="391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95250</xdr:rowOff>
    </xdr:from>
    <xdr:to>
      <xdr:col>6</xdr:col>
      <xdr:colOff>447675</xdr:colOff>
      <xdr:row>34</xdr:row>
      <xdr:rowOff>57150</xdr:rowOff>
    </xdr:to>
    <xdr:grpSp>
      <xdr:nvGrpSpPr>
        <xdr:cNvPr id="198" name="Group 647"/>
        <xdr:cNvGrpSpPr>
          <a:grpSpLocks/>
        </xdr:cNvGrpSpPr>
      </xdr:nvGrpSpPr>
      <xdr:grpSpPr>
        <a:xfrm>
          <a:off x="4400550" y="5715000"/>
          <a:ext cx="114300" cy="304800"/>
          <a:chOff x="403" y="602"/>
          <a:chExt cx="10" cy="32"/>
        </a:xfrm>
        <a:solidFill>
          <a:srgbClr val="FFFFFF"/>
        </a:solidFill>
      </xdr:grpSpPr>
      <xdr:sp>
        <xdr:nvSpPr>
          <xdr:cNvPr id="199" name="Line 645"/>
          <xdr:cNvSpPr>
            <a:spLocks/>
          </xdr:cNvSpPr>
        </xdr:nvSpPr>
        <xdr:spPr>
          <a:xfrm>
            <a:off x="408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0" name="Freeform 646"/>
          <xdr:cNvSpPr>
            <a:spLocks/>
          </xdr:cNvSpPr>
        </xdr:nvSpPr>
        <xdr:spPr>
          <a:xfrm>
            <a:off x="403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5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485775</xdr:colOff>
      <xdr:row>32</xdr:row>
      <xdr:rowOff>95250</xdr:rowOff>
    </xdr:from>
    <xdr:to>
      <xdr:col>6</xdr:col>
      <xdr:colOff>590550</xdr:colOff>
      <xdr:row>34</xdr:row>
      <xdr:rowOff>57150</xdr:rowOff>
    </xdr:to>
    <xdr:grpSp>
      <xdr:nvGrpSpPr>
        <xdr:cNvPr id="201" name="Group 650"/>
        <xdr:cNvGrpSpPr>
          <a:grpSpLocks/>
        </xdr:cNvGrpSpPr>
      </xdr:nvGrpSpPr>
      <xdr:grpSpPr>
        <a:xfrm>
          <a:off x="4543425" y="5715000"/>
          <a:ext cx="114300" cy="304800"/>
          <a:chOff x="416" y="602"/>
          <a:chExt cx="10" cy="32"/>
        </a:xfrm>
        <a:solidFill>
          <a:srgbClr val="FFFFFF"/>
        </a:solidFill>
      </xdr:grpSpPr>
      <xdr:sp>
        <xdr:nvSpPr>
          <xdr:cNvPr id="202" name="Line 648"/>
          <xdr:cNvSpPr>
            <a:spLocks/>
          </xdr:cNvSpPr>
        </xdr:nvSpPr>
        <xdr:spPr>
          <a:xfrm>
            <a:off x="420" y="602"/>
            <a:ext cx="1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3" name="Freeform 649"/>
          <xdr:cNvSpPr>
            <a:spLocks/>
          </xdr:cNvSpPr>
        </xdr:nvSpPr>
        <xdr:spPr>
          <a:xfrm>
            <a:off x="416" y="624"/>
            <a:ext cx="10" cy="10"/>
          </a:xfrm>
          <a:custGeom>
            <a:pathLst>
              <a:path h="10" w="10">
                <a:moveTo>
                  <a:pt x="0" y="0"/>
                </a:moveTo>
                <a:lnTo>
                  <a:pt x="4" y="10"/>
                </a:lnTo>
                <a:lnTo>
                  <a:pt x="1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30</xdr:row>
      <xdr:rowOff>133350</xdr:rowOff>
    </xdr:from>
    <xdr:to>
      <xdr:col>5</xdr:col>
      <xdr:colOff>638175</xdr:colOff>
      <xdr:row>32</xdr:row>
      <xdr:rowOff>85725</xdr:rowOff>
    </xdr:to>
    <xdr:sp>
      <xdr:nvSpPr>
        <xdr:cNvPr id="204" name="Rectangle 651"/>
        <xdr:cNvSpPr>
          <a:spLocks/>
        </xdr:cNvSpPr>
      </xdr:nvSpPr>
      <xdr:spPr>
        <a:xfrm>
          <a:off x="3648075" y="5410200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342900</xdr:colOff>
      <xdr:row>31</xdr:row>
      <xdr:rowOff>19050</xdr:rowOff>
    </xdr:from>
    <xdr:ext cx="133350" cy="228600"/>
    <xdr:sp>
      <xdr:nvSpPr>
        <xdr:cNvPr id="205" name="Rectangle 652"/>
        <xdr:cNvSpPr>
          <a:spLocks/>
        </xdr:cNvSpPr>
      </xdr:nvSpPr>
      <xdr:spPr>
        <a:xfrm>
          <a:off x="3724275" y="54673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q</a:t>
          </a:r>
        </a:p>
      </xdr:txBody>
    </xdr:sp>
    <xdr:clientData/>
  </xdr:oneCellAnchor>
  <xdr:oneCellAnchor>
    <xdr:from>
      <xdr:col>5</xdr:col>
      <xdr:colOff>438150</xdr:colOff>
      <xdr:row>31</xdr:row>
      <xdr:rowOff>19050</xdr:rowOff>
    </xdr:from>
    <xdr:ext cx="114300" cy="228600"/>
    <xdr:sp>
      <xdr:nvSpPr>
        <xdr:cNvPr id="206" name="Rectangle 653"/>
        <xdr:cNvSpPr>
          <a:spLocks/>
        </xdr:cNvSpPr>
      </xdr:nvSpPr>
      <xdr:spPr>
        <a:xfrm>
          <a:off x="3819525" y="5467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twoCellAnchor>
    <xdr:from>
      <xdr:col>3</xdr:col>
      <xdr:colOff>219075</xdr:colOff>
      <xdr:row>40</xdr:row>
      <xdr:rowOff>19050</xdr:rowOff>
    </xdr:from>
    <xdr:to>
      <xdr:col>3</xdr:col>
      <xdr:colOff>219075</xdr:colOff>
      <xdr:row>41</xdr:row>
      <xdr:rowOff>152400</xdr:rowOff>
    </xdr:to>
    <xdr:sp>
      <xdr:nvSpPr>
        <xdr:cNvPr id="207" name="Line 654"/>
        <xdr:cNvSpPr>
          <a:spLocks/>
        </xdr:cNvSpPr>
      </xdr:nvSpPr>
      <xdr:spPr>
        <a:xfrm>
          <a:off x="2247900" y="7010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42</xdr:row>
      <xdr:rowOff>161925</xdr:rowOff>
    </xdr:from>
    <xdr:to>
      <xdr:col>3</xdr:col>
      <xdr:colOff>161925</xdr:colOff>
      <xdr:row>45</xdr:row>
      <xdr:rowOff>76200</xdr:rowOff>
    </xdr:to>
    <xdr:sp>
      <xdr:nvSpPr>
        <xdr:cNvPr id="208" name="Line 655"/>
        <xdr:cNvSpPr>
          <a:spLocks/>
        </xdr:cNvSpPr>
      </xdr:nvSpPr>
      <xdr:spPr>
        <a:xfrm flipV="1">
          <a:off x="2190750" y="74961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19050</xdr:rowOff>
    </xdr:from>
    <xdr:to>
      <xdr:col>5</xdr:col>
      <xdr:colOff>419100</xdr:colOff>
      <xdr:row>38</xdr:row>
      <xdr:rowOff>19050</xdr:rowOff>
    </xdr:to>
    <xdr:sp>
      <xdr:nvSpPr>
        <xdr:cNvPr id="209" name="Line 656"/>
        <xdr:cNvSpPr>
          <a:spLocks/>
        </xdr:cNvSpPr>
      </xdr:nvSpPr>
      <xdr:spPr>
        <a:xfrm flipH="1">
          <a:off x="3457575" y="666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104775</xdr:rowOff>
    </xdr:from>
    <xdr:to>
      <xdr:col>7</xdr:col>
      <xdr:colOff>390525</xdr:colOff>
      <xdr:row>39</xdr:row>
      <xdr:rowOff>142875</xdr:rowOff>
    </xdr:to>
    <xdr:pic>
      <xdr:nvPicPr>
        <xdr:cNvPr id="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51244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46</xdr:row>
      <xdr:rowOff>142875</xdr:rowOff>
    </xdr:from>
    <xdr:to>
      <xdr:col>3</xdr:col>
      <xdr:colOff>590550</xdr:colOff>
      <xdr:row>48</xdr:row>
      <xdr:rowOff>19050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827722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53</xdr:row>
      <xdr:rowOff>0</xdr:rowOff>
    </xdr:from>
    <xdr:to>
      <xdr:col>5</xdr:col>
      <xdr:colOff>666750</xdr:colOff>
      <xdr:row>54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9372600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52</xdr:row>
      <xdr:rowOff>28575</xdr:rowOff>
    </xdr:from>
    <xdr:to>
      <xdr:col>6</xdr:col>
      <xdr:colOff>9525</xdr:colOff>
      <xdr:row>53</xdr:row>
      <xdr:rowOff>38100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91916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54</xdr:row>
      <xdr:rowOff>104775</xdr:rowOff>
    </xdr:from>
    <xdr:to>
      <xdr:col>3</xdr:col>
      <xdr:colOff>638175</xdr:colOff>
      <xdr:row>56</xdr:row>
      <xdr:rowOff>123825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68692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75</xdr:row>
      <xdr:rowOff>66675</xdr:rowOff>
    </xdr:from>
    <xdr:to>
      <xdr:col>4</xdr:col>
      <xdr:colOff>438150</xdr:colOff>
      <xdr:row>77</xdr:row>
      <xdr:rowOff>142875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13258800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85725</xdr:rowOff>
    </xdr:from>
    <xdr:to>
      <xdr:col>6</xdr:col>
      <xdr:colOff>438150</xdr:colOff>
      <xdr:row>80</xdr:row>
      <xdr:rowOff>161925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13792200"/>
          <a:ext cx="3143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134</xdr:row>
      <xdr:rowOff>95250</xdr:rowOff>
    </xdr:from>
    <xdr:to>
      <xdr:col>2</xdr:col>
      <xdr:colOff>561975</xdr:colOff>
      <xdr:row>136</xdr:row>
      <xdr:rowOff>95250</xdr:rowOff>
    </xdr:to>
    <xdr:pic>
      <xdr:nvPicPr>
        <xdr:cNvPr id="8" name="Picture 2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33934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139</xdr:row>
      <xdr:rowOff>38100</xdr:rowOff>
    </xdr:from>
    <xdr:to>
      <xdr:col>2</xdr:col>
      <xdr:colOff>552450</xdr:colOff>
      <xdr:row>141</xdr:row>
      <xdr:rowOff>38100</xdr:rowOff>
    </xdr:to>
    <xdr:pic>
      <xdr:nvPicPr>
        <xdr:cNvPr id="9" name="Picture 2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242887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151</xdr:row>
      <xdr:rowOff>76200</xdr:rowOff>
    </xdr:from>
    <xdr:to>
      <xdr:col>2</xdr:col>
      <xdr:colOff>561975</xdr:colOff>
      <xdr:row>153</xdr:row>
      <xdr:rowOff>76200</xdr:rowOff>
    </xdr:to>
    <xdr:pic>
      <xdr:nvPicPr>
        <xdr:cNvPr id="10" name="Picture 2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64795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156</xdr:row>
      <xdr:rowOff>38100</xdr:rowOff>
    </xdr:from>
    <xdr:to>
      <xdr:col>2</xdr:col>
      <xdr:colOff>552450</xdr:colOff>
      <xdr:row>158</xdr:row>
      <xdr:rowOff>38100</xdr:rowOff>
    </xdr:to>
    <xdr:pic>
      <xdr:nvPicPr>
        <xdr:cNvPr id="11" name="Picture 2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2739390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168</xdr:row>
      <xdr:rowOff>95250</xdr:rowOff>
    </xdr:from>
    <xdr:to>
      <xdr:col>2</xdr:col>
      <xdr:colOff>561975</xdr:colOff>
      <xdr:row>170</xdr:row>
      <xdr:rowOff>95250</xdr:rowOff>
    </xdr:to>
    <xdr:pic>
      <xdr:nvPicPr>
        <xdr:cNvPr id="12" name="Picture 2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9594175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173</xdr:row>
      <xdr:rowOff>38100</xdr:rowOff>
    </xdr:from>
    <xdr:to>
      <xdr:col>2</xdr:col>
      <xdr:colOff>552450</xdr:colOff>
      <xdr:row>175</xdr:row>
      <xdr:rowOff>38100</xdr:rowOff>
    </xdr:to>
    <xdr:pic>
      <xdr:nvPicPr>
        <xdr:cNvPr id="13" name="Picture 2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30489525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108</xdr:row>
      <xdr:rowOff>9525</xdr:rowOff>
    </xdr:from>
    <xdr:to>
      <xdr:col>6</xdr:col>
      <xdr:colOff>161925</xdr:colOff>
      <xdr:row>122</xdr:row>
      <xdr:rowOff>0</xdr:rowOff>
    </xdr:to>
    <xdr:graphicFrame>
      <xdr:nvGraphicFramePr>
        <xdr:cNvPr id="14" name="グラフ 249"/>
        <xdr:cNvGraphicFramePr/>
      </xdr:nvGraphicFramePr>
      <xdr:xfrm>
        <a:off x="123825" y="18849975"/>
        <a:ext cx="40957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58</xdr:row>
      <xdr:rowOff>161925</xdr:rowOff>
    </xdr:from>
    <xdr:to>
      <xdr:col>6</xdr:col>
      <xdr:colOff>142875</xdr:colOff>
      <xdr:row>70</xdr:row>
      <xdr:rowOff>161925</xdr:rowOff>
    </xdr:to>
    <xdr:graphicFrame>
      <xdr:nvGraphicFramePr>
        <xdr:cNvPr id="15" name="グラフ 250"/>
        <xdr:cNvGraphicFramePr/>
      </xdr:nvGraphicFramePr>
      <xdr:xfrm>
        <a:off x="685800" y="10467975"/>
        <a:ext cx="3514725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35</xdr:row>
      <xdr:rowOff>38100</xdr:rowOff>
    </xdr:from>
    <xdr:to>
      <xdr:col>6</xdr:col>
      <xdr:colOff>466725</xdr:colOff>
      <xdr:row>35</xdr:row>
      <xdr:rowOff>47625</xdr:rowOff>
    </xdr:to>
    <xdr:sp>
      <xdr:nvSpPr>
        <xdr:cNvPr id="1" name="Line 201"/>
        <xdr:cNvSpPr>
          <a:spLocks/>
        </xdr:cNvSpPr>
      </xdr:nvSpPr>
      <xdr:spPr>
        <a:xfrm>
          <a:off x="3228975" y="6134100"/>
          <a:ext cx="12954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85725</xdr:colOff>
      <xdr:row>35</xdr:row>
      <xdr:rowOff>38100</xdr:rowOff>
    </xdr:from>
    <xdr:to>
      <xdr:col>1</xdr:col>
      <xdr:colOff>638175</xdr:colOff>
      <xdr:row>35</xdr:row>
      <xdr:rowOff>47625</xdr:rowOff>
    </xdr:to>
    <xdr:sp>
      <xdr:nvSpPr>
        <xdr:cNvPr id="2" name="Line 202"/>
        <xdr:cNvSpPr>
          <a:spLocks/>
        </xdr:cNvSpPr>
      </xdr:nvSpPr>
      <xdr:spPr>
        <a:xfrm flipH="1">
          <a:off x="85725" y="6134100"/>
          <a:ext cx="122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35</xdr:row>
      <xdr:rowOff>38100</xdr:rowOff>
    </xdr:from>
    <xdr:to>
      <xdr:col>4</xdr:col>
      <xdr:colOff>523875</xdr:colOff>
      <xdr:row>44</xdr:row>
      <xdr:rowOff>0</xdr:rowOff>
    </xdr:to>
    <xdr:sp>
      <xdr:nvSpPr>
        <xdr:cNvPr id="3" name="Freeform 203"/>
        <xdr:cNvSpPr>
          <a:spLocks/>
        </xdr:cNvSpPr>
      </xdr:nvSpPr>
      <xdr:spPr>
        <a:xfrm>
          <a:off x="1314450" y="6134100"/>
          <a:ext cx="1914525" cy="1504950"/>
        </a:xfrm>
        <a:custGeom>
          <a:pathLst>
            <a:path h="158" w="176">
              <a:moveTo>
                <a:pt x="176" y="0"/>
              </a:moveTo>
              <a:lnTo>
                <a:pt x="176" y="158"/>
              </a:lnTo>
              <a:lnTo>
                <a:pt x="0" y="158"/>
              </a:lnTo>
              <a:lnTo>
                <a:pt x="0" y="0"/>
              </a:lnTo>
              <a:lnTo>
                <a:pt x="32" y="0"/>
              </a:lnTo>
              <a:lnTo>
                <a:pt x="32" y="126"/>
              </a:lnTo>
              <a:lnTo>
                <a:pt x="144" y="126"/>
              </a:lnTo>
              <a:lnTo>
                <a:pt x="144" y="0"/>
              </a:lnTo>
              <a:lnTo>
                <a:pt x="176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95250</xdr:rowOff>
    </xdr:from>
    <xdr:to>
      <xdr:col>4</xdr:col>
      <xdr:colOff>457200</xdr:colOff>
      <xdr:row>43</xdr:row>
      <xdr:rowOff>114300</xdr:rowOff>
    </xdr:to>
    <xdr:grpSp>
      <xdr:nvGrpSpPr>
        <xdr:cNvPr id="4" name="Group 210"/>
        <xdr:cNvGrpSpPr>
          <a:grpSpLocks/>
        </xdr:cNvGrpSpPr>
      </xdr:nvGrpSpPr>
      <xdr:grpSpPr>
        <a:xfrm>
          <a:off x="1390650" y="6191250"/>
          <a:ext cx="1771650" cy="1390650"/>
          <a:chOff x="127" y="652"/>
          <a:chExt cx="163" cy="146"/>
        </a:xfrm>
        <a:solidFill>
          <a:srgbClr val="FFFFFF"/>
        </a:solidFill>
      </xdr:grpSpPr>
      <xdr:sp>
        <xdr:nvSpPr>
          <xdr:cNvPr id="5" name="Line 204"/>
          <xdr:cNvSpPr>
            <a:spLocks/>
          </xdr:cNvSpPr>
        </xdr:nvSpPr>
        <xdr:spPr>
          <a:xfrm>
            <a:off x="127" y="652"/>
            <a:ext cx="1" cy="12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Line 205"/>
          <xdr:cNvSpPr>
            <a:spLocks/>
          </xdr:cNvSpPr>
        </xdr:nvSpPr>
        <xdr:spPr>
          <a:xfrm>
            <a:off x="289" y="652"/>
            <a:ext cx="1" cy="12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Line 206"/>
          <xdr:cNvSpPr>
            <a:spLocks/>
          </xdr:cNvSpPr>
        </xdr:nvSpPr>
        <xdr:spPr>
          <a:xfrm>
            <a:off x="146" y="797"/>
            <a:ext cx="125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207"/>
          <xdr:cNvSpPr>
            <a:spLocks/>
          </xdr:cNvSpPr>
        </xdr:nvSpPr>
        <xdr:spPr>
          <a:xfrm>
            <a:off x="127" y="778"/>
            <a:ext cx="16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Freeform 208"/>
          <xdr:cNvSpPr>
            <a:spLocks/>
          </xdr:cNvSpPr>
        </xdr:nvSpPr>
        <xdr:spPr>
          <a:xfrm>
            <a:off x="271" y="778"/>
            <a:ext cx="18" cy="19"/>
          </a:xfrm>
          <a:custGeom>
            <a:pathLst>
              <a:path h="30" w="30">
                <a:moveTo>
                  <a:pt x="30" y="0"/>
                </a:moveTo>
                <a:cubicBezTo>
                  <a:pt x="30" y="17"/>
                  <a:pt x="17" y="30"/>
                  <a:pt x="0" y="30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Freeform 209"/>
          <xdr:cNvSpPr>
            <a:spLocks/>
          </xdr:cNvSpPr>
        </xdr:nvSpPr>
        <xdr:spPr>
          <a:xfrm>
            <a:off x="127" y="778"/>
            <a:ext cx="19" cy="19"/>
          </a:xfrm>
          <a:custGeom>
            <a:pathLst>
              <a:path h="30" w="30">
                <a:moveTo>
                  <a:pt x="0" y="0"/>
                </a:moveTo>
                <a:cubicBezTo>
                  <a:pt x="0" y="17"/>
                  <a:pt x="13" y="30"/>
                  <a:pt x="30" y="30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638175</xdr:colOff>
      <xdr:row>31</xdr:row>
      <xdr:rowOff>114300</xdr:rowOff>
    </xdr:from>
    <xdr:to>
      <xdr:col>1</xdr:col>
      <xdr:colOff>638175</xdr:colOff>
      <xdr:row>35</xdr:row>
      <xdr:rowOff>38100</xdr:rowOff>
    </xdr:to>
    <xdr:sp>
      <xdr:nvSpPr>
        <xdr:cNvPr id="11" name="Line 211"/>
        <xdr:cNvSpPr>
          <a:spLocks/>
        </xdr:cNvSpPr>
      </xdr:nvSpPr>
      <xdr:spPr>
        <a:xfrm flipV="1">
          <a:off x="1314450" y="55245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114300</xdr:rowOff>
    </xdr:from>
    <xdr:to>
      <xdr:col>2</xdr:col>
      <xdr:colOff>314325</xdr:colOff>
      <xdr:row>35</xdr:row>
      <xdr:rowOff>38100</xdr:rowOff>
    </xdr:to>
    <xdr:sp>
      <xdr:nvSpPr>
        <xdr:cNvPr id="12" name="Line 212"/>
        <xdr:cNvSpPr>
          <a:spLocks/>
        </xdr:cNvSpPr>
      </xdr:nvSpPr>
      <xdr:spPr>
        <a:xfrm flipV="1">
          <a:off x="1657350" y="55245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114300</xdr:rowOff>
    </xdr:from>
    <xdr:to>
      <xdr:col>4</xdr:col>
      <xdr:colOff>190500</xdr:colOff>
      <xdr:row>35</xdr:row>
      <xdr:rowOff>38100</xdr:rowOff>
    </xdr:to>
    <xdr:sp>
      <xdr:nvSpPr>
        <xdr:cNvPr id="13" name="Line 213"/>
        <xdr:cNvSpPr>
          <a:spLocks/>
        </xdr:cNvSpPr>
      </xdr:nvSpPr>
      <xdr:spPr>
        <a:xfrm flipV="1">
          <a:off x="2886075" y="55245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31</xdr:row>
      <xdr:rowOff>114300</xdr:rowOff>
    </xdr:from>
    <xdr:to>
      <xdr:col>4</xdr:col>
      <xdr:colOff>533400</xdr:colOff>
      <xdr:row>35</xdr:row>
      <xdr:rowOff>38100</xdr:rowOff>
    </xdr:to>
    <xdr:sp>
      <xdr:nvSpPr>
        <xdr:cNvPr id="14" name="Line 214"/>
        <xdr:cNvSpPr>
          <a:spLocks/>
        </xdr:cNvSpPr>
      </xdr:nvSpPr>
      <xdr:spPr>
        <a:xfrm flipV="1">
          <a:off x="3228975" y="552450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31</xdr:row>
      <xdr:rowOff>133350</xdr:rowOff>
    </xdr:from>
    <xdr:to>
      <xdr:col>2</xdr:col>
      <xdr:colOff>304800</xdr:colOff>
      <xdr:row>32</xdr:row>
      <xdr:rowOff>47625</xdr:rowOff>
    </xdr:to>
    <xdr:grpSp>
      <xdr:nvGrpSpPr>
        <xdr:cNvPr id="15" name="Group 218"/>
        <xdr:cNvGrpSpPr>
          <a:grpSpLocks/>
        </xdr:cNvGrpSpPr>
      </xdr:nvGrpSpPr>
      <xdr:grpSpPr>
        <a:xfrm>
          <a:off x="1314450" y="5543550"/>
          <a:ext cx="342900" cy="85725"/>
          <a:chOff x="120" y="584"/>
          <a:chExt cx="32" cy="9"/>
        </a:xfrm>
        <a:solidFill>
          <a:srgbClr val="FFFFFF"/>
        </a:solidFill>
      </xdr:grpSpPr>
      <xdr:sp>
        <xdr:nvSpPr>
          <xdr:cNvPr id="16" name="Line 215"/>
          <xdr:cNvSpPr>
            <a:spLocks/>
          </xdr:cNvSpPr>
        </xdr:nvSpPr>
        <xdr:spPr>
          <a:xfrm>
            <a:off x="127" y="589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Freeform 216"/>
          <xdr:cNvSpPr>
            <a:spLocks/>
          </xdr:cNvSpPr>
        </xdr:nvSpPr>
        <xdr:spPr>
          <a:xfrm>
            <a:off x="120" y="584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5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Freeform 217"/>
          <xdr:cNvSpPr>
            <a:spLocks/>
          </xdr:cNvSpPr>
        </xdr:nvSpPr>
        <xdr:spPr>
          <a:xfrm>
            <a:off x="144" y="585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31</xdr:row>
      <xdr:rowOff>133350</xdr:rowOff>
    </xdr:from>
    <xdr:to>
      <xdr:col>4</xdr:col>
      <xdr:colOff>180975</xdr:colOff>
      <xdr:row>32</xdr:row>
      <xdr:rowOff>47625</xdr:rowOff>
    </xdr:to>
    <xdr:grpSp>
      <xdr:nvGrpSpPr>
        <xdr:cNvPr id="19" name="Group 222"/>
        <xdr:cNvGrpSpPr>
          <a:grpSpLocks/>
        </xdr:cNvGrpSpPr>
      </xdr:nvGrpSpPr>
      <xdr:grpSpPr>
        <a:xfrm>
          <a:off x="1657350" y="5543550"/>
          <a:ext cx="1228725" cy="85725"/>
          <a:chOff x="152" y="584"/>
          <a:chExt cx="112" cy="9"/>
        </a:xfrm>
        <a:solidFill>
          <a:srgbClr val="FFFFFF"/>
        </a:solidFill>
      </xdr:grpSpPr>
      <xdr:sp>
        <xdr:nvSpPr>
          <xdr:cNvPr id="20" name="Line 219"/>
          <xdr:cNvSpPr>
            <a:spLocks/>
          </xdr:cNvSpPr>
        </xdr:nvSpPr>
        <xdr:spPr>
          <a:xfrm>
            <a:off x="159" y="589"/>
            <a:ext cx="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Freeform 220"/>
          <xdr:cNvSpPr>
            <a:spLocks/>
          </xdr:cNvSpPr>
        </xdr:nvSpPr>
        <xdr:spPr>
          <a:xfrm>
            <a:off x="152" y="584"/>
            <a:ext cx="8" cy="9"/>
          </a:xfrm>
          <a:custGeom>
            <a:pathLst>
              <a:path h="9" w="8">
                <a:moveTo>
                  <a:pt x="8" y="0"/>
                </a:moveTo>
                <a:lnTo>
                  <a:pt x="0" y="5"/>
                </a:lnTo>
                <a:lnTo>
                  <a:pt x="8" y="9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Freeform 221"/>
          <xdr:cNvSpPr>
            <a:spLocks/>
          </xdr:cNvSpPr>
        </xdr:nvSpPr>
        <xdr:spPr>
          <a:xfrm>
            <a:off x="256" y="585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31</xdr:row>
      <xdr:rowOff>133350</xdr:rowOff>
    </xdr:from>
    <xdr:to>
      <xdr:col>4</xdr:col>
      <xdr:colOff>523875</xdr:colOff>
      <xdr:row>32</xdr:row>
      <xdr:rowOff>47625</xdr:rowOff>
    </xdr:to>
    <xdr:grpSp>
      <xdr:nvGrpSpPr>
        <xdr:cNvPr id="23" name="Group 226"/>
        <xdr:cNvGrpSpPr>
          <a:grpSpLocks/>
        </xdr:cNvGrpSpPr>
      </xdr:nvGrpSpPr>
      <xdr:grpSpPr>
        <a:xfrm>
          <a:off x="2886075" y="5543550"/>
          <a:ext cx="342900" cy="85725"/>
          <a:chOff x="264" y="584"/>
          <a:chExt cx="32" cy="9"/>
        </a:xfrm>
        <a:solidFill>
          <a:srgbClr val="FFFFFF"/>
        </a:solidFill>
      </xdr:grpSpPr>
      <xdr:sp>
        <xdr:nvSpPr>
          <xdr:cNvPr id="24" name="Line 223"/>
          <xdr:cNvSpPr>
            <a:spLocks/>
          </xdr:cNvSpPr>
        </xdr:nvSpPr>
        <xdr:spPr>
          <a:xfrm>
            <a:off x="271" y="589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Freeform 224"/>
          <xdr:cNvSpPr>
            <a:spLocks/>
          </xdr:cNvSpPr>
        </xdr:nvSpPr>
        <xdr:spPr>
          <a:xfrm>
            <a:off x="264" y="584"/>
            <a:ext cx="9" cy="9"/>
          </a:xfrm>
          <a:custGeom>
            <a:pathLst>
              <a:path h="9" w="9">
                <a:moveTo>
                  <a:pt x="9" y="0"/>
                </a:moveTo>
                <a:lnTo>
                  <a:pt x="0" y="5"/>
                </a:lnTo>
                <a:lnTo>
                  <a:pt x="9" y="9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Freeform 225"/>
          <xdr:cNvSpPr>
            <a:spLocks/>
          </xdr:cNvSpPr>
        </xdr:nvSpPr>
        <xdr:spPr>
          <a:xfrm>
            <a:off x="288" y="585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44</xdr:row>
      <xdr:rowOff>0</xdr:rowOff>
    </xdr:from>
    <xdr:to>
      <xdr:col>1</xdr:col>
      <xdr:colOff>638175</xdr:colOff>
      <xdr:row>44</xdr:row>
      <xdr:rowOff>9525</xdr:rowOff>
    </xdr:to>
    <xdr:sp>
      <xdr:nvSpPr>
        <xdr:cNvPr id="27" name="Line 227"/>
        <xdr:cNvSpPr>
          <a:spLocks/>
        </xdr:cNvSpPr>
      </xdr:nvSpPr>
      <xdr:spPr>
        <a:xfrm flipH="1">
          <a:off x="561975" y="763905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561975</xdr:colOff>
      <xdr:row>42</xdr:row>
      <xdr:rowOff>38100</xdr:rowOff>
    </xdr:from>
    <xdr:to>
      <xdr:col>2</xdr:col>
      <xdr:colOff>238125</xdr:colOff>
      <xdr:row>42</xdr:row>
      <xdr:rowOff>47625</xdr:rowOff>
    </xdr:to>
    <xdr:sp>
      <xdr:nvSpPr>
        <xdr:cNvPr id="28" name="Line 228"/>
        <xdr:cNvSpPr>
          <a:spLocks/>
        </xdr:cNvSpPr>
      </xdr:nvSpPr>
      <xdr:spPr>
        <a:xfrm flipH="1">
          <a:off x="561975" y="7334250"/>
          <a:ext cx="1028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590550</xdr:colOff>
      <xdr:row>35</xdr:row>
      <xdr:rowOff>38100</xdr:rowOff>
    </xdr:from>
    <xdr:to>
      <xdr:col>1</xdr:col>
      <xdr:colOff>0</xdr:colOff>
      <xdr:row>42</xdr:row>
      <xdr:rowOff>38100</xdr:rowOff>
    </xdr:to>
    <xdr:grpSp>
      <xdr:nvGrpSpPr>
        <xdr:cNvPr id="29" name="Group 232"/>
        <xdr:cNvGrpSpPr>
          <a:grpSpLocks/>
        </xdr:cNvGrpSpPr>
      </xdr:nvGrpSpPr>
      <xdr:grpSpPr>
        <a:xfrm>
          <a:off x="590550" y="6134100"/>
          <a:ext cx="85725" cy="1200150"/>
          <a:chOff x="54" y="646"/>
          <a:chExt cx="8" cy="126"/>
        </a:xfrm>
        <a:solidFill>
          <a:srgbClr val="FFFFFF"/>
        </a:solidFill>
      </xdr:grpSpPr>
      <xdr:sp>
        <xdr:nvSpPr>
          <xdr:cNvPr id="30" name="Line 229"/>
          <xdr:cNvSpPr>
            <a:spLocks/>
          </xdr:cNvSpPr>
        </xdr:nvSpPr>
        <xdr:spPr>
          <a:xfrm flipV="1">
            <a:off x="58" y="653"/>
            <a:ext cx="1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" name="Freeform 230"/>
          <xdr:cNvSpPr>
            <a:spLocks/>
          </xdr:cNvSpPr>
        </xdr:nvSpPr>
        <xdr:spPr>
          <a:xfrm>
            <a:off x="54" y="764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4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Freeform 231"/>
          <xdr:cNvSpPr>
            <a:spLocks/>
          </xdr:cNvSpPr>
        </xdr:nvSpPr>
        <xdr:spPr>
          <a:xfrm>
            <a:off x="54" y="646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4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590550</xdr:colOff>
      <xdr:row>42</xdr:row>
      <xdr:rowOff>38100</xdr:rowOff>
    </xdr:from>
    <xdr:to>
      <xdr:col>1</xdr:col>
      <xdr:colOff>0</xdr:colOff>
      <xdr:row>44</xdr:row>
      <xdr:rowOff>0</xdr:rowOff>
    </xdr:to>
    <xdr:grpSp>
      <xdr:nvGrpSpPr>
        <xdr:cNvPr id="33" name="Group 236"/>
        <xdr:cNvGrpSpPr>
          <a:grpSpLocks/>
        </xdr:cNvGrpSpPr>
      </xdr:nvGrpSpPr>
      <xdr:grpSpPr>
        <a:xfrm>
          <a:off x="590550" y="7334250"/>
          <a:ext cx="85725" cy="304800"/>
          <a:chOff x="54" y="772"/>
          <a:chExt cx="8" cy="32"/>
        </a:xfrm>
        <a:solidFill>
          <a:srgbClr val="FFFFFF"/>
        </a:solidFill>
      </xdr:grpSpPr>
      <xdr:sp>
        <xdr:nvSpPr>
          <xdr:cNvPr id="34" name="Line 233"/>
          <xdr:cNvSpPr>
            <a:spLocks/>
          </xdr:cNvSpPr>
        </xdr:nvSpPr>
        <xdr:spPr>
          <a:xfrm>
            <a:off x="58" y="779"/>
            <a:ext cx="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5" name="Freeform 234"/>
          <xdr:cNvSpPr>
            <a:spLocks/>
          </xdr:cNvSpPr>
        </xdr:nvSpPr>
        <xdr:spPr>
          <a:xfrm>
            <a:off x="54" y="772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4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6" name="Freeform 235"/>
          <xdr:cNvSpPr>
            <a:spLocks/>
          </xdr:cNvSpPr>
        </xdr:nvSpPr>
        <xdr:spPr>
          <a:xfrm>
            <a:off x="54" y="795"/>
            <a:ext cx="8" cy="9"/>
          </a:xfrm>
          <a:custGeom>
            <a:pathLst>
              <a:path h="9" w="8">
                <a:moveTo>
                  <a:pt x="0" y="0"/>
                </a:moveTo>
                <a:lnTo>
                  <a:pt x="4" y="9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33</xdr:row>
      <xdr:rowOff>19050</xdr:rowOff>
    </xdr:from>
    <xdr:to>
      <xdr:col>2</xdr:col>
      <xdr:colOff>38100</xdr:colOff>
      <xdr:row>35</xdr:row>
      <xdr:rowOff>38100</xdr:rowOff>
    </xdr:to>
    <xdr:sp>
      <xdr:nvSpPr>
        <xdr:cNvPr id="37" name="Line 237"/>
        <xdr:cNvSpPr>
          <a:spLocks/>
        </xdr:cNvSpPr>
      </xdr:nvSpPr>
      <xdr:spPr>
        <a:xfrm flipV="1">
          <a:off x="1390650" y="5772150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33</xdr:row>
      <xdr:rowOff>38100</xdr:rowOff>
    </xdr:from>
    <xdr:to>
      <xdr:col>1</xdr:col>
      <xdr:colOff>638175</xdr:colOff>
      <xdr:row>33</xdr:row>
      <xdr:rowOff>114300</xdr:rowOff>
    </xdr:to>
    <xdr:grpSp>
      <xdr:nvGrpSpPr>
        <xdr:cNvPr id="38" name="Group 240"/>
        <xdr:cNvGrpSpPr>
          <a:grpSpLocks/>
        </xdr:cNvGrpSpPr>
      </xdr:nvGrpSpPr>
      <xdr:grpSpPr>
        <a:xfrm>
          <a:off x="1038225" y="5791200"/>
          <a:ext cx="266700" cy="76200"/>
          <a:chOff x="95" y="610"/>
          <a:chExt cx="25" cy="8"/>
        </a:xfrm>
        <a:solidFill>
          <a:srgbClr val="FFFFFF"/>
        </a:solidFill>
      </xdr:grpSpPr>
      <xdr:sp>
        <xdr:nvSpPr>
          <xdr:cNvPr id="39" name="Line 238"/>
          <xdr:cNvSpPr>
            <a:spLocks/>
          </xdr:cNvSpPr>
        </xdr:nvSpPr>
        <xdr:spPr>
          <a:xfrm>
            <a:off x="95" y="614"/>
            <a:ext cx="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0" name="Freeform 239"/>
          <xdr:cNvSpPr>
            <a:spLocks/>
          </xdr:cNvSpPr>
        </xdr:nvSpPr>
        <xdr:spPr>
          <a:xfrm>
            <a:off x="112" y="610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33</xdr:row>
      <xdr:rowOff>38100</xdr:rowOff>
    </xdr:from>
    <xdr:to>
      <xdr:col>2</xdr:col>
      <xdr:colOff>247650</xdr:colOff>
      <xdr:row>33</xdr:row>
      <xdr:rowOff>114300</xdr:rowOff>
    </xdr:to>
    <xdr:grpSp>
      <xdr:nvGrpSpPr>
        <xdr:cNvPr id="41" name="Group 243"/>
        <xdr:cNvGrpSpPr>
          <a:grpSpLocks/>
        </xdr:cNvGrpSpPr>
      </xdr:nvGrpSpPr>
      <xdr:grpSpPr>
        <a:xfrm>
          <a:off x="1390650" y="5791200"/>
          <a:ext cx="209550" cy="76200"/>
          <a:chOff x="127" y="610"/>
          <a:chExt cx="19" cy="8"/>
        </a:xfrm>
        <a:solidFill>
          <a:srgbClr val="FFFFFF"/>
        </a:solidFill>
      </xdr:grpSpPr>
      <xdr:sp>
        <xdr:nvSpPr>
          <xdr:cNvPr id="42" name="Line 241"/>
          <xdr:cNvSpPr>
            <a:spLocks/>
          </xdr:cNvSpPr>
        </xdr:nvSpPr>
        <xdr:spPr>
          <a:xfrm flipH="1">
            <a:off x="134" y="614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Freeform 242"/>
          <xdr:cNvSpPr>
            <a:spLocks/>
          </xdr:cNvSpPr>
        </xdr:nvSpPr>
        <xdr:spPr>
          <a:xfrm>
            <a:off x="127" y="610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4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42</xdr:row>
      <xdr:rowOff>95250</xdr:rowOff>
    </xdr:from>
    <xdr:to>
      <xdr:col>5</xdr:col>
      <xdr:colOff>361950</xdr:colOff>
      <xdr:row>43</xdr:row>
      <xdr:rowOff>104775</xdr:rowOff>
    </xdr:to>
    <xdr:grpSp>
      <xdr:nvGrpSpPr>
        <xdr:cNvPr id="44" name="Group 248"/>
        <xdr:cNvGrpSpPr>
          <a:grpSpLocks/>
        </xdr:cNvGrpSpPr>
      </xdr:nvGrpSpPr>
      <xdr:grpSpPr>
        <a:xfrm>
          <a:off x="3648075" y="7391400"/>
          <a:ext cx="95250" cy="180975"/>
          <a:chOff x="335" y="778"/>
          <a:chExt cx="8" cy="19"/>
        </a:xfrm>
        <a:solidFill>
          <a:srgbClr val="FFFFFF"/>
        </a:solidFill>
      </xdr:grpSpPr>
      <xdr:sp>
        <xdr:nvSpPr>
          <xdr:cNvPr id="45" name="Line 246"/>
          <xdr:cNvSpPr>
            <a:spLocks/>
          </xdr:cNvSpPr>
        </xdr:nvSpPr>
        <xdr:spPr>
          <a:xfrm>
            <a:off x="339" y="778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Freeform 247"/>
          <xdr:cNvSpPr>
            <a:spLocks/>
          </xdr:cNvSpPr>
        </xdr:nvSpPr>
        <xdr:spPr>
          <a:xfrm>
            <a:off x="335" y="789"/>
            <a:ext cx="8" cy="8"/>
          </a:xfrm>
          <a:custGeom>
            <a:pathLst>
              <a:path h="8" w="8">
                <a:moveTo>
                  <a:pt x="0" y="0"/>
                </a:moveTo>
                <a:lnTo>
                  <a:pt x="4" y="8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44</xdr:row>
      <xdr:rowOff>0</xdr:rowOff>
    </xdr:from>
    <xdr:to>
      <xdr:col>5</xdr:col>
      <xdr:colOff>371475</xdr:colOff>
      <xdr:row>45</xdr:row>
      <xdr:rowOff>9525</xdr:rowOff>
    </xdr:to>
    <xdr:grpSp>
      <xdr:nvGrpSpPr>
        <xdr:cNvPr id="47" name="Group 251"/>
        <xdr:cNvGrpSpPr>
          <a:grpSpLocks/>
        </xdr:cNvGrpSpPr>
      </xdr:nvGrpSpPr>
      <xdr:grpSpPr>
        <a:xfrm>
          <a:off x="3667125" y="7639050"/>
          <a:ext cx="85725" cy="180975"/>
          <a:chOff x="336" y="804"/>
          <a:chExt cx="8" cy="19"/>
        </a:xfrm>
        <a:solidFill>
          <a:srgbClr val="FFFFFF"/>
        </a:solidFill>
      </xdr:grpSpPr>
      <xdr:sp>
        <xdr:nvSpPr>
          <xdr:cNvPr id="48" name="Line 249"/>
          <xdr:cNvSpPr>
            <a:spLocks/>
          </xdr:cNvSpPr>
        </xdr:nvSpPr>
        <xdr:spPr>
          <a:xfrm flipV="1">
            <a:off x="339" y="811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Freeform 250"/>
          <xdr:cNvSpPr>
            <a:spLocks/>
          </xdr:cNvSpPr>
        </xdr:nvSpPr>
        <xdr:spPr>
          <a:xfrm>
            <a:off x="336" y="804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3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41</xdr:row>
      <xdr:rowOff>38100</xdr:rowOff>
    </xdr:from>
    <xdr:to>
      <xdr:col>5</xdr:col>
      <xdr:colOff>361950</xdr:colOff>
      <xdr:row>42</xdr:row>
      <xdr:rowOff>47625</xdr:rowOff>
    </xdr:to>
    <xdr:grpSp>
      <xdr:nvGrpSpPr>
        <xdr:cNvPr id="50" name="Group 265"/>
        <xdr:cNvGrpSpPr>
          <a:grpSpLocks/>
        </xdr:cNvGrpSpPr>
      </xdr:nvGrpSpPr>
      <xdr:grpSpPr>
        <a:xfrm>
          <a:off x="3648075" y="7162800"/>
          <a:ext cx="104775" cy="180975"/>
          <a:chOff x="334" y="754"/>
          <a:chExt cx="9" cy="19"/>
        </a:xfrm>
        <a:solidFill>
          <a:srgbClr val="FFFFFF"/>
        </a:solidFill>
      </xdr:grpSpPr>
      <xdr:sp>
        <xdr:nvSpPr>
          <xdr:cNvPr id="51" name="Line 263"/>
          <xdr:cNvSpPr>
            <a:spLocks/>
          </xdr:cNvSpPr>
        </xdr:nvSpPr>
        <xdr:spPr>
          <a:xfrm>
            <a:off x="339" y="754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Freeform 264"/>
          <xdr:cNvSpPr>
            <a:spLocks/>
          </xdr:cNvSpPr>
        </xdr:nvSpPr>
        <xdr:spPr>
          <a:xfrm>
            <a:off x="334" y="764"/>
            <a:ext cx="9" cy="9"/>
          </a:xfrm>
          <a:custGeom>
            <a:pathLst>
              <a:path h="9" w="9">
                <a:moveTo>
                  <a:pt x="0" y="0"/>
                </a:moveTo>
                <a:lnTo>
                  <a:pt x="5" y="9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42</xdr:row>
      <xdr:rowOff>95250</xdr:rowOff>
    </xdr:from>
    <xdr:to>
      <xdr:col>5</xdr:col>
      <xdr:colOff>371475</xdr:colOff>
      <xdr:row>43</xdr:row>
      <xdr:rowOff>104775</xdr:rowOff>
    </xdr:to>
    <xdr:grpSp>
      <xdr:nvGrpSpPr>
        <xdr:cNvPr id="53" name="Group 268"/>
        <xdr:cNvGrpSpPr>
          <a:grpSpLocks/>
        </xdr:cNvGrpSpPr>
      </xdr:nvGrpSpPr>
      <xdr:grpSpPr>
        <a:xfrm>
          <a:off x="3667125" y="7391400"/>
          <a:ext cx="85725" cy="180975"/>
          <a:chOff x="336" y="778"/>
          <a:chExt cx="8" cy="19"/>
        </a:xfrm>
        <a:solidFill>
          <a:srgbClr val="FFFFFF"/>
        </a:solidFill>
      </xdr:grpSpPr>
      <xdr:sp>
        <xdr:nvSpPr>
          <xdr:cNvPr id="54" name="Line 266"/>
          <xdr:cNvSpPr>
            <a:spLocks/>
          </xdr:cNvSpPr>
        </xdr:nvSpPr>
        <xdr:spPr>
          <a:xfrm flipV="1">
            <a:off x="339" y="785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Freeform 267"/>
          <xdr:cNvSpPr>
            <a:spLocks/>
          </xdr:cNvSpPr>
        </xdr:nvSpPr>
        <xdr:spPr>
          <a:xfrm>
            <a:off x="336" y="778"/>
            <a:ext cx="8" cy="8"/>
          </a:xfrm>
          <a:custGeom>
            <a:pathLst>
              <a:path h="8" w="8">
                <a:moveTo>
                  <a:pt x="8" y="8"/>
                </a:moveTo>
                <a:lnTo>
                  <a:pt x="3" y="0"/>
                </a:lnTo>
                <a:lnTo>
                  <a:pt x="0" y="8"/>
                </a:lnTo>
                <a:lnTo>
                  <a:pt x="8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409575</xdr:colOff>
      <xdr:row>32</xdr:row>
      <xdr:rowOff>123825</xdr:rowOff>
    </xdr:from>
    <xdr:to>
      <xdr:col>8</xdr:col>
      <xdr:colOff>219075</xdr:colOff>
      <xdr:row>35</xdr:row>
      <xdr:rowOff>47625</xdr:rowOff>
    </xdr:to>
    <xdr:sp>
      <xdr:nvSpPr>
        <xdr:cNvPr id="56" name="Oval 269"/>
        <xdr:cNvSpPr>
          <a:spLocks/>
        </xdr:cNvSpPr>
      </xdr:nvSpPr>
      <xdr:spPr>
        <a:xfrm>
          <a:off x="5143500" y="5705475"/>
          <a:ext cx="485775" cy="4381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32</xdr:row>
      <xdr:rowOff>123825</xdr:rowOff>
    </xdr:from>
    <xdr:to>
      <xdr:col>5</xdr:col>
      <xdr:colOff>266700</xdr:colOff>
      <xdr:row>35</xdr:row>
      <xdr:rowOff>47625</xdr:rowOff>
    </xdr:to>
    <xdr:grpSp>
      <xdr:nvGrpSpPr>
        <xdr:cNvPr id="57" name="Group 306"/>
        <xdr:cNvGrpSpPr>
          <a:grpSpLocks/>
        </xdr:cNvGrpSpPr>
      </xdr:nvGrpSpPr>
      <xdr:grpSpPr>
        <a:xfrm>
          <a:off x="3228975" y="5705475"/>
          <a:ext cx="419100" cy="438150"/>
          <a:chOff x="296" y="601"/>
          <a:chExt cx="39" cy="46"/>
        </a:xfrm>
        <a:solidFill>
          <a:srgbClr val="FFFFFF"/>
        </a:solidFill>
      </xdr:grpSpPr>
      <xdr:grpSp>
        <xdr:nvGrpSpPr>
          <xdr:cNvPr id="58" name="Group 287"/>
          <xdr:cNvGrpSpPr>
            <a:grpSpLocks/>
          </xdr:cNvGrpSpPr>
        </xdr:nvGrpSpPr>
        <xdr:grpSpPr>
          <a:xfrm>
            <a:off x="296" y="601"/>
            <a:ext cx="19" cy="46"/>
            <a:chOff x="296" y="601"/>
            <a:chExt cx="19" cy="46"/>
          </a:xfrm>
          <a:solidFill>
            <a:srgbClr val="FFFFFF"/>
          </a:solidFill>
        </xdr:grpSpPr>
        <xdr:sp>
          <xdr:nvSpPr>
            <xdr:cNvPr id="59" name="Freeform 270"/>
            <xdr:cNvSpPr>
              <a:spLocks/>
            </xdr:cNvSpPr>
          </xdr:nvSpPr>
          <xdr:spPr>
            <a:xfrm>
              <a:off x="296" y="601"/>
              <a:ext cx="18" cy="45"/>
            </a:xfrm>
            <a:custGeom>
              <a:pathLst>
                <a:path h="45" w="18">
                  <a:moveTo>
                    <a:pt x="0" y="7"/>
                  </a:moveTo>
                  <a:lnTo>
                    <a:pt x="6" y="0"/>
                  </a:lnTo>
                  <a:lnTo>
                    <a:pt x="12" y="0"/>
                  </a:lnTo>
                  <a:lnTo>
                    <a:pt x="12" y="6"/>
                  </a:lnTo>
                  <a:lnTo>
                    <a:pt x="18" y="6"/>
                  </a:lnTo>
                  <a:lnTo>
                    <a:pt x="18" y="38"/>
                  </a:lnTo>
                  <a:lnTo>
                    <a:pt x="12" y="38"/>
                  </a:lnTo>
                  <a:lnTo>
                    <a:pt x="12" y="45"/>
                  </a:lnTo>
                  <a:lnTo>
                    <a:pt x="6" y="45"/>
                  </a:lnTo>
                  <a:lnTo>
                    <a:pt x="6" y="38"/>
                  </a:lnTo>
                  <a:lnTo>
                    <a:pt x="0" y="38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60" name="Group 273"/>
            <xdr:cNvGrpSpPr>
              <a:grpSpLocks/>
            </xdr:cNvGrpSpPr>
          </xdr:nvGrpSpPr>
          <xdr:grpSpPr>
            <a:xfrm>
              <a:off x="308" y="601"/>
              <a:ext cx="6" cy="7"/>
              <a:chOff x="308" y="601"/>
              <a:chExt cx="6" cy="7"/>
            </a:xfrm>
            <a:solidFill>
              <a:srgbClr val="FFFFFF"/>
            </a:solidFill>
          </xdr:grpSpPr>
          <xdr:sp>
            <xdr:nvSpPr>
              <xdr:cNvPr id="61" name="Freeform 271"/>
              <xdr:cNvSpPr>
                <a:spLocks/>
              </xdr:cNvSpPr>
            </xdr:nvSpPr>
            <xdr:spPr>
              <a:xfrm>
                <a:off x="308" y="601"/>
                <a:ext cx="6" cy="7"/>
              </a:xfrm>
              <a:custGeom>
                <a:pathLst>
                  <a:path h="10" w="10">
                    <a:moveTo>
                      <a:pt x="0" y="0"/>
                    </a:moveTo>
                    <a:cubicBezTo>
                      <a:pt x="6" y="0"/>
                      <a:pt x="10" y="4"/>
                      <a:pt x="10" y="10"/>
                    </a:cubicBezTo>
                    <a:lnTo>
                      <a:pt x="0" y="1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2" name="Freeform 272"/>
              <xdr:cNvSpPr>
                <a:spLocks/>
              </xdr:cNvSpPr>
            </xdr:nvSpPr>
            <xdr:spPr>
              <a:xfrm>
                <a:off x="308" y="601"/>
                <a:ext cx="6" cy="7"/>
              </a:xfrm>
              <a:custGeom>
                <a:pathLst>
                  <a:path h="10" w="10">
                    <a:moveTo>
                      <a:pt x="0" y="0"/>
                    </a:moveTo>
                    <a:cubicBezTo>
                      <a:pt x="6" y="0"/>
                      <a:pt x="10" y="4"/>
                      <a:pt x="10" y="1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63" name="Group 276"/>
            <xdr:cNvGrpSpPr>
              <a:grpSpLocks/>
            </xdr:cNvGrpSpPr>
          </xdr:nvGrpSpPr>
          <xdr:grpSpPr>
            <a:xfrm>
              <a:off x="296" y="601"/>
              <a:ext cx="6" cy="7"/>
              <a:chOff x="296" y="601"/>
              <a:chExt cx="6" cy="7"/>
            </a:xfrm>
            <a:solidFill>
              <a:srgbClr val="FFFFFF"/>
            </a:solidFill>
          </xdr:grpSpPr>
          <xdr:sp>
            <xdr:nvSpPr>
              <xdr:cNvPr id="64" name="Freeform 274"/>
              <xdr:cNvSpPr>
                <a:spLocks/>
              </xdr:cNvSpPr>
            </xdr:nvSpPr>
            <xdr:spPr>
              <a:xfrm>
                <a:off x="296" y="601"/>
                <a:ext cx="6" cy="7"/>
              </a:xfrm>
              <a:custGeom>
                <a:pathLst>
                  <a:path h="10" w="10">
                    <a:moveTo>
                      <a:pt x="10" y="0"/>
                    </a:moveTo>
                    <a:cubicBezTo>
                      <a:pt x="4" y="0"/>
                      <a:pt x="0" y="4"/>
                      <a:pt x="0" y="10"/>
                    </a:cubicBezTo>
                    <a:lnTo>
                      <a:pt x="10" y="10"/>
                    </a:lnTo>
                    <a:lnTo>
                      <a:pt x="10" y="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5" name="Freeform 275"/>
              <xdr:cNvSpPr>
                <a:spLocks/>
              </xdr:cNvSpPr>
            </xdr:nvSpPr>
            <xdr:spPr>
              <a:xfrm>
                <a:off x="296" y="601"/>
                <a:ext cx="6" cy="7"/>
              </a:xfrm>
              <a:custGeom>
                <a:pathLst>
                  <a:path h="10" w="10">
                    <a:moveTo>
                      <a:pt x="10" y="0"/>
                    </a:moveTo>
                    <a:cubicBezTo>
                      <a:pt x="4" y="0"/>
                      <a:pt x="0" y="4"/>
                      <a:pt x="0" y="1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66" name="Group 279"/>
            <xdr:cNvGrpSpPr>
              <a:grpSpLocks/>
            </xdr:cNvGrpSpPr>
          </xdr:nvGrpSpPr>
          <xdr:grpSpPr>
            <a:xfrm>
              <a:off x="308" y="639"/>
              <a:ext cx="6" cy="7"/>
              <a:chOff x="308" y="639"/>
              <a:chExt cx="6" cy="7"/>
            </a:xfrm>
            <a:solidFill>
              <a:srgbClr val="FFFFFF"/>
            </a:solidFill>
          </xdr:grpSpPr>
          <xdr:sp>
            <xdr:nvSpPr>
              <xdr:cNvPr id="67" name="Freeform 277"/>
              <xdr:cNvSpPr>
                <a:spLocks/>
              </xdr:cNvSpPr>
            </xdr:nvSpPr>
            <xdr:spPr>
              <a:xfrm>
                <a:off x="308" y="639"/>
                <a:ext cx="6" cy="7"/>
              </a:xfrm>
              <a:custGeom>
                <a:pathLst>
                  <a:path h="10" w="10">
                    <a:moveTo>
                      <a:pt x="0" y="10"/>
                    </a:moveTo>
                    <a:cubicBezTo>
                      <a:pt x="6" y="10"/>
                      <a:pt x="10" y="6"/>
                      <a:pt x="10" y="0"/>
                    </a:cubicBezTo>
                    <a:lnTo>
                      <a:pt x="0" y="0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8" name="Freeform 278"/>
              <xdr:cNvSpPr>
                <a:spLocks/>
              </xdr:cNvSpPr>
            </xdr:nvSpPr>
            <xdr:spPr>
              <a:xfrm>
                <a:off x="308" y="639"/>
                <a:ext cx="6" cy="7"/>
              </a:xfrm>
              <a:custGeom>
                <a:pathLst>
                  <a:path h="10" w="10">
                    <a:moveTo>
                      <a:pt x="0" y="10"/>
                    </a:moveTo>
                    <a:cubicBezTo>
                      <a:pt x="6" y="10"/>
                      <a:pt x="10" y="6"/>
                      <a:pt x="10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69" name="Group 282"/>
            <xdr:cNvGrpSpPr>
              <a:grpSpLocks/>
            </xdr:cNvGrpSpPr>
          </xdr:nvGrpSpPr>
          <xdr:grpSpPr>
            <a:xfrm>
              <a:off x="296" y="639"/>
              <a:ext cx="6" cy="7"/>
              <a:chOff x="296" y="639"/>
              <a:chExt cx="6" cy="7"/>
            </a:xfrm>
            <a:solidFill>
              <a:srgbClr val="FFFFFF"/>
            </a:solidFill>
          </xdr:grpSpPr>
          <xdr:sp>
            <xdr:nvSpPr>
              <xdr:cNvPr id="70" name="Freeform 280"/>
              <xdr:cNvSpPr>
                <a:spLocks/>
              </xdr:cNvSpPr>
            </xdr:nvSpPr>
            <xdr:spPr>
              <a:xfrm>
                <a:off x="296" y="639"/>
                <a:ext cx="6" cy="7"/>
              </a:xfrm>
              <a:custGeom>
                <a:pathLst>
                  <a:path h="10" w="10">
                    <a:moveTo>
                      <a:pt x="10" y="10"/>
                    </a:moveTo>
                    <a:cubicBezTo>
                      <a:pt x="4" y="10"/>
                      <a:pt x="0" y="6"/>
                      <a:pt x="0" y="0"/>
                    </a:cubicBezTo>
                    <a:lnTo>
                      <a:pt x="10" y="0"/>
                    </a:lnTo>
                    <a:lnTo>
                      <a:pt x="10" y="1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1" name="Freeform 281"/>
              <xdr:cNvSpPr>
                <a:spLocks/>
              </xdr:cNvSpPr>
            </xdr:nvSpPr>
            <xdr:spPr>
              <a:xfrm>
                <a:off x="296" y="639"/>
                <a:ext cx="6" cy="7"/>
              </a:xfrm>
              <a:custGeom>
                <a:pathLst>
                  <a:path h="10" w="10">
                    <a:moveTo>
                      <a:pt x="10" y="10"/>
                    </a:moveTo>
                    <a:cubicBezTo>
                      <a:pt x="4" y="10"/>
                      <a:pt x="0" y="6"/>
                      <a:pt x="0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72" name="Line 283"/>
            <xdr:cNvSpPr>
              <a:spLocks/>
            </xdr:cNvSpPr>
          </xdr:nvSpPr>
          <xdr:spPr>
            <a:xfrm>
              <a:off x="296" y="608"/>
              <a:ext cx="1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3" name="Line 284"/>
            <xdr:cNvSpPr>
              <a:spLocks/>
            </xdr:cNvSpPr>
          </xdr:nvSpPr>
          <xdr:spPr>
            <a:xfrm>
              <a:off x="314" y="608"/>
              <a:ext cx="1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4" name="Line 285"/>
            <xdr:cNvSpPr>
              <a:spLocks/>
            </xdr:cNvSpPr>
          </xdr:nvSpPr>
          <xdr:spPr>
            <a:xfrm>
              <a:off x="302" y="601"/>
              <a:ext cx="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5" name="Line 286"/>
            <xdr:cNvSpPr>
              <a:spLocks/>
            </xdr:cNvSpPr>
          </xdr:nvSpPr>
          <xdr:spPr>
            <a:xfrm>
              <a:off x="302" y="646"/>
              <a:ext cx="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76" name="Group 305"/>
          <xdr:cNvGrpSpPr>
            <a:grpSpLocks/>
          </xdr:cNvGrpSpPr>
        </xdr:nvGrpSpPr>
        <xdr:grpSpPr>
          <a:xfrm>
            <a:off x="316" y="601"/>
            <a:ext cx="19" cy="46"/>
            <a:chOff x="316" y="601"/>
            <a:chExt cx="19" cy="46"/>
          </a:xfrm>
          <a:solidFill>
            <a:srgbClr val="FFFFFF"/>
          </a:solidFill>
        </xdr:grpSpPr>
        <xdr:sp>
          <xdr:nvSpPr>
            <xdr:cNvPr id="77" name="Freeform 288"/>
            <xdr:cNvSpPr>
              <a:spLocks/>
            </xdr:cNvSpPr>
          </xdr:nvSpPr>
          <xdr:spPr>
            <a:xfrm>
              <a:off x="316" y="601"/>
              <a:ext cx="18" cy="45"/>
            </a:xfrm>
            <a:custGeom>
              <a:pathLst>
                <a:path h="45" w="18">
                  <a:moveTo>
                    <a:pt x="0" y="7"/>
                  </a:moveTo>
                  <a:lnTo>
                    <a:pt x="6" y="0"/>
                  </a:lnTo>
                  <a:lnTo>
                    <a:pt x="12" y="0"/>
                  </a:lnTo>
                  <a:lnTo>
                    <a:pt x="12" y="6"/>
                  </a:lnTo>
                  <a:lnTo>
                    <a:pt x="18" y="6"/>
                  </a:lnTo>
                  <a:lnTo>
                    <a:pt x="18" y="38"/>
                  </a:lnTo>
                  <a:lnTo>
                    <a:pt x="12" y="38"/>
                  </a:lnTo>
                  <a:lnTo>
                    <a:pt x="12" y="45"/>
                  </a:lnTo>
                  <a:lnTo>
                    <a:pt x="6" y="45"/>
                  </a:lnTo>
                  <a:lnTo>
                    <a:pt x="6" y="38"/>
                  </a:lnTo>
                  <a:lnTo>
                    <a:pt x="0" y="38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78" name="Group 291"/>
            <xdr:cNvGrpSpPr>
              <a:grpSpLocks/>
            </xdr:cNvGrpSpPr>
          </xdr:nvGrpSpPr>
          <xdr:grpSpPr>
            <a:xfrm>
              <a:off x="328" y="601"/>
              <a:ext cx="6" cy="7"/>
              <a:chOff x="328" y="601"/>
              <a:chExt cx="6" cy="7"/>
            </a:xfrm>
            <a:solidFill>
              <a:srgbClr val="FFFFFF"/>
            </a:solidFill>
          </xdr:grpSpPr>
          <xdr:sp>
            <xdr:nvSpPr>
              <xdr:cNvPr id="79" name="Freeform 289"/>
              <xdr:cNvSpPr>
                <a:spLocks/>
              </xdr:cNvSpPr>
            </xdr:nvSpPr>
            <xdr:spPr>
              <a:xfrm>
                <a:off x="328" y="601"/>
                <a:ext cx="6" cy="7"/>
              </a:xfrm>
              <a:custGeom>
                <a:pathLst>
                  <a:path h="10" w="10">
                    <a:moveTo>
                      <a:pt x="0" y="0"/>
                    </a:moveTo>
                    <a:cubicBezTo>
                      <a:pt x="6" y="0"/>
                      <a:pt x="10" y="4"/>
                      <a:pt x="10" y="10"/>
                    </a:cubicBezTo>
                    <a:lnTo>
                      <a:pt x="0" y="1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0" name="Freeform 290"/>
              <xdr:cNvSpPr>
                <a:spLocks/>
              </xdr:cNvSpPr>
            </xdr:nvSpPr>
            <xdr:spPr>
              <a:xfrm>
                <a:off x="328" y="601"/>
                <a:ext cx="6" cy="7"/>
              </a:xfrm>
              <a:custGeom>
                <a:pathLst>
                  <a:path h="10" w="10">
                    <a:moveTo>
                      <a:pt x="0" y="0"/>
                    </a:moveTo>
                    <a:cubicBezTo>
                      <a:pt x="6" y="0"/>
                      <a:pt x="10" y="4"/>
                      <a:pt x="10" y="1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81" name="Group 294"/>
            <xdr:cNvGrpSpPr>
              <a:grpSpLocks/>
            </xdr:cNvGrpSpPr>
          </xdr:nvGrpSpPr>
          <xdr:grpSpPr>
            <a:xfrm>
              <a:off x="316" y="601"/>
              <a:ext cx="7" cy="7"/>
              <a:chOff x="316" y="601"/>
              <a:chExt cx="7" cy="7"/>
            </a:xfrm>
            <a:solidFill>
              <a:srgbClr val="FFFFFF"/>
            </a:solidFill>
          </xdr:grpSpPr>
          <xdr:sp>
            <xdr:nvSpPr>
              <xdr:cNvPr id="82" name="Freeform 292"/>
              <xdr:cNvSpPr>
                <a:spLocks/>
              </xdr:cNvSpPr>
            </xdr:nvSpPr>
            <xdr:spPr>
              <a:xfrm>
                <a:off x="316" y="601"/>
                <a:ext cx="7" cy="7"/>
              </a:xfrm>
              <a:custGeom>
                <a:pathLst>
                  <a:path h="10" w="11">
                    <a:moveTo>
                      <a:pt x="11" y="0"/>
                    </a:moveTo>
                    <a:cubicBezTo>
                      <a:pt x="5" y="0"/>
                      <a:pt x="0" y="4"/>
                      <a:pt x="0" y="10"/>
                    </a:cubicBezTo>
                    <a:lnTo>
                      <a:pt x="10" y="10"/>
                    </a:lnTo>
                    <a:lnTo>
                      <a:pt x="11" y="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3" name="Freeform 293"/>
              <xdr:cNvSpPr>
                <a:spLocks/>
              </xdr:cNvSpPr>
            </xdr:nvSpPr>
            <xdr:spPr>
              <a:xfrm>
                <a:off x="316" y="601"/>
                <a:ext cx="7" cy="7"/>
              </a:xfrm>
              <a:custGeom>
                <a:pathLst>
                  <a:path h="10" w="11">
                    <a:moveTo>
                      <a:pt x="11" y="0"/>
                    </a:moveTo>
                    <a:cubicBezTo>
                      <a:pt x="5" y="0"/>
                      <a:pt x="0" y="4"/>
                      <a:pt x="0" y="1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84" name="Group 297"/>
            <xdr:cNvGrpSpPr>
              <a:grpSpLocks/>
            </xdr:cNvGrpSpPr>
          </xdr:nvGrpSpPr>
          <xdr:grpSpPr>
            <a:xfrm>
              <a:off x="328" y="639"/>
              <a:ext cx="6" cy="7"/>
              <a:chOff x="328" y="639"/>
              <a:chExt cx="6" cy="7"/>
            </a:xfrm>
            <a:solidFill>
              <a:srgbClr val="FFFFFF"/>
            </a:solidFill>
          </xdr:grpSpPr>
          <xdr:sp>
            <xdr:nvSpPr>
              <xdr:cNvPr id="85" name="Freeform 295"/>
              <xdr:cNvSpPr>
                <a:spLocks/>
              </xdr:cNvSpPr>
            </xdr:nvSpPr>
            <xdr:spPr>
              <a:xfrm>
                <a:off x="328" y="639"/>
                <a:ext cx="6" cy="7"/>
              </a:xfrm>
              <a:custGeom>
                <a:pathLst>
                  <a:path h="10" w="10">
                    <a:moveTo>
                      <a:pt x="0" y="10"/>
                    </a:moveTo>
                    <a:cubicBezTo>
                      <a:pt x="6" y="10"/>
                      <a:pt x="10" y="6"/>
                      <a:pt x="10" y="0"/>
                    </a:cubicBezTo>
                    <a:lnTo>
                      <a:pt x="0" y="0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6" name="Freeform 296"/>
              <xdr:cNvSpPr>
                <a:spLocks/>
              </xdr:cNvSpPr>
            </xdr:nvSpPr>
            <xdr:spPr>
              <a:xfrm>
                <a:off x="328" y="639"/>
                <a:ext cx="6" cy="7"/>
              </a:xfrm>
              <a:custGeom>
                <a:pathLst>
                  <a:path h="10" w="10">
                    <a:moveTo>
                      <a:pt x="0" y="10"/>
                    </a:moveTo>
                    <a:cubicBezTo>
                      <a:pt x="6" y="10"/>
                      <a:pt x="10" y="6"/>
                      <a:pt x="10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grpSp>
          <xdr:nvGrpSpPr>
            <xdr:cNvPr id="87" name="Group 300"/>
            <xdr:cNvGrpSpPr>
              <a:grpSpLocks/>
            </xdr:cNvGrpSpPr>
          </xdr:nvGrpSpPr>
          <xdr:grpSpPr>
            <a:xfrm>
              <a:off x="316" y="639"/>
              <a:ext cx="7" cy="7"/>
              <a:chOff x="316" y="639"/>
              <a:chExt cx="7" cy="7"/>
            </a:xfrm>
            <a:solidFill>
              <a:srgbClr val="FFFFFF"/>
            </a:solidFill>
          </xdr:grpSpPr>
          <xdr:sp>
            <xdr:nvSpPr>
              <xdr:cNvPr id="88" name="Freeform 298"/>
              <xdr:cNvSpPr>
                <a:spLocks/>
              </xdr:cNvSpPr>
            </xdr:nvSpPr>
            <xdr:spPr>
              <a:xfrm>
                <a:off x="316" y="639"/>
                <a:ext cx="7" cy="7"/>
              </a:xfrm>
              <a:custGeom>
                <a:pathLst>
                  <a:path h="10" w="11">
                    <a:moveTo>
                      <a:pt x="11" y="10"/>
                    </a:moveTo>
                    <a:cubicBezTo>
                      <a:pt x="5" y="10"/>
                      <a:pt x="0" y="6"/>
                      <a:pt x="0" y="0"/>
                    </a:cubicBezTo>
                    <a:lnTo>
                      <a:pt x="10" y="0"/>
                    </a:lnTo>
                    <a:lnTo>
                      <a:pt x="11" y="10"/>
                    </a:lnTo>
                    <a:close/>
                  </a:path>
                </a:pathLst>
              </a:custGeom>
              <a:solidFill>
                <a:srgbClr val="80808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9" name="Freeform 299"/>
              <xdr:cNvSpPr>
                <a:spLocks/>
              </xdr:cNvSpPr>
            </xdr:nvSpPr>
            <xdr:spPr>
              <a:xfrm>
                <a:off x="316" y="639"/>
                <a:ext cx="7" cy="7"/>
              </a:xfrm>
              <a:custGeom>
                <a:pathLst>
                  <a:path h="10" w="11">
                    <a:moveTo>
                      <a:pt x="11" y="10"/>
                    </a:moveTo>
                    <a:cubicBezTo>
                      <a:pt x="5" y="10"/>
                      <a:pt x="0" y="6"/>
                      <a:pt x="0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90" name="Line 301"/>
            <xdr:cNvSpPr>
              <a:spLocks/>
            </xdr:cNvSpPr>
          </xdr:nvSpPr>
          <xdr:spPr>
            <a:xfrm>
              <a:off x="316" y="608"/>
              <a:ext cx="1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1" name="Line 302"/>
            <xdr:cNvSpPr>
              <a:spLocks/>
            </xdr:cNvSpPr>
          </xdr:nvSpPr>
          <xdr:spPr>
            <a:xfrm>
              <a:off x="334" y="608"/>
              <a:ext cx="1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2" name="Line 303"/>
            <xdr:cNvSpPr>
              <a:spLocks/>
            </xdr:cNvSpPr>
          </xdr:nvSpPr>
          <xdr:spPr>
            <a:xfrm>
              <a:off x="322" y="601"/>
              <a:ext cx="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3" name="Line 304"/>
            <xdr:cNvSpPr>
              <a:spLocks/>
            </xdr:cNvSpPr>
          </xdr:nvSpPr>
          <xdr:spPr>
            <a:xfrm>
              <a:off x="322" y="646"/>
              <a:ext cx="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666750</xdr:colOff>
      <xdr:row>31</xdr:row>
      <xdr:rowOff>66675</xdr:rowOff>
    </xdr:from>
    <xdr:to>
      <xdr:col>5</xdr:col>
      <xdr:colOff>114300</xdr:colOff>
      <xdr:row>35</xdr:row>
      <xdr:rowOff>9525</xdr:rowOff>
    </xdr:to>
    <xdr:grpSp>
      <xdr:nvGrpSpPr>
        <xdr:cNvPr id="94" name="Group 309"/>
        <xdr:cNvGrpSpPr>
          <a:grpSpLocks/>
        </xdr:cNvGrpSpPr>
      </xdr:nvGrpSpPr>
      <xdr:grpSpPr>
        <a:xfrm>
          <a:off x="3371850" y="5476875"/>
          <a:ext cx="123825" cy="628650"/>
          <a:chOff x="309" y="577"/>
          <a:chExt cx="12" cy="66"/>
        </a:xfrm>
        <a:solidFill>
          <a:srgbClr val="FFFFFF"/>
        </a:solidFill>
      </xdr:grpSpPr>
      <xdr:sp>
        <xdr:nvSpPr>
          <xdr:cNvPr id="95" name="Line 307"/>
          <xdr:cNvSpPr>
            <a:spLocks/>
          </xdr:cNvSpPr>
        </xdr:nvSpPr>
        <xdr:spPr>
          <a:xfrm>
            <a:off x="315" y="577"/>
            <a:ext cx="1" cy="5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6" name="Freeform 308"/>
          <xdr:cNvSpPr>
            <a:spLocks/>
          </xdr:cNvSpPr>
        </xdr:nvSpPr>
        <xdr:spPr>
          <a:xfrm>
            <a:off x="309" y="631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6" y="12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31</xdr:row>
      <xdr:rowOff>38100</xdr:rowOff>
    </xdr:from>
    <xdr:to>
      <xdr:col>5</xdr:col>
      <xdr:colOff>466725</xdr:colOff>
      <xdr:row>32</xdr:row>
      <xdr:rowOff>161925</xdr:rowOff>
    </xdr:to>
    <xdr:sp>
      <xdr:nvSpPr>
        <xdr:cNvPr id="97" name="Rectangle 310"/>
        <xdr:cNvSpPr>
          <a:spLocks/>
        </xdr:cNvSpPr>
      </xdr:nvSpPr>
      <xdr:spPr>
        <a:xfrm>
          <a:off x="3457575" y="54483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152400</xdr:colOff>
      <xdr:row>31</xdr:row>
      <xdr:rowOff>95250</xdr:rowOff>
    </xdr:from>
    <xdr:ext cx="142875" cy="228600"/>
    <xdr:sp>
      <xdr:nvSpPr>
        <xdr:cNvPr id="98" name="Rectangle 311"/>
        <xdr:cNvSpPr>
          <a:spLocks/>
        </xdr:cNvSpPr>
      </xdr:nvSpPr>
      <xdr:spPr>
        <a:xfrm>
          <a:off x="3533775" y="55054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5</xdr:col>
      <xdr:colOff>266700</xdr:colOff>
      <xdr:row>31</xdr:row>
      <xdr:rowOff>95250</xdr:rowOff>
    </xdr:from>
    <xdr:ext cx="114300" cy="228600"/>
    <xdr:sp>
      <xdr:nvSpPr>
        <xdr:cNvPr id="99" name="Rectangle 312"/>
        <xdr:cNvSpPr>
          <a:spLocks/>
        </xdr:cNvSpPr>
      </xdr:nvSpPr>
      <xdr:spPr>
        <a:xfrm>
          <a:off x="3648075" y="55054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twoCellAnchor>
    <xdr:from>
      <xdr:col>7</xdr:col>
      <xdr:colOff>571500</xdr:colOff>
      <xdr:row>31</xdr:row>
      <xdr:rowOff>104775</xdr:rowOff>
    </xdr:from>
    <xdr:to>
      <xdr:col>8</xdr:col>
      <xdr:colOff>38100</xdr:colOff>
      <xdr:row>35</xdr:row>
      <xdr:rowOff>47625</xdr:rowOff>
    </xdr:to>
    <xdr:grpSp>
      <xdr:nvGrpSpPr>
        <xdr:cNvPr id="100" name="Group 315"/>
        <xdr:cNvGrpSpPr>
          <a:grpSpLocks/>
        </xdr:cNvGrpSpPr>
      </xdr:nvGrpSpPr>
      <xdr:grpSpPr>
        <a:xfrm>
          <a:off x="5305425" y="5514975"/>
          <a:ext cx="142875" cy="628650"/>
          <a:chOff x="487" y="581"/>
          <a:chExt cx="12" cy="66"/>
        </a:xfrm>
        <a:solidFill>
          <a:srgbClr val="FFFFFF"/>
        </a:solidFill>
      </xdr:grpSpPr>
      <xdr:sp>
        <xdr:nvSpPr>
          <xdr:cNvPr id="101" name="Line 313"/>
          <xdr:cNvSpPr>
            <a:spLocks/>
          </xdr:cNvSpPr>
        </xdr:nvSpPr>
        <xdr:spPr>
          <a:xfrm>
            <a:off x="493" y="581"/>
            <a:ext cx="1" cy="5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2" name="Freeform 314"/>
          <xdr:cNvSpPr>
            <a:spLocks/>
          </xdr:cNvSpPr>
        </xdr:nvSpPr>
        <xdr:spPr>
          <a:xfrm>
            <a:off x="487" y="635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6" y="12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257175</xdr:colOff>
      <xdr:row>35</xdr:row>
      <xdr:rowOff>38100</xdr:rowOff>
    </xdr:from>
    <xdr:to>
      <xdr:col>5</xdr:col>
      <xdr:colOff>266700</xdr:colOff>
      <xdr:row>37</xdr:row>
      <xdr:rowOff>114300</xdr:rowOff>
    </xdr:to>
    <xdr:sp>
      <xdr:nvSpPr>
        <xdr:cNvPr id="103" name="Line 316"/>
        <xdr:cNvSpPr>
          <a:spLocks/>
        </xdr:cNvSpPr>
      </xdr:nvSpPr>
      <xdr:spPr>
        <a:xfrm>
          <a:off x="3638550" y="613410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37</xdr:row>
      <xdr:rowOff>9525</xdr:rowOff>
    </xdr:from>
    <xdr:to>
      <xdr:col>5</xdr:col>
      <xdr:colOff>257175</xdr:colOff>
      <xdr:row>37</xdr:row>
      <xdr:rowOff>95250</xdr:rowOff>
    </xdr:to>
    <xdr:grpSp>
      <xdr:nvGrpSpPr>
        <xdr:cNvPr id="104" name="Group 320"/>
        <xdr:cNvGrpSpPr>
          <a:grpSpLocks/>
        </xdr:cNvGrpSpPr>
      </xdr:nvGrpSpPr>
      <xdr:grpSpPr>
        <a:xfrm>
          <a:off x="3228975" y="6448425"/>
          <a:ext cx="409575" cy="85725"/>
          <a:chOff x="296" y="679"/>
          <a:chExt cx="37" cy="9"/>
        </a:xfrm>
        <a:solidFill>
          <a:srgbClr val="FFFFFF"/>
        </a:solidFill>
      </xdr:grpSpPr>
      <xdr:sp>
        <xdr:nvSpPr>
          <xdr:cNvPr id="105" name="Line 317"/>
          <xdr:cNvSpPr>
            <a:spLocks/>
          </xdr:cNvSpPr>
        </xdr:nvSpPr>
        <xdr:spPr>
          <a:xfrm>
            <a:off x="303" y="684"/>
            <a:ext cx="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6" name="Freeform 318"/>
          <xdr:cNvSpPr>
            <a:spLocks/>
          </xdr:cNvSpPr>
        </xdr:nvSpPr>
        <xdr:spPr>
          <a:xfrm>
            <a:off x="296" y="679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5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7" name="Freeform 319"/>
          <xdr:cNvSpPr>
            <a:spLocks/>
          </xdr:cNvSpPr>
        </xdr:nvSpPr>
        <xdr:spPr>
          <a:xfrm>
            <a:off x="325" y="680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35</xdr:row>
      <xdr:rowOff>38100</xdr:rowOff>
    </xdr:from>
    <xdr:to>
      <xdr:col>8</xdr:col>
      <xdr:colOff>609600</xdr:colOff>
      <xdr:row>35</xdr:row>
      <xdr:rowOff>47625</xdr:rowOff>
    </xdr:to>
    <xdr:sp>
      <xdr:nvSpPr>
        <xdr:cNvPr id="108" name="Line 321"/>
        <xdr:cNvSpPr>
          <a:spLocks/>
        </xdr:cNvSpPr>
      </xdr:nvSpPr>
      <xdr:spPr>
        <a:xfrm>
          <a:off x="4724400" y="6134100"/>
          <a:ext cx="12954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35</xdr:row>
      <xdr:rowOff>38100</xdr:rowOff>
    </xdr:from>
    <xdr:to>
      <xdr:col>7</xdr:col>
      <xdr:colOff>628650</xdr:colOff>
      <xdr:row>37</xdr:row>
      <xdr:rowOff>114300</xdr:rowOff>
    </xdr:to>
    <xdr:sp>
      <xdr:nvSpPr>
        <xdr:cNvPr id="109" name="Line 322"/>
        <xdr:cNvSpPr>
          <a:spLocks/>
        </xdr:cNvSpPr>
      </xdr:nvSpPr>
      <xdr:spPr>
        <a:xfrm>
          <a:off x="5343525" y="6134100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38100</xdr:rowOff>
    </xdr:from>
    <xdr:to>
      <xdr:col>8</xdr:col>
      <xdr:colOff>47625</xdr:colOff>
      <xdr:row>37</xdr:row>
      <xdr:rowOff>114300</xdr:rowOff>
    </xdr:to>
    <xdr:sp>
      <xdr:nvSpPr>
        <xdr:cNvPr id="110" name="Line 323"/>
        <xdr:cNvSpPr>
          <a:spLocks/>
        </xdr:cNvSpPr>
      </xdr:nvSpPr>
      <xdr:spPr>
        <a:xfrm>
          <a:off x="5448300" y="613410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333375</xdr:colOff>
      <xdr:row>37</xdr:row>
      <xdr:rowOff>19050</xdr:rowOff>
    </xdr:from>
    <xdr:to>
      <xdr:col>7</xdr:col>
      <xdr:colOff>619125</xdr:colOff>
      <xdr:row>37</xdr:row>
      <xdr:rowOff>95250</xdr:rowOff>
    </xdr:to>
    <xdr:grpSp>
      <xdr:nvGrpSpPr>
        <xdr:cNvPr id="111" name="Group 326"/>
        <xdr:cNvGrpSpPr>
          <a:grpSpLocks/>
        </xdr:cNvGrpSpPr>
      </xdr:nvGrpSpPr>
      <xdr:grpSpPr>
        <a:xfrm>
          <a:off x="5067300" y="6457950"/>
          <a:ext cx="285750" cy="76200"/>
          <a:chOff x="464" y="680"/>
          <a:chExt cx="26" cy="8"/>
        </a:xfrm>
        <a:solidFill>
          <a:srgbClr val="FFFFFF"/>
        </a:solidFill>
      </xdr:grpSpPr>
      <xdr:sp>
        <xdr:nvSpPr>
          <xdr:cNvPr id="112" name="Line 324"/>
          <xdr:cNvSpPr>
            <a:spLocks/>
          </xdr:cNvSpPr>
        </xdr:nvSpPr>
        <xdr:spPr>
          <a:xfrm>
            <a:off x="464" y="684"/>
            <a:ext cx="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3" name="Freeform 325"/>
          <xdr:cNvSpPr>
            <a:spLocks/>
          </xdr:cNvSpPr>
        </xdr:nvSpPr>
        <xdr:spPr>
          <a:xfrm>
            <a:off x="482" y="680"/>
            <a:ext cx="8" cy="8"/>
          </a:xfrm>
          <a:custGeom>
            <a:pathLst>
              <a:path h="8" w="8">
                <a:moveTo>
                  <a:pt x="0" y="8"/>
                </a:moveTo>
                <a:lnTo>
                  <a:pt x="8" y="4"/>
                </a:lnTo>
                <a:lnTo>
                  <a:pt x="0" y="0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37</xdr:row>
      <xdr:rowOff>9525</xdr:rowOff>
    </xdr:from>
    <xdr:to>
      <xdr:col>8</xdr:col>
      <xdr:colOff>314325</xdr:colOff>
      <xdr:row>37</xdr:row>
      <xdr:rowOff>85725</xdr:rowOff>
    </xdr:to>
    <xdr:grpSp>
      <xdr:nvGrpSpPr>
        <xdr:cNvPr id="114" name="Group 329"/>
        <xdr:cNvGrpSpPr>
          <a:grpSpLocks/>
        </xdr:cNvGrpSpPr>
      </xdr:nvGrpSpPr>
      <xdr:grpSpPr>
        <a:xfrm>
          <a:off x="5448300" y="6448425"/>
          <a:ext cx="266700" cy="76200"/>
          <a:chOff x="500" y="679"/>
          <a:chExt cx="25" cy="8"/>
        </a:xfrm>
        <a:solidFill>
          <a:srgbClr val="FFFFFF"/>
        </a:solidFill>
      </xdr:grpSpPr>
      <xdr:sp>
        <xdr:nvSpPr>
          <xdr:cNvPr id="115" name="Line 327"/>
          <xdr:cNvSpPr>
            <a:spLocks/>
          </xdr:cNvSpPr>
        </xdr:nvSpPr>
        <xdr:spPr>
          <a:xfrm>
            <a:off x="507" y="684"/>
            <a:ext cx="1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6" name="Freeform 328"/>
          <xdr:cNvSpPr>
            <a:spLocks/>
          </xdr:cNvSpPr>
        </xdr:nvSpPr>
        <xdr:spPr>
          <a:xfrm>
            <a:off x="500" y="679"/>
            <a:ext cx="8" cy="8"/>
          </a:xfrm>
          <a:custGeom>
            <a:pathLst>
              <a:path h="8" w="8">
                <a:moveTo>
                  <a:pt x="8" y="0"/>
                </a:moveTo>
                <a:lnTo>
                  <a:pt x="0" y="5"/>
                </a:lnTo>
                <a:lnTo>
                  <a:pt x="8" y="8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304800</xdr:colOff>
      <xdr:row>55</xdr:row>
      <xdr:rowOff>142875</xdr:rowOff>
    </xdr:from>
    <xdr:to>
      <xdr:col>3</xdr:col>
      <xdr:colOff>590550</xdr:colOff>
      <xdr:row>57</xdr:row>
      <xdr:rowOff>19050</xdr:rowOff>
    </xdr:to>
    <xdr:pic>
      <xdr:nvPicPr>
        <xdr:cNvPr id="1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976312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117</xdr:row>
      <xdr:rowOff>104775</xdr:rowOff>
    </xdr:from>
    <xdr:to>
      <xdr:col>3</xdr:col>
      <xdr:colOff>638175</xdr:colOff>
      <xdr:row>119</xdr:row>
      <xdr:rowOff>123825</xdr:rowOff>
    </xdr:to>
    <xdr:pic>
      <xdr:nvPicPr>
        <xdr:cNvPr id="1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0421600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183</xdr:row>
      <xdr:rowOff>66675</xdr:rowOff>
    </xdr:from>
    <xdr:to>
      <xdr:col>3</xdr:col>
      <xdr:colOff>85725</xdr:colOff>
      <xdr:row>185</xdr:row>
      <xdr:rowOff>85725</xdr:rowOff>
    </xdr:to>
    <xdr:pic>
      <xdr:nvPicPr>
        <xdr:cNvPr id="119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177540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185</xdr:row>
      <xdr:rowOff>123825</xdr:rowOff>
    </xdr:from>
    <xdr:to>
      <xdr:col>4</xdr:col>
      <xdr:colOff>38100</xdr:colOff>
      <xdr:row>187</xdr:row>
      <xdr:rowOff>47625</xdr:rowOff>
    </xdr:to>
    <xdr:pic>
      <xdr:nvPicPr>
        <xdr:cNvPr id="120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3221355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57150</xdr:rowOff>
    </xdr:from>
    <xdr:to>
      <xdr:col>3</xdr:col>
      <xdr:colOff>104775</xdr:colOff>
      <xdr:row>190</xdr:row>
      <xdr:rowOff>76200</xdr:rowOff>
    </xdr:to>
    <xdr:pic>
      <xdr:nvPicPr>
        <xdr:cNvPr id="121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3271837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192</xdr:row>
      <xdr:rowOff>66675</xdr:rowOff>
    </xdr:from>
    <xdr:to>
      <xdr:col>3</xdr:col>
      <xdr:colOff>28575</xdr:colOff>
      <xdr:row>194</xdr:row>
      <xdr:rowOff>66675</xdr:rowOff>
    </xdr:to>
    <xdr:pic>
      <xdr:nvPicPr>
        <xdr:cNvPr id="122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334708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197</xdr:row>
      <xdr:rowOff>66675</xdr:rowOff>
    </xdr:from>
    <xdr:to>
      <xdr:col>3</xdr:col>
      <xdr:colOff>9525</xdr:colOff>
      <xdr:row>199</xdr:row>
      <xdr:rowOff>66675</xdr:rowOff>
    </xdr:to>
    <xdr:pic>
      <xdr:nvPicPr>
        <xdr:cNvPr id="123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3442335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213</xdr:row>
      <xdr:rowOff>66675</xdr:rowOff>
    </xdr:from>
    <xdr:to>
      <xdr:col>3</xdr:col>
      <xdr:colOff>85725</xdr:colOff>
      <xdr:row>215</xdr:row>
      <xdr:rowOff>85725</xdr:rowOff>
    </xdr:to>
    <xdr:pic>
      <xdr:nvPicPr>
        <xdr:cNvPr id="12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729990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215</xdr:row>
      <xdr:rowOff>123825</xdr:rowOff>
    </xdr:from>
    <xdr:to>
      <xdr:col>4</xdr:col>
      <xdr:colOff>38100</xdr:colOff>
      <xdr:row>217</xdr:row>
      <xdr:rowOff>47625</xdr:rowOff>
    </xdr:to>
    <xdr:pic>
      <xdr:nvPicPr>
        <xdr:cNvPr id="12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3773805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57150</xdr:rowOff>
    </xdr:from>
    <xdr:to>
      <xdr:col>3</xdr:col>
      <xdr:colOff>104775</xdr:colOff>
      <xdr:row>220</xdr:row>
      <xdr:rowOff>76200</xdr:rowOff>
    </xdr:to>
    <xdr:pic>
      <xdr:nvPicPr>
        <xdr:cNvPr id="126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3824287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222</xdr:row>
      <xdr:rowOff>85725</xdr:rowOff>
    </xdr:from>
    <xdr:to>
      <xdr:col>3</xdr:col>
      <xdr:colOff>28575</xdr:colOff>
      <xdr:row>224</xdr:row>
      <xdr:rowOff>85725</xdr:rowOff>
    </xdr:to>
    <xdr:pic>
      <xdr:nvPicPr>
        <xdr:cNvPr id="127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3901440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227</xdr:row>
      <xdr:rowOff>85725</xdr:rowOff>
    </xdr:from>
    <xdr:to>
      <xdr:col>3</xdr:col>
      <xdr:colOff>9525</xdr:colOff>
      <xdr:row>229</xdr:row>
      <xdr:rowOff>85725</xdr:rowOff>
    </xdr:to>
    <xdr:pic>
      <xdr:nvPicPr>
        <xdr:cNvPr id="128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399669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242</xdr:row>
      <xdr:rowOff>66675</xdr:rowOff>
    </xdr:from>
    <xdr:to>
      <xdr:col>3</xdr:col>
      <xdr:colOff>85725</xdr:colOff>
      <xdr:row>244</xdr:row>
      <xdr:rowOff>85725</xdr:rowOff>
    </xdr:to>
    <xdr:pic>
      <xdr:nvPicPr>
        <xdr:cNvPr id="129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261485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244</xdr:row>
      <xdr:rowOff>123825</xdr:rowOff>
    </xdr:from>
    <xdr:to>
      <xdr:col>4</xdr:col>
      <xdr:colOff>38100</xdr:colOff>
      <xdr:row>246</xdr:row>
      <xdr:rowOff>47625</xdr:rowOff>
    </xdr:to>
    <xdr:pic>
      <xdr:nvPicPr>
        <xdr:cNvPr id="130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43053000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57150</xdr:rowOff>
    </xdr:from>
    <xdr:to>
      <xdr:col>3</xdr:col>
      <xdr:colOff>104775</xdr:colOff>
      <xdr:row>249</xdr:row>
      <xdr:rowOff>76200</xdr:rowOff>
    </xdr:to>
    <xdr:pic>
      <xdr:nvPicPr>
        <xdr:cNvPr id="131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435578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251</xdr:row>
      <xdr:rowOff>85725</xdr:rowOff>
    </xdr:from>
    <xdr:to>
      <xdr:col>3</xdr:col>
      <xdr:colOff>28575</xdr:colOff>
      <xdr:row>253</xdr:row>
      <xdr:rowOff>85725</xdr:rowOff>
    </xdr:to>
    <xdr:pic>
      <xdr:nvPicPr>
        <xdr:cNvPr id="132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443293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256</xdr:row>
      <xdr:rowOff>85725</xdr:rowOff>
    </xdr:from>
    <xdr:to>
      <xdr:col>3</xdr:col>
      <xdr:colOff>9525</xdr:colOff>
      <xdr:row>258</xdr:row>
      <xdr:rowOff>85725</xdr:rowOff>
    </xdr:to>
    <xdr:pic>
      <xdr:nvPicPr>
        <xdr:cNvPr id="133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4528185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76</xdr:row>
      <xdr:rowOff>133350</xdr:rowOff>
    </xdr:from>
    <xdr:to>
      <xdr:col>4</xdr:col>
      <xdr:colOff>219075</xdr:colOff>
      <xdr:row>78</xdr:row>
      <xdr:rowOff>47625</xdr:rowOff>
    </xdr:to>
    <xdr:pic>
      <xdr:nvPicPr>
        <xdr:cNvPr id="134" name="Picture 1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33921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78</xdr:row>
      <xdr:rowOff>142875</xdr:rowOff>
    </xdr:from>
    <xdr:to>
      <xdr:col>5</xdr:col>
      <xdr:colOff>104775</xdr:colOff>
      <xdr:row>80</xdr:row>
      <xdr:rowOff>57150</xdr:rowOff>
    </xdr:to>
    <xdr:pic>
      <xdr:nvPicPr>
        <xdr:cNvPr id="135" name="Picture 1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52700" y="13744575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80</xdr:row>
      <xdr:rowOff>47625</xdr:rowOff>
    </xdr:from>
    <xdr:to>
      <xdr:col>6</xdr:col>
      <xdr:colOff>180975</xdr:colOff>
      <xdr:row>82</xdr:row>
      <xdr:rowOff>152400</xdr:rowOff>
    </xdr:to>
    <xdr:pic>
      <xdr:nvPicPr>
        <xdr:cNvPr id="136" name="Picture 1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28925" y="13992225"/>
          <a:ext cx="140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99</xdr:row>
      <xdr:rowOff>104775</xdr:rowOff>
    </xdr:from>
    <xdr:to>
      <xdr:col>8</xdr:col>
      <xdr:colOff>104775</xdr:colOff>
      <xdr:row>116</xdr:row>
      <xdr:rowOff>76200</xdr:rowOff>
    </xdr:to>
    <xdr:graphicFrame>
      <xdr:nvGraphicFramePr>
        <xdr:cNvPr id="137" name="グラフ 190"/>
        <xdr:cNvGraphicFramePr/>
      </xdr:nvGraphicFramePr>
      <xdr:xfrm>
        <a:off x="466725" y="17335500"/>
        <a:ext cx="5048250" cy="2886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647700</xdr:colOff>
      <xdr:row>121</xdr:row>
      <xdr:rowOff>66675</xdr:rowOff>
    </xdr:from>
    <xdr:to>
      <xdr:col>7</xdr:col>
      <xdr:colOff>457200</xdr:colOff>
      <xdr:row>123</xdr:row>
      <xdr:rowOff>152400</xdr:rowOff>
    </xdr:to>
    <xdr:pic>
      <xdr:nvPicPr>
        <xdr:cNvPr id="138" name="Picture 19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3975" y="21107400"/>
          <a:ext cx="3867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124</xdr:row>
      <xdr:rowOff>85725</xdr:rowOff>
    </xdr:from>
    <xdr:to>
      <xdr:col>8</xdr:col>
      <xdr:colOff>485775</xdr:colOff>
      <xdr:row>127</xdr:row>
      <xdr:rowOff>0</xdr:rowOff>
    </xdr:to>
    <xdr:pic>
      <xdr:nvPicPr>
        <xdr:cNvPr id="139" name="Picture 1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43025" y="21640800"/>
          <a:ext cx="455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127</xdr:row>
      <xdr:rowOff>57150</xdr:rowOff>
    </xdr:from>
    <xdr:to>
      <xdr:col>4</xdr:col>
      <xdr:colOff>638175</xdr:colOff>
      <xdr:row>129</xdr:row>
      <xdr:rowOff>133350</xdr:rowOff>
    </xdr:to>
    <xdr:pic>
      <xdr:nvPicPr>
        <xdr:cNvPr id="140" name="Picture 1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14475" y="221265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156</xdr:row>
      <xdr:rowOff>104775</xdr:rowOff>
    </xdr:from>
    <xdr:to>
      <xdr:col>5</xdr:col>
      <xdr:colOff>561975</xdr:colOff>
      <xdr:row>169</xdr:row>
      <xdr:rowOff>95250</xdr:rowOff>
    </xdr:to>
    <xdr:graphicFrame>
      <xdr:nvGraphicFramePr>
        <xdr:cNvPr id="141" name="グラフ 194"/>
        <xdr:cNvGraphicFramePr/>
      </xdr:nvGraphicFramePr>
      <xdr:xfrm>
        <a:off x="152400" y="27146250"/>
        <a:ext cx="3790950" cy="2219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59</xdr:row>
      <xdr:rowOff>28575</xdr:rowOff>
    </xdr:from>
    <xdr:to>
      <xdr:col>8</xdr:col>
      <xdr:colOff>514350</xdr:colOff>
      <xdr:row>72</xdr:row>
      <xdr:rowOff>104775</xdr:rowOff>
    </xdr:to>
    <xdr:grpSp>
      <xdr:nvGrpSpPr>
        <xdr:cNvPr id="142" name="Group 200"/>
        <xdr:cNvGrpSpPr>
          <a:grpSpLocks/>
        </xdr:cNvGrpSpPr>
      </xdr:nvGrpSpPr>
      <xdr:grpSpPr>
        <a:xfrm>
          <a:off x="47625" y="10334625"/>
          <a:ext cx="5876925" cy="2343150"/>
          <a:chOff x="5" y="1085"/>
          <a:chExt cx="538" cy="246"/>
        </a:xfrm>
        <a:solidFill>
          <a:srgbClr val="FFFFFF"/>
        </a:solidFill>
      </xdr:grpSpPr>
      <xdr:pic>
        <xdr:nvPicPr>
          <xdr:cNvPr id="143" name="Picture 184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5" y="1085"/>
            <a:ext cx="538" cy="2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4" name="Text Box 195"/>
          <xdr:cNvSpPr txBox="1">
            <a:spLocks noChangeArrowheads="1"/>
          </xdr:cNvSpPr>
        </xdr:nvSpPr>
        <xdr:spPr>
          <a:xfrm>
            <a:off x="301" y="124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50" b="0" i="1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p</a:t>
            </a:r>
            <a:r>
              <a:rPr lang="en-US" cap="none" sz="1050" b="0" i="1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d</a:t>
            </a:r>
          </a:p>
        </xdr:txBody>
      </xdr:sp>
      <xdr:sp>
        <xdr:nvSpPr>
          <xdr:cNvPr id="145" name="Rectangle 197"/>
          <xdr:cNvSpPr>
            <a:spLocks/>
          </xdr:cNvSpPr>
        </xdr:nvSpPr>
        <xdr:spPr>
          <a:xfrm>
            <a:off x="181" y="1253"/>
            <a:ext cx="20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6" name="Text Box 199"/>
          <xdr:cNvSpPr txBox="1">
            <a:spLocks noChangeArrowheads="1"/>
          </xdr:cNvSpPr>
        </xdr:nvSpPr>
        <xdr:spPr>
          <a:xfrm>
            <a:off x="176" y="1288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50" b="0" i="1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p</a:t>
            </a:r>
            <a:r>
              <a:rPr lang="en-US" cap="none" sz="1050" b="0" i="1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l</a:t>
            </a:r>
          </a:p>
        </xdr:txBody>
      </xdr:sp>
    </xdr:grpSp>
    <xdr:clientData/>
  </xdr:twoCellAnchor>
  <xdr:twoCellAnchor>
    <xdr:from>
      <xdr:col>2</xdr:col>
      <xdr:colOff>609600</xdr:colOff>
      <xdr:row>40</xdr:row>
      <xdr:rowOff>9525</xdr:rowOff>
    </xdr:from>
    <xdr:to>
      <xdr:col>2</xdr:col>
      <xdr:colOff>609600</xdr:colOff>
      <xdr:row>42</xdr:row>
      <xdr:rowOff>85725</xdr:rowOff>
    </xdr:to>
    <xdr:sp>
      <xdr:nvSpPr>
        <xdr:cNvPr id="147" name="Line 330"/>
        <xdr:cNvSpPr>
          <a:spLocks/>
        </xdr:cNvSpPr>
      </xdr:nvSpPr>
      <xdr:spPr>
        <a:xfrm>
          <a:off x="1962150" y="6962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104775</xdr:rowOff>
    </xdr:from>
    <xdr:to>
      <xdr:col>2</xdr:col>
      <xdr:colOff>552450</xdr:colOff>
      <xdr:row>46</xdr:row>
      <xdr:rowOff>85725</xdr:rowOff>
    </xdr:to>
    <xdr:sp>
      <xdr:nvSpPr>
        <xdr:cNvPr id="148" name="Line 331"/>
        <xdr:cNvSpPr>
          <a:spLocks/>
        </xdr:cNvSpPr>
      </xdr:nvSpPr>
      <xdr:spPr>
        <a:xfrm flipV="1">
          <a:off x="1905000" y="7572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38</xdr:row>
      <xdr:rowOff>152400</xdr:rowOff>
    </xdr:from>
    <xdr:to>
      <xdr:col>5</xdr:col>
      <xdr:colOff>219075</xdr:colOff>
      <xdr:row>38</xdr:row>
      <xdr:rowOff>152400</xdr:rowOff>
    </xdr:to>
    <xdr:sp>
      <xdr:nvSpPr>
        <xdr:cNvPr id="149" name="Line 332"/>
        <xdr:cNvSpPr>
          <a:spLocks/>
        </xdr:cNvSpPr>
      </xdr:nvSpPr>
      <xdr:spPr>
        <a:xfrm flipH="1">
          <a:off x="3190875" y="6762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561975</xdr:colOff>
      <xdr:row>42</xdr:row>
      <xdr:rowOff>47625</xdr:rowOff>
    </xdr:from>
    <xdr:to>
      <xdr:col>5</xdr:col>
      <xdr:colOff>495300</xdr:colOff>
      <xdr:row>42</xdr:row>
      <xdr:rowOff>47625</xdr:rowOff>
    </xdr:to>
    <xdr:sp>
      <xdr:nvSpPr>
        <xdr:cNvPr id="150" name="Line 333"/>
        <xdr:cNvSpPr>
          <a:spLocks/>
        </xdr:cNvSpPr>
      </xdr:nvSpPr>
      <xdr:spPr>
        <a:xfrm>
          <a:off x="3267075" y="7343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42</xdr:row>
      <xdr:rowOff>104775</xdr:rowOff>
    </xdr:from>
    <xdr:to>
      <xdr:col>5</xdr:col>
      <xdr:colOff>523875</xdr:colOff>
      <xdr:row>42</xdr:row>
      <xdr:rowOff>104775</xdr:rowOff>
    </xdr:to>
    <xdr:sp>
      <xdr:nvSpPr>
        <xdr:cNvPr id="151" name="Line 334"/>
        <xdr:cNvSpPr>
          <a:spLocks/>
        </xdr:cNvSpPr>
      </xdr:nvSpPr>
      <xdr:spPr>
        <a:xfrm>
          <a:off x="3295650" y="7400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43</xdr:row>
      <xdr:rowOff>104775</xdr:rowOff>
    </xdr:from>
    <xdr:to>
      <xdr:col>5</xdr:col>
      <xdr:colOff>523875</xdr:colOff>
      <xdr:row>43</xdr:row>
      <xdr:rowOff>104775</xdr:rowOff>
    </xdr:to>
    <xdr:sp>
      <xdr:nvSpPr>
        <xdr:cNvPr id="152" name="Line 335"/>
        <xdr:cNvSpPr>
          <a:spLocks/>
        </xdr:cNvSpPr>
      </xdr:nvSpPr>
      <xdr:spPr>
        <a:xfrm>
          <a:off x="3295650" y="7572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561975</xdr:colOff>
      <xdr:row>44</xdr:row>
      <xdr:rowOff>0</xdr:rowOff>
    </xdr:from>
    <xdr:to>
      <xdr:col>5</xdr:col>
      <xdr:colOff>485775</xdr:colOff>
      <xdr:row>44</xdr:row>
      <xdr:rowOff>0</xdr:rowOff>
    </xdr:to>
    <xdr:sp>
      <xdr:nvSpPr>
        <xdr:cNvPr id="153" name="Line 336"/>
        <xdr:cNvSpPr>
          <a:spLocks/>
        </xdr:cNvSpPr>
      </xdr:nvSpPr>
      <xdr:spPr>
        <a:xfrm>
          <a:off x="3267075" y="7639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23</xdr:row>
      <xdr:rowOff>142875</xdr:rowOff>
    </xdr:from>
    <xdr:to>
      <xdr:col>8</xdr:col>
      <xdr:colOff>666750</xdr:colOff>
      <xdr:row>39</xdr:row>
      <xdr:rowOff>85725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00525"/>
          <a:ext cx="60388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47</xdr:row>
      <xdr:rowOff>19050</xdr:rowOff>
    </xdr:from>
    <xdr:to>
      <xdr:col>3</xdr:col>
      <xdr:colOff>552450</xdr:colOff>
      <xdr:row>48</xdr:row>
      <xdr:rowOff>28575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296275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108</xdr:row>
      <xdr:rowOff>85725</xdr:rowOff>
    </xdr:from>
    <xdr:to>
      <xdr:col>3</xdr:col>
      <xdr:colOff>638175</xdr:colOff>
      <xdr:row>110</xdr:row>
      <xdr:rowOff>104775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888807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67</xdr:row>
      <xdr:rowOff>133350</xdr:rowOff>
    </xdr:from>
    <xdr:to>
      <xdr:col>4</xdr:col>
      <xdr:colOff>219075</xdr:colOff>
      <xdr:row>69</xdr:row>
      <xdr:rowOff>47625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1839575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69</xdr:row>
      <xdr:rowOff>142875</xdr:rowOff>
    </xdr:from>
    <xdr:to>
      <xdr:col>5</xdr:col>
      <xdr:colOff>104775</xdr:colOff>
      <xdr:row>71</xdr:row>
      <xdr:rowOff>19050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121920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71</xdr:row>
      <xdr:rowOff>47625</xdr:rowOff>
    </xdr:from>
    <xdr:to>
      <xdr:col>6</xdr:col>
      <xdr:colOff>180975</xdr:colOff>
      <xdr:row>73</xdr:row>
      <xdr:rowOff>152400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8925" y="12477750"/>
          <a:ext cx="140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90</xdr:row>
      <xdr:rowOff>104775</xdr:rowOff>
    </xdr:from>
    <xdr:to>
      <xdr:col>8</xdr:col>
      <xdr:colOff>104775</xdr:colOff>
      <xdr:row>107</xdr:row>
      <xdr:rowOff>76200</xdr:rowOff>
    </xdr:to>
    <xdr:graphicFrame>
      <xdr:nvGraphicFramePr>
        <xdr:cNvPr id="7" name="グラフ 41"/>
        <xdr:cNvGraphicFramePr/>
      </xdr:nvGraphicFramePr>
      <xdr:xfrm>
        <a:off x="466725" y="15821025"/>
        <a:ext cx="504825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647700</xdr:colOff>
      <xdr:row>113</xdr:row>
      <xdr:rowOff>66675</xdr:rowOff>
    </xdr:from>
    <xdr:to>
      <xdr:col>7</xdr:col>
      <xdr:colOff>457200</xdr:colOff>
      <xdr:row>115</xdr:row>
      <xdr:rowOff>152400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975" y="19764375"/>
          <a:ext cx="3867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116</xdr:row>
      <xdr:rowOff>85725</xdr:rowOff>
    </xdr:from>
    <xdr:to>
      <xdr:col>8</xdr:col>
      <xdr:colOff>485775</xdr:colOff>
      <xdr:row>119</xdr:row>
      <xdr:rowOff>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20297775"/>
          <a:ext cx="455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119</xdr:row>
      <xdr:rowOff>57150</xdr:rowOff>
    </xdr:from>
    <xdr:to>
      <xdr:col>4</xdr:col>
      <xdr:colOff>638175</xdr:colOff>
      <xdr:row>121</xdr:row>
      <xdr:rowOff>133350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14475" y="20783550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173</xdr:row>
      <xdr:rowOff>95250</xdr:rowOff>
    </xdr:from>
    <xdr:to>
      <xdr:col>2</xdr:col>
      <xdr:colOff>561975</xdr:colOff>
      <xdr:row>175</xdr:row>
      <xdr:rowOff>95250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3007995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178</xdr:row>
      <xdr:rowOff>38100</xdr:rowOff>
    </xdr:from>
    <xdr:to>
      <xdr:col>2</xdr:col>
      <xdr:colOff>552450</xdr:colOff>
      <xdr:row>180</xdr:row>
      <xdr:rowOff>38100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3097530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190</xdr:row>
      <xdr:rowOff>95250</xdr:rowOff>
    </xdr:from>
    <xdr:to>
      <xdr:col>2</xdr:col>
      <xdr:colOff>561975</xdr:colOff>
      <xdr:row>192</xdr:row>
      <xdr:rowOff>95250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331851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195</xdr:row>
      <xdr:rowOff>38100</xdr:rowOff>
    </xdr:from>
    <xdr:to>
      <xdr:col>2</xdr:col>
      <xdr:colOff>552450</xdr:colOff>
      <xdr:row>197</xdr:row>
      <xdr:rowOff>38100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340804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208</xdr:row>
      <xdr:rowOff>95250</xdr:rowOff>
    </xdr:from>
    <xdr:to>
      <xdr:col>2</xdr:col>
      <xdr:colOff>561975</xdr:colOff>
      <xdr:row>210</xdr:row>
      <xdr:rowOff>95250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364617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213</xdr:row>
      <xdr:rowOff>38100</xdr:rowOff>
    </xdr:from>
    <xdr:to>
      <xdr:col>2</xdr:col>
      <xdr:colOff>552450</xdr:colOff>
      <xdr:row>215</xdr:row>
      <xdr:rowOff>38100</xdr:rowOff>
    </xdr:to>
    <xdr:pic>
      <xdr:nvPicPr>
        <xdr:cNvPr id="16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373570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208</xdr:row>
      <xdr:rowOff>95250</xdr:rowOff>
    </xdr:from>
    <xdr:to>
      <xdr:col>2</xdr:col>
      <xdr:colOff>561975</xdr:colOff>
      <xdr:row>210</xdr:row>
      <xdr:rowOff>95250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36461700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213</xdr:row>
      <xdr:rowOff>38100</xdr:rowOff>
    </xdr:from>
    <xdr:to>
      <xdr:col>2</xdr:col>
      <xdr:colOff>552450</xdr:colOff>
      <xdr:row>215</xdr:row>
      <xdr:rowOff>38100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3735705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147</xdr:row>
      <xdr:rowOff>161925</xdr:rowOff>
    </xdr:from>
    <xdr:to>
      <xdr:col>6</xdr:col>
      <xdr:colOff>66675</xdr:colOff>
      <xdr:row>160</xdr:row>
      <xdr:rowOff>152400</xdr:rowOff>
    </xdr:to>
    <xdr:graphicFrame>
      <xdr:nvGraphicFramePr>
        <xdr:cNvPr id="19" name="グラフ 56"/>
        <xdr:cNvGraphicFramePr/>
      </xdr:nvGraphicFramePr>
      <xdr:xfrm>
        <a:off x="342900" y="25688925"/>
        <a:ext cx="3781425" cy="2219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47625</xdr:colOff>
      <xdr:row>50</xdr:row>
      <xdr:rowOff>28575</xdr:rowOff>
    </xdr:from>
    <xdr:to>
      <xdr:col>8</xdr:col>
      <xdr:colOff>514350</xdr:colOff>
      <xdr:row>63</xdr:row>
      <xdr:rowOff>142875</xdr:rowOff>
    </xdr:to>
    <xdr:grpSp>
      <xdr:nvGrpSpPr>
        <xdr:cNvPr id="20" name="Group 57"/>
        <xdr:cNvGrpSpPr>
          <a:grpSpLocks/>
        </xdr:cNvGrpSpPr>
      </xdr:nvGrpSpPr>
      <xdr:grpSpPr>
        <a:xfrm>
          <a:off x="47625" y="8820150"/>
          <a:ext cx="5876925" cy="2343150"/>
          <a:chOff x="5" y="1085"/>
          <a:chExt cx="538" cy="246"/>
        </a:xfrm>
        <a:solidFill>
          <a:srgbClr val="FFFFFF"/>
        </a:solidFill>
      </xdr:grpSpPr>
      <xdr:pic>
        <xdr:nvPicPr>
          <xdr:cNvPr id="21" name="Picture 58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5" y="1085"/>
            <a:ext cx="538" cy="2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Text Box 59"/>
          <xdr:cNvSpPr txBox="1">
            <a:spLocks noChangeArrowheads="1"/>
          </xdr:cNvSpPr>
        </xdr:nvSpPr>
        <xdr:spPr>
          <a:xfrm>
            <a:off x="301" y="124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50" b="0" i="1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p</a:t>
            </a:r>
            <a:r>
              <a:rPr lang="en-US" cap="none" sz="1050" b="0" i="1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d</a:t>
            </a:r>
          </a:p>
        </xdr:txBody>
      </xdr:sp>
      <xdr:sp>
        <xdr:nvSpPr>
          <xdr:cNvPr id="23" name="Rectangle 60"/>
          <xdr:cNvSpPr>
            <a:spLocks/>
          </xdr:cNvSpPr>
        </xdr:nvSpPr>
        <xdr:spPr>
          <a:xfrm>
            <a:off x="181" y="1253"/>
            <a:ext cx="20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Text Box 61"/>
          <xdr:cNvSpPr txBox="1">
            <a:spLocks noChangeArrowheads="1"/>
          </xdr:cNvSpPr>
        </xdr:nvSpPr>
        <xdr:spPr>
          <a:xfrm>
            <a:off x="176" y="1288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50" b="0" i="1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p</a:t>
            </a:r>
            <a:r>
              <a:rPr lang="en-US" cap="none" sz="1050" b="0" i="1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104775</xdr:rowOff>
    </xdr:from>
    <xdr:to>
      <xdr:col>9</xdr:col>
      <xdr:colOff>95250</xdr:colOff>
      <xdr:row>25</xdr:row>
      <xdr:rowOff>19050</xdr:rowOff>
    </xdr:to>
    <xdr:graphicFrame>
      <xdr:nvGraphicFramePr>
        <xdr:cNvPr id="1" name="グラフ 1"/>
        <xdr:cNvGraphicFramePr/>
      </xdr:nvGraphicFramePr>
      <xdr:xfrm>
        <a:off x="1533525" y="1581150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34</xdr:row>
      <xdr:rowOff>123825</xdr:rowOff>
    </xdr:from>
    <xdr:to>
      <xdr:col>9</xdr:col>
      <xdr:colOff>647700</xdr:colOff>
      <xdr:row>56</xdr:row>
      <xdr:rowOff>19050</xdr:rowOff>
    </xdr:to>
    <xdr:graphicFrame>
      <xdr:nvGraphicFramePr>
        <xdr:cNvPr id="2" name="グラフ 2"/>
        <xdr:cNvGraphicFramePr/>
      </xdr:nvGraphicFramePr>
      <xdr:xfrm>
        <a:off x="1952625" y="5657850"/>
        <a:ext cx="48672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590550</xdr:colOff>
      <xdr:row>15</xdr:row>
      <xdr:rowOff>66675</xdr:rowOff>
    </xdr:from>
    <xdr:to>
      <xdr:col>23</xdr:col>
      <xdr:colOff>85725</xdr:colOff>
      <xdr:row>26</xdr:row>
      <xdr:rowOff>66675</xdr:rowOff>
    </xdr:to>
    <xdr:graphicFrame>
      <xdr:nvGraphicFramePr>
        <xdr:cNvPr id="1" name="グラフ 2"/>
        <xdr:cNvGraphicFramePr/>
      </xdr:nvGraphicFramePr>
      <xdr:xfrm>
        <a:off x="7696200" y="2495550"/>
        <a:ext cx="50577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50"/>
  <sheetViews>
    <sheetView showGridLines="0" showRowColHeaders="0" tabSelected="1" zoomScale="70" zoomScaleNormal="70" zoomScalePageLayoutView="0" workbookViewId="0" topLeftCell="A7">
      <selection activeCell="A41" sqref="A41:G49"/>
    </sheetView>
  </sheetViews>
  <sheetFormatPr defaultColWidth="9.125" defaultRowHeight="12.75"/>
  <cols>
    <col min="1" max="25" width="9.125" style="44" customWidth="1"/>
    <col min="26" max="27" width="10.625" style="44" bestFit="1" customWidth="1"/>
    <col min="28" max="16384" width="9.125" style="44" customWidth="1"/>
  </cols>
  <sheetData>
    <row r="2" ht="13.5">
      <c r="A2" s="43" t="s">
        <v>44</v>
      </c>
    </row>
    <row r="3" spans="2:4" ht="13.5">
      <c r="B3" s="43" t="s">
        <v>45</v>
      </c>
      <c r="C3" s="63">
        <v>1</v>
      </c>
      <c r="D3" s="44" t="s">
        <v>61</v>
      </c>
    </row>
    <row r="4" spans="2:4" ht="13.5">
      <c r="B4" s="43" t="s">
        <v>46</v>
      </c>
      <c r="C4" s="63">
        <v>0.2</v>
      </c>
      <c r="D4" s="44" t="s">
        <v>61</v>
      </c>
    </row>
    <row r="5" spans="2:4" ht="13.5">
      <c r="B5" s="43" t="s">
        <v>47</v>
      </c>
      <c r="C5" s="63">
        <v>0.1</v>
      </c>
      <c r="D5" s="44" t="s">
        <v>61</v>
      </c>
    </row>
    <row r="6" spans="2:4" ht="13.5">
      <c r="B6" s="43" t="s">
        <v>48</v>
      </c>
      <c r="C6" s="63">
        <v>0.1</v>
      </c>
      <c r="D6" s="44" t="s">
        <v>61</v>
      </c>
    </row>
    <row r="7" ht="13.5">
      <c r="A7" s="43" t="s">
        <v>51</v>
      </c>
    </row>
    <row r="8" spans="2:5" ht="16.5">
      <c r="B8" s="43" t="s">
        <v>52</v>
      </c>
      <c r="C8" s="45" t="s">
        <v>55</v>
      </c>
      <c r="D8" s="64">
        <v>10</v>
      </c>
      <c r="E8" s="44" t="s">
        <v>59</v>
      </c>
    </row>
    <row r="9" spans="2:5" ht="13.5">
      <c r="B9" s="43" t="s">
        <v>53</v>
      </c>
      <c r="C9" s="45" t="s">
        <v>56</v>
      </c>
      <c r="D9" s="64">
        <v>50</v>
      </c>
      <c r="E9" s="44" t="s">
        <v>60</v>
      </c>
    </row>
    <row r="10" spans="2:26" ht="13.5">
      <c r="B10" s="43" t="s">
        <v>54</v>
      </c>
      <c r="C10" s="45" t="s">
        <v>57</v>
      </c>
      <c r="D10" s="64">
        <v>0.2</v>
      </c>
      <c r="E10" s="44" t="s">
        <v>61</v>
      </c>
      <c r="Z10" s="44" t="str">
        <f>IF(C27=0,"鉄筋なし",データ!L26)</f>
        <v>13@250mm</v>
      </c>
    </row>
    <row r="11" spans="3:26" ht="13.5">
      <c r="C11" s="45" t="s">
        <v>58</v>
      </c>
      <c r="D11" s="64">
        <v>0.5</v>
      </c>
      <c r="E11" s="44" t="s">
        <v>61</v>
      </c>
      <c r="Z11" s="44" t="str">
        <f>IF(C27=0,"",データ!B21)</f>
        <v>SD295A</v>
      </c>
    </row>
    <row r="12" ht="13.5">
      <c r="D12" s="47"/>
    </row>
    <row r="13" spans="1:26" ht="13.5">
      <c r="A13" s="48" t="s">
        <v>62</v>
      </c>
      <c r="D13" s="47"/>
      <c r="Z13" s="44">
        <f>IF(C29=0,"",データ!B23)</f>
      </c>
    </row>
    <row r="14" spans="2:5" ht="16.5">
      <c r="B14" s="48" t="s">
        <v>63</v>
      </c>
      <c r="D14" s="64">
        <v>19</v>
      </c>
      <c r="E14" s="44" t="s">
        <v>66</v>
      </c>
    </row>
    <row r="15" spans="2:5" ht="13.5">
      <c r="B15" s="48" t="s">
        <v>64</v>
      </c>
      <c r="D15" s="64">
        <v>30</v>
      </c>
      <c r="E15" s="48" t="s">
        <v>65</v>
      </c>
    </row>
    <row r="16" spans="1:4" ht="13.5">
      <c r="A16" s="48" t="s">
        <v>67</v>
      </c>
      <c r="D16" s="49"/>
    </row>
    <row r="17" ht="13.5">
      <c r="D17" s="49"/>
    </row>
    <row r="18" spans="1:4" ht="13.5">
      <c r="A18" s="48" t="s">
        <v>77</v>
      </c>
      <c r="D18" s="49"/>
    </row>
    <row r="19" ht="13.5"/>
    <row r="20" ht="13.5">
      <c r="A20" s="48" t="s">
        <v>68</v>
      </c>
    </row>
    <row r="21" spans="3:6" ht="15">
      <c r="C21" s="50" t="s">
        <v>69</v>
      </c>
      <c r="D21" s="50" t="s">
        <v>70</v>
      </c>
      <c r="E21" s="64">
        <v>21</v>
      </c>
      <c r="F21" s="44" t="s">
        <v>276</v>
      </c>
    </row>
    <row r="22" ht="13.5">
      <c r="B22" s="48" t="s">
        <v>71</v>
      </c>
    </row>
    <row r="23" ht="13.5"/>
    <row r="24" spans="2:5" ht="13.5">
      <c r="B24" s="51"/>
      <c r="C24" s="52" t="s">
        <v>73</v>
      </c>
      <c r="D24" s="52" t="s">
        <v>75</v>
      </c>
      <c r="E24" s="53" t="s">
        <v>76</v>
      </c>
    </row>
    <row r="25" spans="2:5" ht="13.5">
      <c r="B25" s="54"/>
      <c r="C25" s="54" t="s">
        <v>74</v>
      </c>
      <c r="D25" s="54" t="s">
        <v>74</v>
      </c>
      <c r="E25" s="54" t="s">
        <v>74</v>
      </c>
    </row>
    <row r="26" spans="2:5" ht="13.5">
      <c r="B26" s="55" t="s">
        <v>72</v>
      </c>
      <c r="C26" s="64">
        <v>13</v>
      </c>
      <c r="D26" s="64">
        <v>250</v>
      </c>
      <c r="E26" s="64">
        <v>40</v>
      </c>
    </row>
    <row r="27" spans="2:5" ht="13.5">
      <c r="B27" s="56" t="s">
        <v>49</v>
      </c>
      <c r="C27" s="64">
        <v>13</v>
      </c>
      <c r="D27" s="64">
        <v>250</v>
      </c>
      <c r="E27" s="64">
        <v>40</v>
      </c>
    </row>
    <row r="28" spans="2:5" ht="13.5">
      <c r="B28" s="56" t="s">
        <v>50</v>
      </c>
      <c r="C28" s="64">
        <v>13</v>
      </c>
      <c r="D28" s="64">
        <v>250</v>
      </c>
      <c r="E28" s="64">
        <v>40</v>
      </c>
    </row>
    <row r="29" ht="13.5">
      <c r="A29" s="48" t="s">
        <v>254</v>
      </c>
    </row>
    <row r="30" spans="2:7" ht="13.5">
      <c r="B30" s="57"/>
      <c r="C30" s="58"/>
      <c r="D30" s="59"/>
      <c r="E30" s="60" t="s">
        <v>261</v>
      </c>
      <c r="F30" s="60" t="s">
        <v>262</v>
      </c>
      <c r="G30" s="61" t="s">
        <v>257</v>
      </c>
    </row>
    <row r="31" spans="2:7" ht="13.5">
      <c r="B31" s="100" t="s">
        <v>263</v>
      </c>
      <c r="C31" s="98" t="s">
        <v>255</v>
      </c>
      <c r="D31" s="60" t="s">
        <v>258</v>
      </c>
      <c r="E31" s="46">
        <f>データ!S37</f>
        <v>0.2</v>
      </c>
      <c r="F31" s="46">
        <f>データ!T37</f>
        <v>7</v>
      </c>
      <c r="G31" s="46" t="str">
        <f>IF(E31&lt;=F31,"SAFE","OUT")</f>
        <v>SAFE</v>
      </c>
    </row>
    <row r="32" spans="2:7" ht="13.5">
      <c r="B32" s="101"/>
      <c r="C32" s="99"/>
      <c r="D32" s="62" t="s">
        <v>259</v>
      </c>
      <c r="E32" s="46" t="str">
        <f>データ!S38</f>
        <v>***</v>
      </c>
      <c r="F32" s="46">
        <f>データ!T38</f>
        <v>0</v>
      </c>
      <c r="G32" s="46" t="str">
        <f>IF(E32&lt;=F32,"OUT","SAFE")</f>
        <v>SAFE</v>
      </c>
    </row>
    <row r="33" spans="2:7" ht="13.5">
      <c r="B33" s="101"/>
      <c r="C33" s="62" t="s">
        <v>256</v>
      </c>
      <c r="D33" s="62" t="s">
        <v>260</v>
      </c>
      <c r="E33" s="46">
        <f>データ!S39</f>
        <v>4.6</v>
      </c>
      <c r="F33" s="46">
        <f>データ!T39</f>
        <v>160</v>
      </c>
      <c r="G33" s="46" t="str">
        <f aca="true" t="shared" si="0" ref="G33:G39">IF(E33&lt;=F33,"SAFE","OUT")</f>
        <v>SAFE</v>
      </c>
    </row>
    <row r="34" spans="2:7" ht="13.5">
      <c r="B34" s="100" t="s">
        <v>264</v>
      </c>
      <c r="C34" s="98" t="s">
        <v>255</v>
      </c>
      <c r="D34" s="60" t="s">
        <v>258</v>
      </c>
      <c r="E34" s="46">
        <f>データ!S40</f>
        <v>0.2</v>
      </c>
      <c r="F34" s="46">
        <f>データ!T40</f>
        <v>7</v>
      </c>
      <c r="G34" s="46" t="str">
        <f t="shared" si="0"/>
        <v>SAFE</v>
      </c>
    </row>
    <row r="35" spans="2:7" ht="13.5">
      <c r="B35" s="101"/>
      <c r="C35" s="99"/>
      <c r="D35" s="62" t="s">
        <v>259</v>
      </c>
      <c r="E35" s="46" t="str">
        <f>データ!S41</f>
        <v>***</v>
      </c>
      <c r="F35" s="46">
        <f>データ!T41</f>
        <v>0</v>
      </c>
      <c r="G35" s="46" t="str">
        <f>IF(E35&lt;=F35,"OUT","SAFE")</f>
        <v>SAFE</v>
      </c>
    </row>
    <row r="36" spans="2:7" ht="13.5">
      <c r="B36" s="101"/>
      <c r="C36" s="62" t="s">
        <v>256</v>
      </c>
      <c r="D36" s="62" t="s">
        <v>260</v>
      </c>
      <c r="E36" s="46">
        <f>データ!S42</f>
        <v>4.6</v>
      </c>
      <c r="F36" s="46">
        <f>データ!T42</f>
        <v>160</v>
      </c>
      <c r="G36" s="46" t="str">
        <f t="shared" si="0"/>
        <v>SAFE</v>
      </c>
    </row>
    <row r="37" spans="2:7" ht="13.5">
      <c r="B37" s="100" t="s">
        <v>265</v>
      </c>
      <c r="C37" s="98" t="s">
        <v>255</v>
      </c>
      <c r="D37" s="60" t="s">
        <v>258</v>
      </c>
      <c r="E37" s="46">
        <f>データ!S43</f>
        <v>0.08</v>
      </c>
      <c r="F37" s="46">
        <f>データ!T43</f>
        <v>7</v>
      </c>
      <c r="G37" s="46" t="str">
        <f t="shared" si="0"/>
        <v>SAFE</v>
      </c>
    </row>
    <row r="38" spans="2:7" ht="13.5">
      <c r="B38" s="101"/>
      <c r="C38" s="99"/>
      <c r="D38" s="62" t="s">
        <v>259</v>
      </c>
      <c r="E38" s="46" t="str">
        <f>データ!S44</f>
        <v>***</v>
      </c>
      <c r="F38" s="46">
        <f>データ!T44</f>
        <v>0</v>
      </c>
      <c r="G38" s="46" t="str">
        <f>IF(E38&lt;=F38,"OUT","SAFE")</f>
        <v>SAFE</v>
      </c>
    </row>
    <row r="39" spans="2:7" ht="13.5">
      <c r="B39" s="101"/>
      <c r="C39" s="62" t="s">
        <v>256</v>
      </c>
      <c r="D39" s="62" t="s">
        <v>260</v>
      </c>
      <c r="E39" s="46">
        <f>データ!S45</f>
        <v>1.8</v>
      </c>
      <c r="F39" s="46">
        <f>データ!T45</f>
        <v>160</v>
      </c>
      <c r="G39" s="46" t="str">
        <f t="shared" si="0"/>
        <v>SAFE</v>
      </c>
    </row>
    <row r="42" spans="2:9" ht="13.5">
      <c r="B42" s="94"/>
      <c r="C42" s="94"/>
      <c r="D42" s="94"/>
      <c r="E42" s="94"/>
      <c r="F42" s="94"/>
      <c r="G42" s="94"/>
      <c r="H42" s="94"/>
      <c r="I42" s="94"/>
    </row>
    <row r="43" spans="2:9" ht="13.5">
      <c r="B43" s="95"/>
      <c r="C43" s="94"/>
      <c r="D43" s="94"/>
      <c r="E43" s="94"/>
      <c r="F43" s="94"/>
      <c r="G43" s="94"/>
      <c r="H43" s="94"/>
      <c r="I43" s="94"/>
    </row>
    <row r="44" spans="2:9" ht="13.5">
      <c r="B44" s="94"/>
      <c r="C44" s="94"/>
      <c r="D44" s="94"/>
      <c r="E44" s="94"/>
      <c r="F44" s="94"/>
      <c r="G44" s="94"/>
      <c r="H44" s="94"/>
      <c r="I44" s="94"/>
    </row>
    <row r="45" spans="2:9" ht="13.5">
      <c r="B45" s="94"/>
      <c r="C45" s="94"/>
      <c r="D45" s="94"/>
      <c r="E45" s="94"/>
      <c r="F45" s="94"/>
      <c r="G45" s="94"/>
      <c r="H45" s="94"/>
      <c r="I45" s="94"/>
    </row>
    <row r="46" spans="2:9" ht="13.5">
      <c r="B46" s="94"/>
      <c r="C46" s="94"/>
      <c r="D46" s="94"/>
      <c r="E46" s="94"/>
      <c r="F46" s="94"/>
      <c r="G46" s="94"/>
      <c r="H46" s="94"/>
      <c r="I46" s="94"/>
    </row>
    <row r="47" spans="2:9" ht="16.5">
      <c r="B47" s="96"/>
      <c r="C47" s="97"/>
      <c r="D47" s="94"/>
      <c r="E47" s="94"/>
      <c r="F47" s="94"/>
      <c r="G47" s="94"/>
      <c r="H47" s="94"/>
      <c r="I47" s="94"/>
    </row>
    <row r="48" spans="2:9" ht="16.5">
      <c r="B48" s="96"/>
      <c r="C48" s="97"/>
      <c r="D48" s="94"/>
      <c r="E48" s="94"/>
      <c r="F48" s="94"/>
      <c r="G48" s="94"/>
      <c r="H48" s="94"/>
      <c r="I48" s="94"/>
    </row>
    <row r="50" ht="13.5">
      <c r="A50" s="44" t="s">
        <v>337</v>
      </c>
    </row>
  </sheetData>
  <sheetProtection sheet="1" objects="1" scenarios="1"/>
  <mergeCells count="6">
    <mergeCell ref="C31:C32"/>
    <mergeCell ref="C34:C35"/>
    <mergeCell ref="C37:C38"/>
    <mergeCell ref="B31:B33"/>
    <mergeCell ref="B34:B36"/>
    <mergeCell ref="B37:B39"/>
  </mergeCells>
  <conditionalFormatting sqref="E31">
    <cfRule type="cellIs" priority="1" dxfId="10" operator="greaterThan" stopIfTrue="1">
      <formula>$F$31</formula>
    </cfRule>
  </conditionalFormatting>
  <conditionalFormatting sqref="E32">
    <cfRule type="cellIs" priority="2" dxfId="10" operator="lessThan" stopIfTrue="1">
      <formula>$F$32</formula>
    </cfRule>
  </conditionalFormatting>
  <conditionalFormatting sqref="E33">
    <cfRule type="cellIs" priority="3" dxfId="10" operator="greaterThan" stopIfTrue="1">
      <formula>$F$33</formula>
    </cfRule>
  </conditionalFormatting>
  <conditionalFormatting sqref="E34">
    <cfRule type="cellIs" priority="4" dxfId="10" operator="greaterThan" stopIfTrue="1">
      <formula>$F$34</formula>
    </cfRule>
  </conditionalFormatting>
  <conditionalFormatting sqref="E35">
    <cfRule type="cellIs" priority="5" dxfId="10" operator="lessThan" stopIfTrue="1">
      <formula>$F$35</formula>
    </cfRule>
  </conditionalFormatting>
  <conditionalFormatting sqref="E36">
    <cfRule type="cellIs" priority="6" dxfId="10" operator="greaterThan" stopIfTrue="1">
      <formula>$F$36</formula>
    </cfRule>
  </conditionalFormatting>
  <conditionalFormatting sqref="E37">
    <cfRule type="cellIs" priority="7" dxfId="10" operator="greaterThan" stopIfTrue="1">
      <formula>$F$37</formula>
    </cfRule>
  </conditionalFormatting>
  <conditionalFormatting sqref="E38">
    <cfRule type="cellIs" priority="8" dxfId="10" operator="lessThan" stopIfTrue="1">
      <formula>$F$38</formula>
    </cfRule>
  </conditionalFormatting>
  <conditionalFormatting sqref="E39">
    <cfRule type="cellIs" priority="9" dxfId="10" operator="greaterThan" stopIfTrue="1">
      <formula>$F$39</formula>
    </cfRule>
  </conditionalFormatting>
  <printOptions/>
  <pageMargins left="0.75" right="0.75" top="1" bottom="1" header="0.512" footer="0.512"/>
  <pageSetup horizontalDpi="600" verticalDpi="600" orientation="landscape" paperSize="9" scale="75" r:id="rId3"/>
  <headerFooter alignWithMargins="0">
    <oddHeader>&amp;C&amp;A</oddHeader>
    <oddFooter>&amp;C- &amp;P -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01"/>
  <sheetViews>
    <sheetView zoomScalePageLayoutView="0" workbookViewId="0" topLeftCell="A22">
      <selection activeCell="H39" sqref="H39"/>
    </sheetView>
  </sheetViews>
  <sheetFormatPr defaultColWidth="9.00390625" defaultRowHeight="12.75"/>
  <cols>
    <col min="1" max="10" width="8.875" style="10" customWidth="1"/>
    <col min="11" max="17" width="8.875" style="65" customWidth="1"/>
    <col min="18" max="18" width="16.50390625" style="65" bestFit="1" customWidth="1"/>
    <col min="19" max="24" width="8.875" style="65" customWidth="1"/>
    <col min="25" max="16384" width="8.875" style="10" customWidth="1"/>
  </cols>
  <sheetData>
    <row r="1" ht="13.5">
      <c r="A1" s="20" t="s">
        <v>92</v>
      </c>
    </row>
    <row r="2" spans="2:7" ht="13.5">
      <c r="B2" s="4" t="s">
        <v>93</v>
      </c>
      <c r="C2" s="5"/>
      <c r="D2" s="5"/>
      <c r="E2" s="5"/>
      <c r="F2" s="5"/>
      <c r="G2" s="5"/>
    </row>
    <row r="3" spans="2:7" ht="13.5">
      <c r="B3" s="5"/>
      <c r="C3" s="4" t="s">
        <v>94</v>
      </c>
      <c r="D3" s="19">
        <f>'入力'!C3</f>
        <v>1</v>
      </c>
      <c r="E3" s="5" t="s">
        <v>95</v>
      </c>
      <c r="G3" s="5"/>
    </row>
    <row r="4" spans="2:7" ht="13.5">
      <c r="B4" s="5"/>
      <c r="C4" s="4" t="s">
        <v>96</v>
      </c>
      <c r="D4" s="19">
        <f>'入力'!C4</f>
        <v>0.2</v>
      </c>
      <c r="E4" s="5" t="s">
        <v>95</v>
      </c>
      <c r="G4" s="5"/>
    </row>
    <row r="5" spans="2:7" ht="13.5">
      <c r="B5" s="5"/>
      <c r="C5" s="4" t="s">
        <v>97</v>
      </c>
      <c r="D5" s="19">
        <f>'入力'!C5</f>
        <v>0.1</v>
      </c>
      <c r="E5" s="5" t="s">
        <v>98</v>
      </c>
      <c r="G5" s="5"/>
    </row>
    <row r="6" spans="2:7" ht="13.5">
      <c r="B6" s="5"/>
      <c r="C6" s="4" t="s">
        <v>99</v>
      </c>
      <c r="D6" s="19">
        <f>'入力'!C6</f>
        <v>0.1</v>
      </c>
      <c r="E6" s="5" t="s">
        <v>100</v>
      </c>
      <c r="G6" s="5"/>
    </row>
    <row r="7" spans="2:7" ht="13.5">
      <c r="B7" s="4" t="s">
        <v>101</v>
      </c>
      <c r="C7" s="5"/>
      <c r="D7" s="5"/>
      <c r="E7" s="5"/>
      <c r="F7" s="5"/>
      <c r="G7" s="5"/>
    </row>
    <row r="8" spans="2:7" ht="16.5">
      <c r="B8" s="5"/>
      <c r="C8" s="4" t="s">
        <v>102</v>
      </c>
      <c r="D8" s="6" t="s">
        <v>55</v>
      </c>
      <c r="E8" s="10">
        <f>'入力'!D8</f>
        <v>10</v>
      </c>
      <c r="F8" s="5" t="s">
        <v>103</v>
      </c>
      <c r="G8" s="5"/>
    </row>
    <row r="9" spans="2:7" ht="13.5">
      <c r="B9" s="5"/>
      <c r="C9" s="5"/>
      <c r="D9" s="5"/>
      <c r="E9" s="9"/>
      <c r="F9" s="5"/>
      <c r="G9" s="5"/>
    </row>
    <row r="10" spans="2:7" ht="13.5">
      <c r="B10" s="7" t="s">
        <v>104</v>
      </c>
      <c r="C10" s="5"/>
      <c r="D10" s="5"/>
      <c r="E10" s="9"/>
      <c r="F10" s="5"/>
      <c r="G10" s="5"/>
    </row>
    <row r="11" spans="2:7" ht="16.5">
      <c r="B11" s="5"/>
      <c r="C11" s="7" t="s">
        <v>105</v>
      </c>
      <c r="D11" s="5"/>
      <c r="E11" s="10">
        <f>'入力'!D14</f>
        <v>19</v>
      </c>
      <c r="F11" s="5" t="s">
        <v>106</v>
      </c>
      <c r="G11" s="5"/>
    </row>
    <row r="12" spans="2:7" ht="13.5">
      <c r="B12" s="5"/>
      <c r="C12" s="7" t="s">
        <v>107</v>
      </c>
      <c r="D12" s="5"/>
      <c r="E12" s="10">
        <f>'入力'!D15</f>
        <v>30</v>
      </c>
      <c r="F12" s="7" t="s">
        <v>108</v>
      </c>
      <c r="G12" s="5"/>
    </row>
    <row r="13" spans="2:7" ht="13.5">
      <c r="B13" s="5"/>
      <c r="C13" s="5"/>
      <c r="D13" s="5"/>
      <c r="E13" s="9"/>
      <c r="F13" s="5"/>
      <c r="G13" s="5"/>
    </row>
    <row r="14" spans="2:7" ht="13.5">
      <c r="B14" s="7" t="s">
        <v>109</v>
      </c>
      <c r="C14" s="5" t="str">
        <f>データ!B11</f>
        <v>主働土圧</v>
      </c>
      <c r="D14" s="5"/>
      <c r="E14" s="9"/>
      <c r="F14" s="5"/>
      <c r="G14" s="5"/>
    </row>
    <row r="15" spans="2:7" ht="13.5">
      <c r="B15" s="5"/>
      <c r="C15" s="5"/>
      <c r="D15" s="5"/>
      <c r="E15" s="9"/>
      <c r="F15" s="5"/>
      <c r="G15" s="5"/>
    </row>
    <row r="16" spans="2:7" ht="13.5">
      <c r="B16" s="7" t="s">
        <v>110</v>
      </c>
      <c r="C16" s="5" t="str">
        <f>データ!B16</f>
        <v>鉄筋コンクリート</v>
      </c>
      <c r="D16" s="5"/>
      <c r="E16" s="9"/>
      <c r="F16" s="5"/>
      <c r="G16" s="5"/>
    </row>
    <row r="17" spans="2:7" ht="18">
      <c r="B17" s="5"/>
      <c r="C17" s="7" t="s">
        <v>111</v>
      </c>
      <c r="D17" s="5"/>
      <c r="E17" s="10">
        <v>24.5</v>
      </c>
      <c r="F17" s="5" t="s">
        <v>106</v>
      </c>
      <c r="G17" s="5"/>
    </row>
    <row r="18" spans="2:7" ht="13.5">
      <c r="B18" s="5"/>
      <c r="C18" s="5"/>
      <c r="D18" s="5"/>
      <c r="E18" s="5"/>
      <c r="F18" s="5"/>
      <c r="G18" s="5"/>
    </row>
    <row r="19" spans="2:7" ht="13.5">
      <c r="B19" s="7" t="s">
        <v>112</v>
      </c>
      <c r="C19" s="5"/>
      <c r="D19" s="5"/>
      <c r="E19" s="5"/>
      <c r="F19" s="5"/>
      <c r="G19" s="5"/>
    </row>
    <row r="20" spans="2:7" ht="15.75">
      <c r="B20" s="5"/>
      <c r="C20" s="5"/>
      <c r="D20" s="8" t="s">
        <v>113</v>
      </c>
      <c r="E20" s="8" t="s">
        <v>114</v>
      </c>
      <c r="F20" s="9">
        <f>'入力'!E21</f>
        <v>21</v>
      </c>
      <c r="G20" s="5" t="s">
        <v>276</v>
      </c>
    </row>
    <row r="21" spans="2:7" ht="13.5">
      <c r="B21" s="5"/>
      <c r="C21" s="7" t="s">
        <v>115</v>
      </c>
      <c r="D21" s="5" t="str">
        <f>データ!B21</f>
        <v>SD295A</v>
      </c>
      <c r="E21" s="5"/>
      <c r="F21" s="5"/>
      <c r="G21" s="5"/>
    </row>
    <row r="22" spans="2:7" ht="13.5">
      <c r="B22" s="5"/>
      <c r="C22" s="5"/>
      <c r="D22" s="5"/>
      <c r="E22" s="5"/>
      <c r="F22" s="5"/>
      <c r="G22" s="5"/>
    </row>
    <row r="23" spans="2:7" ht="13.5">
      <c r="B23" s="5"/>
      <c r="C23" s="15"/>
      <c r="D23" s="16" t="s">
        <v>116</v>
      </c>
      <c r="E23" s="16" t="s">
        <v>87</v>
      </c>
      <c r="F23" s="17" t="s">
        <v>117</v>
      </c>
      <c r="G23" s="5"/>
    </row>
    <row r="24" spans="2:7" ht="13.5">
      <c r="B24" s="5"/>
      <c r="C24" s="18"/>
      <c r="D24" s="18" t="s">
        <v>118</v>
      </c>
      <c r="E24" s="18" t="s">
        <v>118</v>
      </c>
      <c r="F24" s="18" t="s">
        <v>118</v>
      </c>
      <c r="G24" s="5"/>
    </row>
    <row r="25" spans="2:7" ht="13.5">
      <c r="B25" s="5"/>
      <c r="C25" s="14" t="s">
        <v>119</v>
      </c>
      <c r="D25" s="13">
        <f>'入力'!C26</f>
        <v>13</v>
      </c>
      <c r="E25" s="13">
        <f>'入力'!D26</f>
        <v>250</v>
      </c>
      <c r="F25" s="13">
        <f>'入力'!E26</f>
        <v>40</v>
      </c>
      <c r="G25" s="5"/>
    </row>
    <row r="26" spans="2:7" ht="13.5">
      <c r="B26" s="5"/>
      <c r="C26" s="14" t="s">
        <v>120</v>
      </c>
      <c r="D26" s="13">
        <f>'入力'!C27</f>
        <v>13</v>
      </c>
      <c r="E26" s="13">
        <f>'入力'!D27</f>
        <v>250</v>
      </c>
      <c r="F26" s="13">
        <f>'入力'!E27</f>
        <v>40</v>
      </c>
      <c r="G26" s="5"/>
    </row>
    <row r="27" spans="2:7" ht="13.5">
      <c r="B27" s="5"/>
      <c r="C27" s="14" t="s">
        <v>121</v>
      </c>
      <c r="D27" s="13">
        <f>'入力'!C28</f>
        <v>13</v>
      </c>
      <c r="E27" s="13">
        <f>'入力'!D28</f>
        <v>250</v>
      </c>
      <c r="F27" s="13">
        <f>'入力'!E28</f>
        <v>40</v>
      </c>
      <c r="G27" s="5"/>
    </row>
    <row r="31" ht="13.5"/>
    <row r="32" ht="13.5"/>
    <row r="33" ht="13.5"/>
    <row r="34" ht="13.5"/>
    <row r="35" ht="13.5"/>
    <row r="36" ht="13.5"/>
    <row r="37" ht="13.5">
      <c r="Y37" s="65"/>
    </row>
    <row r="38" ht="13.5">
      <c r="Y38" s="65"/>
    </row>
    <row r="39" spans="4:25" ht="13.5">
      <c r="D39" s="10" t="str">
        <f>'入力'!Z10</f>
        <v>13@250mm</v>
      </c>
      <c r="Y39" s="65"/>
    </row>
    <row r="40" spans="4:25" ht="13.5">
      <c r="D40" s="10" t="str">
        <f>'入力'!Z11</f>
        <v>SD295A</v>
      </c>
      <c r="Y40" s="65"/>
    </row>
    <row r="41" ht="13.5">
      <c r="Y41" s="65"/>
    </row>
    <row r="42" ht="13.5">
      <c r="Y42" s="65"/>
    </row>
    <row r="43" ht="13.5">
      <c r="Y43" s="65"/>
    </row>
    <row r="44" ht="13.5">
      <c r="Y44" s="65"/>
    </row>
    <row r="45" ht="13.5">
      <c r="Y45" s="65"/>
    </row>
    <row r="46" ht="13.5">
      <c r="Y46" s="65"/>
    </row>
    <row r="47" ht="13.5">
      <c r="Y47" s="65"/>
    </row>
    <row r="48" ht="13.5">
      <c r="Y48" s="65"/>
    </row>
    <row r="49" spans="1:25" ht="13.5">
      <c r="A49" t="s">
        <v>139</v>
      </c>
      <c r="R49" s="66" t="s">
        <v>321</v>
      </c>
      <c r="S49" s="65">
        <f>5*G62/D3</f>
        <v>24.558749999999996</v>
      </c>
      <c r="Y49" s="65"/>
    </row>
    <row r="50" ht="13.5">
      <c r="Y50" s="65"/>
    </row>
    <row r="51" spans="2:25" ht="15.75">
      <c r="B51" s="20" t="s">
        <v>122</v>
      </c>
      <c r="C51" s="1" t="s">
        <v>123</v>
      </c>
      <c r="D51" s="21" t="s">
        <v>127</v>
      </c>
      <c r="E51" s="10">
        <f>D4+D6/2</f>
        <v>0.25</v>
      </c>
      <c r="F51" s="10" t="s">
        <v>3</v>
      </c>
      <c r="P51" s="65" t="s">
        <v>190</v>
      </c>
      <c r="Q51" s="66" t="s">
        <v>324</v>
      </c>
      <c r="R51" s="66" t="s">
        <v>322</v>
      </c>
      <c r="S51" s="66" t="s">
        <v>323</v>
      </c>
      <c r="T51" s="66" t="s">
        <v>327</v>
      </c>
      <c r="Y51" s="65"/>
    </row>
    <row r="52" spans="3:25" ht="15.75">
      <c r="C52" s="23" t="s">
        <v>28</v>
      </c>
      <c r="D52" s="21" t="s">
        <v>128</v>
      </c>
      <c r="E52" s="10">
        <f>D3+D5</f>
        <v>1.1</v>
      </c>
      <c r="F52" s="10" t="s">
        <v>3</v>
      </c>
      <c r="P52" s="65">
        <v>0</v>
      </c>
      <c r="Q52" s="65">
        <f>E51</f>
        <v>0.25</v>
      </c>
      <c r="Y52" s="65"/>
    </row>
    <row r="53" spans="2:25" ht="15.75">
      <c r="B53" s="11" t="s">
        <v>124</v>
      </c>
      <c r="C53" s="12" t="s">
        <v>125</v>
      </c>
      <c r="D53" s="21" t="s">
        <v>129</v>
      </c>
      <c r="E53" s="24">
        <f>D5</f>
        <v>0.1</v>
      </c>
      <c r="F53" s="10" t="s">
        <v>3</v>
      </c>
      <c r="P53" s="65">
        <f>P52</f>
        <v>0</v>
      </c>
      <c r="Q53" s="65">
        <f>0</f>
        <v>0</v>
      </c>
      <c r="Y53" s="65"/>
    </row>
    <row r="54" spans="3:25" ht="15.75">
      <c r="C54" s="12" t="s">
        <v>126</v>
      </c>
      <c r="D54" s="21" t="s">
        <v>130</v>
      </c>
      <c r="E54" s="24">
        <f>D6</f>
        <v>0.1</v>
      </c>
      <c r="F54" s="10" t="s">
        <v>3</v>
      </c>
      <c r="P54" s="65">
        <f>E52</f>
        <v>1.1</v>
      </c>
      <c r="Q54" s="65">
        <f>Q53</f>
        <v>0</v>
      </c>
      <c r="Y54" s="65"/>
    </row>
    <row r="55" spans="5:25" ht="13.5">
      <c r="E55" s="22"/>
      <c r="P55" s="65">
        <f>P54</f>
        <v>1.1</v>
      </c>
      <c r="Q55" s="65">
        <f>Q52</f>
        <v>0.25</v>
      </c>
      <c r="Y55" s="65"/>
    </row>
    <row r="56" spans="2:25" ht="13.5">
      <c r="B56" s="23" t="s">
        <v>32</v>
      </c>
      <c r="E56" s="19">
        <f>E51*D5*E17</f>
        <v>0.6125</v>
      </c>
      <c r="F56" s="10" t="s">
        <v>131</v>
      </c>
      <c r="P56" s="65">
        <v>0</v>
      </c>
      <c r="R56" s="65">
        <f>Q52</f>
        <v>0.25</v>
      </c>
      <c r="Y56" s="65"/>
    </row>
    <row r="57" spans="5:25" ht="13.5">
      <c r="E57" s="22"/>
      <c r="P57" s="65">
        <f>-G61/S49</f>
        <v>-0.13559322033898308</v>
      </c>
      <c r="R57" s="65">
        <f>R56</f>
        <v>0.25</v>
      </c>
      <c r="Y57" s="65"/>
    </row>
    <row r="58" spans="2:25" ht="13.5">
      <c r="B58" s="1" t="s">
        <v>138</v>
      </c>
      <c r="P58" s="65">
        <f>-G62/S49</f>
        <v>-0.2</v>
      </c>
      <c r="R58" s="65">
        <v>0</v>
      </c>
      <c r="Y58" s="65"/>
    </row>
    <row r="59" spans="3:25" ht="13.5">
      <c r="C59" s="11" t="s">
        <v>133</v>
      </c>
      <c r="E59" s="10" t="str">
        <f>IF(データ!A11=1,"主働土圧","静止土圧")</f>
        <v>主働土圧</v>
      </c>
      <c r="F59" s="10" t="str">
        <f>IF(データ!A11=1,"ランキン式",IF(データ!A11=3,"ヤーキー式",""))</f>
        <v>ランキン式</v>
      </c>
      <c r="P59" s="65">
        <v>0</v>
      </c>
      <c r="R59" s="65">
        <v>0</v>
      </c>
      <c r="Y59" s="65"/>
    </row>
    <row r="60" spans="3:25" ht="13.5">
      <c r="C60" s="11" t="s">
        <v>134</v>
      </c>
      <c r="D60" s="21"/>
      <c r="F60" s="22" t="str">
        <f>IF(R73=1,Q71,IF(R73=3,Q72,""))</f>
        <v>K=tan2(π/4-φ/2)=</v>
      </c>
      <c r="G60" s="25">
        <f>データ!C11</f>
        <v>0.333</v>
      </c>
      <c r="P60" s="65">
        <f>$E$52-P56</f>
        <v>1.1</v>
      </c>
      <c r="S60" s="65">
        <f>R56</f>
        <v>0.25</v>
      </c>
      <c r="Y60" s="65"/>
    </row>
    <row r="61" spans="3:25" ht="16.5">
      <c r="C61" s="11" t="s">
        <v>135</v>
      </c>
      <c r="D61" s="12" t="s">
        <v>137</v>
      </c>
      <c r="E61" s="21"/>
      <c r="G61" s="19">
        <f>G60*E8</f>
        <v>3.33</v>
      </c>
      <c r="H61" s="10" t="s">
        <v>59</v>
      </c>
      <c r="P61" s="65">
        <f>$E$52-P57</f>
        <v>1.2355932203389832</v>
      </c>
      <c r="S61" s="65">
        <f>R57</f>
        <v>0.25</v>
      </c>
      <c r="Y61" s="65"/>
    </row>
    <row r="62" spans="4:25" ht="16.5">
      <c r="D62" s="12" t="s">
        <v>136</v>
      </c>
      <c r="E62" s="21"/>
      <c r="G62" s="19">
        <f>G61+G60*E11*E51</f>
        <v>4.91175</v>
      </c>
      <c r="H62" s="10" t="s">
        <v>59</v>
      </c>
      <c r="P62" s="65">
        <f>$E$52-P58</f>
        <v>1.3</v>
      </c>
      <c r="S62" s="65">
        <f>R58</f>
        <v>0</v>
      </c>
      <c r="Y62" s="65"/>
    </row>
    <row r="63" spans="16:25" ht="13.5">
      <c r="P63" s="65">
        <f>$E$52-P59</f>
        <v>1.1</v>
      </c>
      <c r="S63" s="65">
        <f>R59</f>
        <v>0</v>
      </c>
      <c r="Y63" s="65"/>
    </row>
    <row r="64" spans="2:25" ht="16.5">
      <c r="B64" s="23" t="s">
        <v>35</v>
      </c>
      <c r="E64" s="19">
        <f>2*E56/E52</f>
        <v>1.1136363636363635</v>
      </c>
      <c r="F64" s="10" t="s">
        <v>59</v>
      </c>
      <c r="P64" s="65">
        <v>0</v>
      </c>
      <c r="T64" s="65">
        <v>0</v>
      </c>
      <c r="Y64" s="65"/>
    </row>
    <row r="65" spans="16:25" ht="13.5">
      <c r="P65" s="65">
        <v>0</v>
      </c>
      <c r="T65" s="65">
        <f>-E64/S49</f>
        <v>-0.045345808057672465</v>
      </c>
      <c r="Y65" s="65"/>
    </row>
    <row r="66" spans="16:25" ht="13.5">
      <c r="P66" s="65">
        <f>E52</f>
        <v>1.1</v>
      </c>
      <c r="T66" s="65">
        <f>T65</f>
        <v>-0.045345808057672465</v>
      </c>
      <c r="Y66" s="65"/>
    </row>
    <row r="67" spans="16:25" ht="13.5">
      <c r="P67" s="65">
        <f>P66</f>
        <v>1.1</v>
      </c>
      <c r="T67" s="65">
        <f>0</f>
        <v>0</v>
      </c>
      <c r="Y67" s="65"/>
    </row>
    <row r="68" ht="13.5">
      <c r="Y68" s="65"/>
    </row>
    <row r="69" ht="13.5">
      <c r="Y69" s="65"/>
    </row>
    <row r="70" spans="17:25" ht="13.5">
      <c r="Q70" s="67" t="s">
        <v>273</v>
      </c>
      <c r="Y70" s="65"/>
    </row>
    <row r="71" spans="17:25" ht="16.5">
      <c r="Q71" s="67" t="s">
        <v>274</v>
      </c>
      <c r="Y71" s="65"/>
    </row>
    <row r="72" spans="17:25" ht="13.5">
      <c r="Q72" s="67" t="s">
        <v>275</v>
      </c>
      <c r="Y72" s="65"/>
    </row>
    <row r="73" spans="17:25" ht="13.5">
      <c r="Q73" s="66" t="s">
        <v>328</v>
      </c>
      <c r="R73" s="65">
        <f>データ!A11</f>
        <v>1</v>
      </c>
      <c r="Y73" s="65"/>
    </row>
    <row r="74" ht="13.5">
      <c r="Y74" s="65"/>
    </row>
    <row r="75" ht="13.5">
      <c r="Y75" s="65"/>
    </row>
    <row r="76" ht="13.5">
      <c r="Y76" s="65"/>
    </row>
    <row r="77" ht="13.5">
      <c r="Y77" s="65"/>
    </row>
    <row r="78" ht="13.5">
      <c r="Y78" s="65"/>
    </row>
    <row r="79" ht="13.5">
      <c r="Y79" s="65"/>
    </row>
    <row r="80" ht="13.5">
      <c r="Y80" s="65"/>
    </row>
    <row r="81" spans="4:25" ht="13.5">
      <c r="D81" s="11" t="s">
        <v>140</v>
      </c>
      <c r="Y81" s="65"/>
    </row>
    <row r="82" ht="13.5">
      <c r="Y82" s="65"/>
    </row>
    <row r="83" ht="13.5">
      <c r="Y83" s="65"/>
    </row>
    <row r="84" spans="1:25" ht="13.5">
      <c r="A84" s="11" t="s">
        <v>141</v>
      </c>
      <c r="Y84" s="65"/>
    </row>
    <row r="85" ht="13.5">
      <c r="Y85" s="65"/>
    </row>
    <row r="86" spans="2:25" ht="13.5">
      <c r="B86" s="11" t="s">
        <v>145</v>
      </c>
      <c r="Y86" s="65"/>
    </row>
    <row r="87" ht="13.5">
      <c r="Y87" s="65"/>
    </row>
    <row r="88" ht="13.5">
      <c r="Y88" s="65"/>
    </row>
    <row r="89" spans="2:25" ht="13.5">
      <c r="B89" s="11" t="s">
        <v>126</v>
      </c>
      <c r="R89" s="70" t="s">
        <v>39</v>
      </c>
      <c r="S89" s="65">
        <f>ABS(D3/(5*E167))</f>
        <v>1.6592131700045367</v>
      </c>
      <c r="Y89" s="65"/>
    </row>
    <row r="90" spans="18:25" ht="13.5">
      <c r="R90" s="65" t="s">
        <v>6</v>
      </c>
      <c r="S90" s="66" t="s">
        <v>325</v>
      </c>
      <c r="T90" s="66" t="s">
        <v>330</v>
      </c>
      <c r="U90" s="66" t="s">
        <v>320</v>
      </c>
      <c r="V90" s="66" t="s">
        <v>326</v>
      </c>
      <c r="Y90" s="65"/>
    </row>
    <row r="91" spans="18:25" ht="13.5">
      <c r="R91" s="71">
        <f aca="true" t="shared" si="0" ref="R91:R111">C94*$S$89</f>
        <v>0</v>
      </c>
      <c r="S91" s="71">
        <f>E51</f>
        <v>0.25</v>
      </c>
      <c r="Y91" s="65"/>
    </row>
    <row r="92" spans="2:25" ht="13.5">
      <c r="B92" s="102" t="s">
        <v>145</v>
      </c>
      <c r="C92" s="102"/>
      <c r="D92" s="103" t="s">
        <v>38</v>
      </c>
      <c r="E92" s="102"/>
      <c r="R92" s="71">
        <f t="shared" si="0"/>
        <v>-0.0004350719424460433</v>
      </c>
      <c r="S92" s="71">
        <f>S91-$S$91/20</f>
        <v>0.2375</v>
      </c>
      <c r="Y92" s="65"/>
    </row>
    <row r="93" spans="2:25" ht="13.5">
      <c r="B93" s="26" t="s">
        <v>143</v>
      </c>
      <c r="C93" s="27" t="s">
        <v>146</v>
      </c>
      <c r="D93" s="27" t="s">
        <v>144</v>
      </c>
      <c r="E93" s="27" t="s">
        <v>146</v>
      </c>
      <c r="R93" s="71">
        <f t="shared" si="0"/>
        <v>-0.0017539568345323745</v>
      </c>
      <c r="S93" s="71">
        <f aca="true" t="shared" si="1" ref="S93:S110">S92-$S$91/20</f>
        <v>0.22499999999999998</v>
      </c>
      <c r="Y93" s="65"/>
    </row>
    <row r="94" spans="2:25" ht="13.5">
      <c r="B94" s="28">
        <v>0</v>
      </c>
      <c r="C94" s="41">
        <f aca="true" t="shared" si="2" ref="C94:C114">-1/6*$E$11*B94^3*$G$60-1/2*$G$60*$E$8*B94^2</f>
        <v>0</v>
      </c>
      <c r="D94" s="28">
        <v>0</v>
      </c>
      <c r="E94" s="41">
        <f>C114</f>
        <v>-0.12053906250000006</v>
      </c>
      <c r="R94" s="71">
        <f t="shared" si="0"/>
        <v>-0.003977158273381296</v>
      </c>
      <c r="S94" s="71">
        <f t="shared" si="1"/>
        <v>0.21249999999999997</v>
      </c>
      <c r="Y94" s="65"/>
    </row>
    <row r="95" spans="2:25" ht="13.5">
      <c r="B95" s="28">
        <f aca="true" t="shared" si="3" ref="B95:B114">B94+$E$51/20</f>
        <v>0.0125</v>
      </c>
      <c r="C95" s="41">
        <f t="shared" si="2"/>
        <v>-0.0002622158203125001</v>
      </c>
      <c r="D95" s="28">
        <f aca="true" t="shared" si="4" ref="D95:D114">D94+$E$52/20</f>
        <v>0.05500000000000001</v>
      </c>
      <c r="E95" s="41">
        <f aca="true" t="shared" si="5" ref="E95:E114">$E$94+$E$56*D95-1/2*$E$64*D95^2</f>
        <v>-0.08853593750000005</v>
      </c>
      <c r="R95" s="71">
        <f t="shared" si="0"/>
        <v>-0.007125179856115109</v>
      </c>
      <c r="S95" s="71">
        <f t="shared" si="1"/>
        <v>0.19999999999999996</v>
      </c>
      <c r="Y95" s="65"/>
    </row>
    <row r="96" spans="2:25" ht="13.5">
      <c r="B96" s="28">
        <f t="shared" si="3"/>
        <v>0.025</v>
      </c>
      <c r="C96" s="41">
        <f t="shared" si="2"/>
        <v>-0.0010571015625000003</v>
      </c>
      <c r="D96" s="28">
        <f t="shared" si="4"/>
        <v>0.11000000000000001</v>
      </c>
      <c r="E96" s="41">
        <f t="shared" si="5"/>
        <v>-0.05990156250000004</v>
      </c>
      <c r="R96" s="71">
        <f t="shared" si="0"/>
        <v>-0.011218525179856114</v>
      </c>
      <c r="S96" s="71">
        <f t="shared" si="1"/>
        <v>0.18749999999999994</v>
      </c>
      <c r="Y96" s="65"/>
    </row>
    <row r="97" spans="2:25" ht="13.5">
      <c r="B97" s="28">
        <f t="shared" si="3"/>
        <v>0.037500000000000006</v>
      </c>
      <c r="C97" s="41">
        <f t="shared" si="2"/>
        <v>-0.0023970146484375006</v>
      </c>
      <c r="D97" s="28">
        <f t="shared" si="4"/>
        <v>0.16500000000000004</v>
      </c>
      <c r="E97" s="41">
        <f t="shared" si="5"/>
        <v>-0.03463593750000003</v>
      </c>
      <c r="R97" s="71">
        <f t="shared" si="0"/>
        <v>-0.016277697841726616</v>
      </c>
      <c r="S97" s="71">
        <f t="shared" si="1"/>
        <v>0.17499999999999993</v>
      </c>
      <c r="Y97" s="65"/>
    </row>
    <row r="98" spans="2:25" ht="13.5">
      <c r="B98" s="28">
        <f t="shared" si="3"/>
        <v>0.05</v>
      </c>
      <c r="C98" s="41">
        <f t="shared" si="2"/>
        <v>-0.004294312500000001</v>
      </c>
      <c r="D98" s="28">
        <f t="shared" si="4"/>
        <v>0.22000000000000003</v>
      </c>
      <c r="E98" s="41">
        <f t="shared" si="5"/>
        <v>-0.012739062500000026</v>
      </c>
      <c r="R98" s="71">
        <f t="shared" si="0"/>
        <v>-0.022323201438848916</v>
      </c>
      <c r="S98" s="71">
        <f t="shared" si="1"/>
        <v>0.16249999999999992</v>
      </c>
      <c r="Y98" s="65"/>
    </row>
    <row r="99" spans="2:25" ht="13.5">
      <c r="B99" s="28">
        <f t="shared" si="3"/>
        <v>0.0625</v>
      </c>
      <c r="C99" s="41">
        <f t="shared" si="2"/>
        <v>-0.0067613525390625</v>
      </c>
      <c r="D99" s="28">
        <f t="shared" si="4"/>
        <v>0.275</v>
      </c>
      <c r="E99" s="41">
        <f t="shared" si="5"/>
        <v>0.005789062499999956</v>
      </c>
      <c r="R99" s="71">
        <f t="shared" si="0"/>
        <v>-0.029375539568345318</v>
      </c>
      <c r="S99" s="71">
        <f t="shared" si="1"/>
        <v>0.1499999999999999</v>
      </c>
      <c r="Y99" s="65"/>
    </row>
    <row r="100" spans="2:25" ht="13.5">
      <c r="B100" s="28">
        <f t="shared" si="3"/>
        <v>0.075</v>
      </c>
      <c r="C100" s="41">
        <f t="shared" si="2"/>
        <v>-0.0098104921875</v>
      </c>
      <c r="D100" s="28">
        <f t="shared" si="4"/>
        <v>0.33</v>
      </c>
      <c r="E100" s="41">
        <f t="shared" si="5"/>
        <v>0.020948437499999965</v>
      </c>
      <c r="R100" s="71">
        <f t="shared" si="0"/>
        <v>-0.037455215827338115</v>
      </c>
      <c r="S100" s="71">
        <f t="shared" si="1"/>
        <v>0.1374999999999999</v>
      </c>
      <c r="Y100" s="65"/>
    </row>
    <row r="101" spans="2:25" ht="13.5">
      <c r="B101" s="28">
        <f t="shared" si="3"/>
        <v>0.0875</v>
      </c>
      <c r="C101" s="41">
        <f t="shared" si="2"/>
        <v>-0.013454088867187498</v>
      </c>
      <c r="D101" s="28">
        <f t="shared" si="4"/>
        <v>0.385</v>
      </c>
      <c r="E101" s="41">
        <f t="shared" si="5"/>
        <v>0.032739062499999985</v>
      </c>
      <c r="R101" s="71">
        <f t="shared" si="0"/>
        <v>-0.04658273381294962</v>
      </c>
      <c r="S101" s="71">
        <f t="shared" si="1"/>
        <v>0.1249999999999999</v>
      </c>
      <c r="Y101" s="65"/>
    </row>
    <row r="102" spans="2:25" ht="13.5">
      <c r="B102" s="28">
        <f t="shared" si="3"/>
        <v>0.09999999999999999</v>
      </c>
      <c r="C102" s="41">
        <f t="shared" si="2"/>
        <v>-0.017704499999999998</v>
      </c>
      <c r="D102" s="28">
        <f t="shared" si="4"/>
        <v>0.44</v>
      </c>
      <c r="E102" s="41">
        <f t="shared" si="5"/>
        <v>0.04116093749999995</v>
      </c>
      <c r="R102" s="71">
        <f t="shared" si="0"/>
        <v>-0.05677859712230215</v>
      </c>
      <c r="S102" s="71">
        <f t="shared" si="1"/>
        <v>0.1124999999999999</v>
      </c>
      <c r="Y102" s="65"/>
    </row>
    <row r="103" spans="2:25" ht="13.5">
      <c r="B103" s="28">
        <f t="shared" si="3"/>
        <v>0.11249999999999999</v>
      </c>
      <c r="C103" s="41">
        <f t="shared" si="2"/>
        <v>-0.022574083007812495</v>
      </c>
      <c r="D103" s="28">
        <f t="shared" si="4"/>
        <v>0.495</v>
      </c>
      <c r="E103" s="41">
        <f t="shared" si="5"/>
        <v>0.04621406249999993</v>
      </c>
      <c r="R103" s="71">
        <f t="shared" si="0"/>
        <v>-0.06806330935251798</v>
      </c>
      <c r="S103" s="71">
        <f t="shared" si="1"/>
        <v>0.09999999999999991</v>
      </c>
      <c r="Y103" s="65"/>
    </row>
    <row r="104" spans="2:25" ht="13.5">
      <c r="B104" s="28">
        <f t="shared" si="3"/>
        <v>0.12499999999999999</v>
      </c>
      <c r="C104" s="41">
        <f t="shared" si="2"/>
        <v>-0.028075195312499992</v>
      </c>
      <c r="D104" s="28">
        <f t="shared" si="4"/>
        <v>0.55</v>
      </c>
      <c r="E104" s="41">
        <f t="shared" si="5"/>
        <v>0.047898437499999946</v>
      </c>
      <c r="R104" s="71">
        <f t="shared" si="0"/>
        <v>-0.08045737410071943</v>
      </c>
      <c r="S104" s="71">
        <f t="shared" si="1"/>
        <v>0.08749999999999991</v>
      </c>
      <c r="Y104" s="65"/>
    </row>
    <row r="105" spans="2:25" ht="13.5">
      <c r="B105" s="28">
        <f t="shared" si="3"/>
        <v>0.13749999999999998</v>
      </c>
      <c r="C105" s="41">
        <f t="shared" si="2"/>
        <v>-0.034220194335937495</v>
      </c>
      <c r="D105" s="28">
        <f t="shared" si="4"/>
        <v>0.6050000000000001</v>
      </c>
      <c r="E105" s="41">
        <f t="shared" si="5"/>
        <v>0.04621406249999996</v>
      </c>
      <c r="R105" s="71">
        <f t="shared" si="0"/>
        <v>-0.0939812949640288</v>
      </c>
      <c r="S105" s="71">
        <f t="shared" si="1"/>
        <v>0.07499999999999991</v>
      </c>
      <c r="Y105" s="65"/>
    </row>
    <row r="106" spans="2:25" ht="13.5">
      <c r="B106" s="28">
        <f t="shared" si="3"/>
        <v>0.15</v>
      </c>
      <c r="C106" s="41">
        <f t="shared" si="2"/>
        <v>-0.0410214375</v>
      </c>
      <c r="D106" s="28">
        <f t="shared" si="4"/>
        <v>0.6600000000000001</v>
      </c>
      <c r="E106" s="41">
        <f t="shared" si="5"/>
        <v>0.04116093749999994</v>
      </c>
      <c r="R106" s="71">
        <f t="shared" si="0"/>
        <v>-0.10865557553956837</v>
      </c>
      <c r="S106" s="71">
        <f t="shared" si="1"/>
        <v>0.06249999999999992</v>
      </c>
      <c r="Y106" s="65"/>
    </row>
    <row r="107" spans="2:25" ht="13.5">
      <c r="B107" s="28">
        <f t="shared" si="3"/>
        <v>0.1625</v>
      </c>
      <c r="C107" s="41">
        <f t="shared" si="2"/>
        <v>-0.04849128222656251</v>
      </c>
      <c r="D107" s="28">
        <f t="shared" si="4"/>
        <v>0.7150000000000002</v>
      </c>
      <c r="E107" s="41">
        <f t="shared" si="5"/>
        <v>0.03273906249999997</v>
      </c>
      <c r="R107" s="71">
        <f t="shared" si="0"/>
        <v>-0.12450071942446045</v>
      </c>
      <c r="S107" s="71">
        <f t="shared" si="1"/>
        <v>0.04999999999999992</v>
      </c>
      <c r="Y107" s="65"/>
    </row>
    <row r="108" spans="2:25" ht="13.5">
      <c r="B108" s="28">
        <f t="shared" si="3"/>
        <v>0.17500000000000002</v>
      </c>
      <c r="C108" s="41">
        <f t="shared" si="2"/>
        <v>-0.05664208593750002</v>
      </c>
      <c r="D108" s="28">
        <f t="shared" si="4"/>
        <v>0.7700000000000002</v>
      </c>
      <c r="E108" s="41">
        <f t="shared" si="5"/>
        <v>0.020948437499999972</v>
      </c>
      <c r="R108" s="71">
        <f t="shared" si="0"/>
        <v>-0.1415372302158274</v>
      </c>
      <c r="S108" s="71">
        <f t="shared" si="1"/>
        <v>0.03749999999999992</v>
      </c>
      <c r="Y108" s="65"/>
    </row>
    <row r="109" spans="2:25" ht="13.5">
      <c r="B109" s="28">
        <f t="shared" si="3"/>
        <v>0.18750000000000003</v>
      </c>
      <c r="C109" s="41">
        <f t="shared" si="2"/>
        <v>-0.06548620605468752</v>
      </c>
      <c r="D109" s="28">
        <f t="shared" si="4"/>
        <v>0.8250000000000003</v>
      </c>
      <c r="E109" s="41">
        <f t="shared" si="5"/>
        <v>0.005789062499999886</v>
      </c>
      <c r="R109" s="71">
        <f t="shared" si="0"/>
        <v>-0.1597856115107914</v>
      </c>
      <c r="S109" s="71">
        <f t="shared" si="1"/>
        <v>0.02499999999999992</v>
      </c>
      <c r="Y109" s="65"/>
    </row>
    <row r="110" spans="2:25" ht="13.5">
      <c r="B110" s="28">
        <f t="shared" si="3"/>
        <v>0.20000000000000004</v>
      </c>
      <c r="C110" s="41">
        <f t="shared" si="2"/>
        <v>-0.07503600000000002</v>
      </c>
      <c r="D110" s="28">
        <f t="shared" si="4"/>
        <v>0.8800000000000003</v>
      </c>
      <c r="E110" s="41">
        <f t="shared" si="5"/>
        <v>-0.01273906250000012</v>
      </c>
      <c r="R110" s="71">
        <f t="shared" si="0"/>
        <v>-0.1792663669064749</v>
      </c>
      <c r="S110" s="71">
        <f t="shared" si="1"/>
        <v>0.012499999999999921</v>
      </c>
      <c r="Y110" s="65"/>
    </row>
    <row r="111" spans="2:25" ht="13.5">
      <c r="B111" s="28">
        <f t="shared" si="3"/>
        <v>0.21250000000000005</v>
      </c>
      <c r="C111" s="41">
        <f t="shared" si="2"/>
        <v>-0.08530382519531254</v>
      </c>
      <c r="D111" s="28">
        <f t="shared" si="4"/>
        <v>0.9350000000000004</v>
      </c>
      <c r="E111" s="41">
        <f t="shared" si="5"/>
        <v>-0.03463593750000016</v>
      </c>
      <c r="R111" s="71">
        <f t="shared" si="0"/>
        <v>-0.20000000000000007</v>
      </c>
      <c r="S111" s="71">
        <f>S110-$S$91/20</f>
        <v>-7.979727989493313E-17</v>
      </c>
      <c r="Y111" s="65"/>
    </row>
    <row r="112" spans="2:25" ht="13.5">
      <c r="B112" s="28">
        <f t="shared" si="3"/>
        <v>0.22500000000000006</v>
      </c>
      <c r="C112" s="41">
        <f t="shared" si="2"/>
        <v>-0.09630203906250004</v>
      </c>
      <c r="D112" s="28">
        <f t="shared" si="4"/>
        <v>0.9900000000000004</v>
      </c>
      <c r="E112" s="41">
        <f t="shared" si="5"/>
        <v>-0.05990156250000017</v>
      </c>
      <c r="R112" s="71">
        <v>0</v>
      </c>
      <c r="S112" s="71">
        <v>0</v>
      </c>
      <c r="Y112" s="65"/>
    </row>
    <row r="113" spans="2:25" ht="13.5">
      <c r="B113" s="28">
        <f t="shared" si="3"/>
        <v>0.23750000000000007</v>
      </c>
      <c r="C113" s="41">
        <f t="shared" si="2"/>
        <v>-0.10804299902343757</v>
      </c>
      <c r="D113" s="28">
        <f t="shared" si="4"/>
        <v>1.0450000000000004</v>
      </c>
      <c r="E113" s="41">
        <f t="shared" si="5"/>
        <v>-0.0885359375</v>
      </c>
      <c r="R113" s="65">
        <v>0</v>
      </c>
      <c r="T113" s="65">
        <v>0</v>
      </c>
      <c r="Y113" s="65"/>
    </row>
    <row r="114" spans="2:25" ht="13.5">
      <c r="B114" s="29">
        <f t="shared" si="3"/>
        <v>0.25000000000000006</v>
      </c>
      <c r="C114" s="42">
        <f t="shared" si="2"/>
        <v>-0.12053906250000006</v>
      </c>
      <c r="D114" s="29">
        <f t="shared" si="4"/>
        <v>1.1000000000000003</v>
      </c>
      <c r="E114" s="42">
        <f t="shared" si="5"/>
        <v>-0.12053906250000002</v>
      </c>
      <c r="R114" s="65">
        <f aca="true" t="shared" si="6" ref="R114:R134">D94</f>
        <v>0</v>
      </c>
      <c r="T114" s="65">
        <f aca="true" t="shared" si="7" ref="T114:T134">E94*$S$89</f>
        <v>-0.20000000000000007</v>
      </c>
      <c r="Y114" s="65"/>
    </row>
    <row r="115" spans="2:25" ht="13.5">
      <c r="B115" s="30" t="s">
        <v>149</v>
      </c>
      <c r="C115" s="89">
        <f>MAX(C94:C114)</f>
        <v>0</v>
      </c>
      <c r="D115" s="30" t="s">
        <v>149</v>
      </c>
      <c r="E115" s="89">
        <f>MAX(E94:E114)</f>
        <v>0.047898437499999946</v>
      </c>
      <c r="R115" s="65">
        <f t="shared" si="6"/>
        <v>0.05500000000000001</v>
      </c>
      <c r="T115" s="65">
        <f t="shared" si="7"/>
        <v>-0.14689999351869862</v>
      </c>
      <c r="Y115" s="65"/>
    </row>
    <row r="116" spans="2:25" ht="13.5">
      <c r="B116" s="30" t="s">
        <v>150</v>
      </c>
      <c r="C116" s="89">
        <f>MIN(C94:C114)</f>
        <v>-0.12053906250000006</v>
      </c>
      <c r="D116" s="30" t="s">
        <v>150</v>
      </c>
      <c r="E116" s="89">
        <f>MIN(E94:E114)</f>
        <v>-0.12053906250000006</v>
      </c>
      <c r="R116" s="65">
        <f t="shared" si="6"/>
        <v>0.11000000000000001</v>
      </c>
      <c r="T116" s="65">
        <f t="shared" si="7"/>
        <v>-0.09938946140384995</v>
      </c>
      <c r="Y116" s="65"/>
    </row>
    <row r="117" spans="18:25" ht="13.5">
      <c r="R117" s="65">
        <f t="shared" si="6"/>
        <v>0.16500000000000004</v>
      </c>
      <c r="T117" s="65">
        <f t="shared" si="7"/>
        <v>-0.05746840365545406</v>
      </c>
      <c r="Y117" s="65"/>
    </row>
    <row r="118" spans="18:25" ht="13.5">
      <c r="R118" s="65">
        <f t="shared" si="6"/>
        <v>0.22000000000000003</v>
      </c>
      <c r="T118" s="65">
        <f t="shared" si="7"/>
        <v>-0.02113682027351096</v>
      </c>
      <c r="Y118" s="65"/>
    </row>
    <row r="119" spans="18:25" ht="13.5">
      <c r="R119" s="65">
        <f t="shared" si="6"/>
        <v>0.275</v>
      </c>
      <c r="T119" s="65">
        <f t="shared" si="7"/>
        <v>0.009605288741979315</v>
      </c>
      <c r="Y119" s="65"/>
    </row>
    <row r="120" spans="18:25" ht="13.5">
      <c r="R120" s="65">
        <f t="shared" si="6"/>
        <v>0.33</v>
      </c>
      <c r="T120" s="65">
        <f t="shared" si="7"/>
        <v>0.034757923391016854</v>
      </c>
      <c r="Y120" s="65"/>
    </row>
    <row r="121" spans="18:25" ht="13.5">
      <c r="R121" s="65">
        <f t="shared" si="6"/>
        <v>0.385</v>
      </c>
      <c r="T121" s="65">
        <f t="shared" si="7"/>
        <v>0.054321083673601625</v>
      </c>
      <c r="Y121" s="65"/>
    </row>
    <row r="122" spans="18:25" ht="13.5">
      <c r="R122" s="65">
        <f t="shared" si="6"/>
        <v>0.44</v>
      </c>
      <c r="T122" s="65">
        <f t="shared" si="7"/>
        <v>0.06829476958973353</v>
      </c>
      <c r="Y122" s="65"/>
    </row>
    <row r="123" spans="18:25" ht="13.5">
      <c r="R123" s="65">
        <f t="shared" si="6"/>
        <v>0.495</v>
      </c>
      <c r="T123" s="65">
        <f t="shared" si="7"/>
        <v>0.07667898113941267</v>
      </c>
      <c r="Y123" s="65"/>
    </row>
    <row r="124" spans="18:25" ht="13.5">
      <c r="R124" s="65">
        <f t="shared" si="6"/>
        <v>0.55</v>
      </c>
      <c r="T124" s="65">
        <f t="shared" si="7"/>
        <v>0.07947371832263908</v>
      </c>
      <c r="Y124" s="65"/>
    </row>
    <row r="125" spans="18:25" ht="13.5">
      <c r="R125" s="65">
        <f t="shared" si="6"/>
        <v>0.6050000000000001</v>
      </c>
      <c r="T125" s="65">
        <f t="shared" si="7"/>
        <v>0.07667898113941271</v>
      </c>
      <c r="Y125" s="65"/>
    </row>
    <row r="126" spans="18:25" ht="13.5">
      <c r="R126" s="65">
        <f t="shared" si="6"/>
        <v>0.6600000000000001</v>
      </c>
      <c r="T126" s="65">
        <f t="shared" si="7"/>
        <v>0.0682947695897335</v>
      </c>
      <c r="Y126" s="65"/>
    </row>
    <row r="127" spans="18:25" ht="13.5">
      <c r="R127" s="65">
        <f t="shared" si="6"/>
        <v>0.7150000000000002</v>
      </c>
      <c r="T127" s="65">
        <f t="shared" si="7"/>
        <v>0.054321083673601604</v>
      </c>
      <c r="Y127" s="65"/>
    </row>
    <row r="128" spans="18:25" ht="13.5">
      <c r="R128" s="65">
        <f t="shared" si="6"/>
        <v>0.7700000000000002</v>
      </c>
      <c r="T128" s="65">
        <f t="shared" si="7"/>
        <v>0.03475792339101687</v>
      </c>
      <c r="Y128" s="65"/>
    </row>
    <row r="129" spans="18:25" ht="13.5">
      <c r="R129" s="65">
        <f t="shared" si="6"/>
        <v>0.8250000000000003</v>
      </c>
      <c r="T129" s="65">
        <f t="shared" si="7"/>
        <v>0.0096052887419792</v>
      </c>
      <c r="Y129" s="65"/>
    </row>
    <row r="130" spans="18:25" ht="13.5">
      <c r="R130" s="65">
        <f t="shared" si="6"/>
        <v>0.8800000000000003</v>
      </c>
      <c r="T130" s="65">
        <f t="shared" si="7"/>
        <v>-0.021136820273511117</v>
      </c>
      <c r="Y130" s="65"/>
    </row>
    <row r="131" spans="18:25" ht="13.5">
      <c r="R131" s="65">
        <f t="shared" si="6"/>
        <v>0.9350000000000004</v>
      </c>
      <c r="T131" s="65">
        <f t="shared" si="7"/>
        <v>-0.05746840365545427</v>
      </c>
      <c r="Y131" s="65"/>
    </row>
    <row r="132" spans="18:25" ht="13.5">
      <c r="R132" s="65">
        <f t="shared" si="6"/>
        <v>0.9900000000000004</v>
      </c>
      <c r="T132" s="65">
        <f t="shared" si="7"/>
        <v>-0.09938946140385016</v>
      </c>
      <c r="Y132" s="65"/>
    </row>
    <row r="133" spans="3:25" ht="13.5">
      <c r="C133" s="11" t="s">
        <v>147</v>
      </c>
      <c r="R133" s="65">
        <f t="shared" si="6"/>
        <v>1.0450000000000004</v>
      </c>
      <c r="T133" s="65">
        <f t="shared" si="7"/>
        <v>-0.14689999351869854</v>
      </c>
      <c r="Y133" s="65"/>
    </row>
    <row r="134" spans="18:25" ht="13.5">
      <c r="R134" s="65">
        <f t="shared" si="6"/>
        <v>1.1000000000000003</v>
      </c>
      <c r="T134" s="65">
        <f t="shared" si="7"/>
        <v>-0.2</v>
      </c>
      <c r="Y134" s="65"/>
    </row>
    <row r="135" spans="1:25" ht="13.5">
      <c r="A135" s="11" t="s">
        <v>148</v>
      </c>
      <c r="R135" s="65">
        <f>R134</f>
        <v>1.1000000000000003</v>
      </c>
      <c r="T135" s="65">
        <v>0</v>
      </c>
      <c r="Y135" s="65"/>
    </row>
    <row r="136" spans="18:25" ht="13.5">
      <c r="R136" s="72">
        <f>$E$52-R91</f>
        <v>1.1</v>
      </c>
      <c r="U136" s="65">
        <f aca="true" t="shared" si="8" ref="U136:U156">S91</f>
        <v>0.25</v>
      </c>
      <c r="Y136" s="65"/>
    </row>
    <row r="137" spans="1:25" ht="13.5">
      <c r="A137" s="11" t="s">
        <v>173</v>
      </c>
      <c r="R137" s="68">
        <f>$E$52-R92</f>
        <v>1.100435071942446</v>
      </c>
      <c r="U137" s="65">
        <f t="shared" si="8"/>
        <v>0.2375</v>
      </c>
      <c r="Y137" s="65"/>
    </row>
    <row r="138" spans="18:25" ht="13.5">
      <c r="R138" s="68">
        <f aca="true" t="shared" si="9" ref="R138:R157">$E$52-R93</f>
        <v>1.1017539568345325</v>
      </c>
      <c r="U138" s="65">
        <f t="shared" si="8"/>
        <v>0.22499999999999998</v>
      </c>
      <c r="Y138" s="65"/>
    </row>
    <row r="139" spans="2:25" ht="13.5">
      <c r="B139" s="11" t="s">
        <v>151</v>
      </c>
      <c r="D139" s="21" t="s">
        <v>152</v>
      </c>
      <c r="E139" s="19">
        <f>C114</f>
        <v>-0.12053906250000006</v>
      </c>
      <c r="F139" s="10" t="s">
        <v>153</v>
      </c>
      <c r="R139" s="68">
        <f t="shared" si="9"/>
        <v>1.1039771582733813</v>
      </c>
      <c r="U139" s="65">
        <f t="shared" si="8"/>
        <v>0.21249999999999997</v>
      </c>
      <c r="Y139" s="65"/>
    </row>
    <row r="140" spans="2:25" ht="13.5">
      <c r="B140" s="11" t="s">
        <v>154</v>
      </c>
      <c r="D140" s="21" t="s">
        <v>156</v>
      </c>
      <c r="E140" s="10">
        <f>1000</f>
        <v>1000</v>
      </c>
      <c r="F140" s="10" t="s">
        <v>158</v>
      </c>
      <c r="R140" s="68">
        <f t="shared" si="9"/>
        <v>1.1071251798561152</v>
      </c>
      <c r="U140" s="65">
        <f t="shared" si="8"/>
        <v>0.19999999999999996</v>
      </c>
      <c r="Y140" s="65"/>
    </row>
    <row r="141" spans="2:25" ht="13.5">
      <c r="B141" s="11" t="s">
        <v>266</v>
      </c>
      <c r="D141" s="21" t="s">
        <v>267</v>
      </c>
      <c r="E141" s="10">
        <f>F25</f>
        <v>40</v>
      </c>
      <c r="F141" s="10" t="s">
        <v>158</v>
      </c>
      <c r="R141" s="68">
        <f t="shared" si="9"/>
        <v>1.1112185251798563</v>
      </c>
      <c r="U141" s="65">
        <f t="shared" si="8"/>
        <v>0.18749999999999994</v>
      </c>
      <c r="Y141" s="65"/>
    </row>
    <row r="142" spans="2:25" ht="13.5">
      <c r="B142" s="11" t="s">
        <v>155</v>
      </c>
      <c r="D142" s="21" t="s">
        <v>157</v>
      </c>
      <c r="E142" s="10">
        <f>E53*1000-E141</f>
        <v>60</v>
      </c>
      <c r="F142" s="10" t="s">
        <v>158</v>
      </c>
      <c r="R142" s="68">
        <f t="shared" si="9"/>
        <v>1.1162776978417268</v>
      </c>
      <c r="U142" s="65">
        <f t="shared" si="8"/>
        <v>0.17499999999999993</v>
      </c>
      <c r="Y142" s="65"/>
    </row>
    <row r="143" spans="2:25" ht="13.5">
      <c r="B143" s="11" t="s">
        <v>159</v>
      </c>
      <c r="D143" s="21" t="s">
        <v>161</v>
      </c>
      <c r="E143" s="10">
        <f>D25</f>
        <v>13</v>
      </c>
      <c r="F143" s="10" t="s">
        <v>158</v>
      </c>
      <c r="R143" s="68">
        <f t="shared" si="9"/>
        <v>1.122323201438849</v>
      </c>
      <c r="U143" s="65">
        <f t="shared" si="8"/>
        <v>0.16249999999999992</v>
      </c>
      <c r="Y143" s="65"/>
    </row>
    <row r="144" spans="2:25" ht="13.5">
      <c r="B144" s="11" t="s">
        <v>160</v>
      </c>
      <c r="D144" s="21" t="s">
        <v>162</v>
      </c>
      <c r="E144" s="10">
        <f>E25</f>
        <v>250</v>
      </c>
      <c r="F144" s="10" t="s">
        <v>158</v>
      </c>
      <c r="R144" s="68">
        <f t="shared" si="9"/>
        <v>1.1293755395683454</v>
      </c>
      <c r="U144" s="65">
        <f t="shared" si="8"/>
        <v>0.1499999999999999</v>
      </c>
      <c r="Y144" s="65"/>
    </row>
    <row r="145" spans="2:25" ht="16.5">
      <c r="B145" s="11" t="s">
        <v>163</v>
      </c>
      <c r="D145" s="21" t="s">
        <v>164</v>
      </c>
      <c r="E145" s="31">
        <f>IF(E143=13,1.267,IF(E143=16,1.986,IF(E143=19,2.865,IF(E143=22,3.871,IF(E143=25,5.067,IF(E143=29,6.424,IF(E143=32,7.942,"規格外")))))))*100*1000/E144</f>
        <v>506.79999999999995</v>
      </c>
      <c r="F145" s="10" t="s">
        <v>165</v>
      </c>
      <c r="R145" s="68">
        <f t="shared" si="9"/>
        <v>1.137455215827338</v>
      </c>
      <c r="U145" s="65">
        <f t="shared" si="8"/>
        <v>0.1374999999999999</v>
      </c>
      <c r="Y145" s="65"/>
    </row>
    <row r="146" spans="18:25" ht="13.5">
      <c r="R146" s="68">
        <f t="shared" si="9"/>
        <v>1.1465827338129497</v>
      </c>
      <c r="U146" s="65">
        <f t="shared" si="8"/>
        <v>0.1249999999999999</v>
      </c>
      <c r="Y146" s="65"/>
    </row>
    <row r="147" spans="1:25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R147" s="68">
        <f t="shared" si="9"/>
        <v>1.1567785971223021</v>
      </c>
      <c r="U147" s="65">
        <f t="shared" si="8"/>
        <v>0.1124999999999999</v>
      </c>
      <c r="Y147" s="65"/>
    </row>
    <row r="148" spans="1:25" ht="15">
      <c r="A148" s="32"/>
      <c r="B148" s="32"/>
      <c r="C148" s="32"/>
      <c r="D148" s="40">
        <f>15*E145/(E140*E142)</f>
        <v>0.12669999999999998</v>
      </c>
      <c r="E148" s="32"/>
      <c r="F148" s="32"/>
      <c r="G148" s="32"/>
      <c r="H148" s="32"/>
      <c r="I148" s="32"/>
      <c r="J148" s="32"/>
      <c r="R148" s="68">
        <f t="shared" si="9"/>
        <v>1.1680633093525181</v>
      </c>
      <c r="U148" s="65">
        <f t="shared" si="8"/>
        <v>0.09999999999999991</v>
      </c>
      <c r="Y148" s="65"/>
    </row>
    <row r="149" spans="1:25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R149" s="68">
        <f t="shared" si="9"/>
        <v>1.1804573741007196</v>
      </c>
      <c r="U149" s="65">
        <f t="shared" si="8"/>
        <v>0.08749999999999991</v>
      </c>
      <c r="Y149" s="65"/>
    </row>
    <row r="150" spans="1:25" ht="15">
      <c r="A150" s="32"/>
      <c r="B150" s="32"/>
      <c r="C150" s="32"/>
      <c r="D150" s="32"/>
      <c r="E150" s="33">
        <f>ROUND((D148^2+2*D148)^0.5-D148,3)</f>
        <v>0.392</v>
      </c>
      <c r="F150" s="32"/>
      <c r="G150" s="32"/>
      <c r="H150" s="32"/>
      <c r="I150" s="32"/>
      <c r="J150" s="32"/>
      <c r="R150" s="68">
        <f t="shared" si="9"/>
        <v>1.193981294964029</v>
      </c>
      <c r="U150" s="65">
        <f t="shared" si="8"/>
        <v>0.07499999999999991</v>
      </c>
      <c r="Y150" s="65"/>
    </row>
    <row r="151" spans="1:25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R151" s="68">
        <f t="shared" si="9"/>
        <v>1.2086555755395685</v>
      </c>
      <c r="U151" s="65">
        <f t="shared" si="8"/>
        <v>0.06249999999999992</v>
      </c>
      <c r="Y151" s="65"/>
    </row>
    <row r="152" spans="1:25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R152" s="68">
        <f t="shared" si="9"/>
        <v>1.2245007194244606</v>
      </c>
      <c r="U152" s="65">
        <f t="shared" si="8"/>
        <v>0.04999999999999992</v>
      </c>
      <c r="Y152" s="65"/>
    </row>
    <row r="153" spans="1:25" ht="15">
      <c r="A153" s="32"/>
      <c r="B153" s="32"/>
      <c r="C153" s="32"/>
      <c r="D153" s="33">
        <f>ROUND(1-E150/3,3)</f>
        <v>0.869</v>
      </c>
      <c r="E153" s="32"/>
      <c r="F153" s="32"/>
      <c r="G153" s="32"/>
      <c r="H153" s="32"/>
      <c r="I153" s="32"/>
      <c r="J153" s="32"/>
      <c r="R153" s="68">
        <f t="shared" si="9"/>
        <v>1.2415372302158274</v>
      </c>
      <c r="U153" s="65">
        <f t="shared" si="8"/>
        <v>0.03749999999999992</v>
      </c>
      <c r="Y153" s="65"/>
    </row>
    <row r="154" spans="1:25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R154" s="68">
        <f t="shared" si="9"/>
        <v>1.2597856115107915</v>
      </c>
      <c r="U154" s="65">
        <f t="shared" si="8"/>
        <v>0.02499999999999992</v>
      </c>
      <c r="Y154" s="65"/>
    </row>
    <row r="155" spans="1:25" ht="13.5">
      <c r="A155" s="32"/>
      <c r="B155" s="34" t="s">
        <v>166</v>
      </c>
      <c r="C155" s="32"/>
      <c r="D155" s="32"/>
      <c r="E155" s="32"/>
      <c r="F155" s="32"/>
      <c r="G155" s="32"/>
      <c r="H155" s="32"/>
      <c r="I155" s="32"/>
      <c r="J155" s="32"/>
      <c r="R155" s="68">
        <f t="shared" si="9"/>
        <v>1.279266366906475</v>
      </c>
      <c r="U155" s="65">
        <f t="shared" si="8"/>
        <v>0.012499999999999921</v>
      </c>
      <c r="Y155" s="65"/>
    </row>
    <row r="156" spans="1:25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R156" s="68">
        <f t="shared" si="9"/>
        <v>1.3000000000000003</v>
      </c>
      <c r="U156" s="65">
        <f t="shared" si="8"/>
        <v>-7.979727989493313E-17</v>
      </c>
      <c r="Y156" s="65"/>
    </row>
    <row r="157" spans="1:25" ht="18">
      <c r="A157" s="32"/>
      <c r="B157" s="32"/>
      <c r="C157" s="32"/>
      <c r="D157" s="32">
        <f>ROUND(ABS(E139)*1000000*2/(E150*D153*E140*E142^2),2)</f>
        <v>0.2</v>
      </c>
      <c r="E157" s="32" t="s">
        <v>167</v>
      </c>
      <c r="F157" s="35" t="str">
        <f>IF(D157&gt;=H157,"&gt;","&lt;")</f>
        <v>&lt;</v>
      </c>
      <c r="G157" s="36" t="s">
        <v>168</v>
      </c>
      <c r="H157" s="37">
        <f>データ!F16</f>
        <v>7</v>
      </c>
      <c r="I157" s="32" t="s">
        <v>169</v>
      </c>
      <c r="J157" s="37"/>
      <c r="R157" s="68">
        <f t="shared" si="9"/>
        <v>1.1</v>
      </c>
      <c r="U157" s="65">
        <v>0</v>
      </c>
      <c r="Y157" s="65"/>
    </row>
    <row r="158" spans="1:25" ht="15">
      <c r="A158" s="32"/>
      <c r="B158" s="32"/>
      <c r="C158" s="32"/>
      <c r="D158" s="32"/>
      <c r="E158" s="32"/>
      <c r="F158" s="32"/>
      <c r="G158" s="38"/>
      <c r="H158" s="32"/>
      <c r="I158" s="35" t="str">
        <f>IF(D157&gt;=H157,"OUT","SAFE")</f>
        <v>SAFE</v>
      </c>
      <c r="J158" s="32"/>
      <c r="R158" s="65">
        <f>0</f>
        <v>0</v>
      </c>
      <c r="V158" s="65">
        <f>U136</f>
        <v>0.25</v>
      </c>
      <c r="Y158" s="65"/>
    </row>
    <row r="159" spans="1:25" ht="13.5">
      <c r="A159" s="32"/>
      <c r="B159" s="32"/>
      <c r="C159" s="32"/>
      <c r="D159" s="32"/>
      <c r="E159" s="32"/>
      <c r="F159" s="32"/>
      <c r="G159" s="38"/>
      <c r="H159" s="32"/>
      <c r="J159" s="32"/>
      <c r="R159" s="65">
        <f>0</f>
        <v>0</v>
      </c>
      <c r="V159" s="65">
        <f>0</f>
        <v>0</v>
      </c>
      <c r="Y159" s="65"/>
    </row>
    <row r="160" spans="1:25" ht="13.5">
      <c r="A160" s="32"/>
      <c r="B160" s="34" t="s">
        <v>170</v>
      </c>
      <c r="C160" s="32"/>
      <c r="D160" s="32"/>
      <c r="E160" s="32"/>
      <c r="F160" s="32"/>
      <c r="G160" s="38"/>
      <c r="H160" s="32"/>
      <c r="I160" s="32"/>
      <c r="J160" s="32"/>
      <c r="R160" s="65">
        <f>R136</f>
        <v>1.1</v>
      </c>
      <c r="V160" s="65">
        <f>0</f>
        <v>0</v>
      </c>
      <c r="Y160" s="65"/>
    </row>
    <row r="161" spans="1:25" ht="15">
      <c r="A161" s="32"/>
      <c r="B161" s="32"/>
      <c r="C161" s="32"/>
      <c r="D161" s="32"/>
      <c r="E161" s="32"/>
      <c r="F161" s="32"/>
      <c r="G161" s="38"/>
      <c r="H161" s="32"/>
      <c r="I161" s="32"/>
      <c r="J161" s="32"/>
      <c r="R161" s="65">
        <f>R160</f>
        <v>1.1</v>
      </c>
      <c r="V161" s="65">
        <f>V158</f>
        <v>0.25</v>
      </c>
      <c r="Y161" s="65"/>
    </row>
    <row r="162" spans="1:25" ht="18">
      <c r="A162" s="32"/>
      <c r="B162" s="32"/>
      <c r="C162" s="32"/>
      <c r="D162" s="32">
        <f>ROUND(ABS(E139)*1000000/(E145*D153*E142),1)</f>
        <v>4.6</v>
      </c>
      <c r="E162" s="32" t="s">
        <v>171</v>
      </c>
      <c r="F162" s="35" t="str">
        <f>IF(D162&gt;=H162,"&gt;","&lt;")</f>
        <v>&lt;</v>
      </c>
      <c r="G162" s="36" t="s">
        <v>172</v>
      </c>
      <c r="H162" s="37">
        <f>160</f>
        <v>160</v>
      </c>
      <c r="I162" s="32" t="s">
        <v>171</v>
      </c>
      <c r="J162" s="39"/>
      <c r="Y162" s="65"/>
    </row>
    <row r="163" spans="1:25" ht="15">
      <c r="A163" s="32"/>
      <c r="B163" s="32"/>
      <c r="C163" s="32"/>
      <c r="D163" s="32"/>
      <c r="E163" s="32"/>
      <c r="F163" s="32"/>
      <c r="G163" s="32"/>
      <c r="H163" s="32"/>
      <c r="I163" s="35" t="str">
        <f>IF(D162&gt;=H162,"OUT","SAFE")</f>
        <v>SAFE</v>
      </c>
      <c r="J163" s="32"/>
      <c r="Y163" s="65"/>
    </row>
    <row r="164" ht="13.5">
      <c r="Y164" s="65"/>
    </row>
    <row r="165" spans="1:25" ht="13.5">
      <c r="A165" s="11" t="s">
        <v>174</v>
      </c>
      <c r="Y165" s="65"/>
    </row>
    <row r="166" ht="13.5">
      <c r="Y166" s="65"/>
    </row>
    <row r="167" spans="2:25" ht="13.5">
      <c r="B167" s="11" t="s">
        <v>151</v>
      </c>
      <c r="D167" s="21" t="s">
        <v>152</v>
      </c>
      <c r="E167" s="19">
        <f>E114</f>
        <v>-0.12053906250000002</v>
      </c>
      <c r="F167" s="10" t="s">
        <v>153</v>
      </c>
      <c r="Y167" s="65"/>
    </row>
    <row r="168" spans="2:25" ht="13.5">
      <c r="B168" s="11" t="s">
        <v>154</v>
      </c>
      <c r="D168" s="21" t="s">
        <v>156</v>
      </c>
      <c r="E168" s="10">
        <f>1000</f>
        <v>1000</v>
      </c>
      <c r="F168" s="10" t="s">
        <v>158</v>
      </c>
      <c r="Y168" s="65"/>
    </row>
    <row r="169" spans="2:25" ht="13.5">
      <c r="B169" s="11" t="s">
        <v>266</v>
      </c>
      <c r="D169" s="21" t="s">
        <v>267</v>
      </c>
      <c r="E169" s="10">
        <f>F27</f>
        <v>40</v>
      </c>
      <c r="F169" s="10" t="s">
        <v>158</v>
      </c>
      <c r="Y169" s="65"/>
    </row>
    <row r="170" spans="2:25" ht="13.5">
      <c r="B170" s="11" t="s">
        <v>155</v>
      </c>
      <c r="D170" s="21" t="s">
        <v>157</v>
      </c>
      <c r="E170" s="10">
        <f>D6*1000-E169</f>
        <v>60</v>
      </c>
      <c r="F170" s="10" t="s">
        <v>158</v>
      </c>
      <c r="Y170" s="65"/>
    </row>
    <row r="171" spans="2:25" ht="13.5">
      <c r="B171" s="11" t="s">
        <v>159</v>
      </c>
      <c r="D171" s="21" t="s">
        <v>161</v>
      </c>
      <c r="E171" s="10">
        <f>D27</f>
        <v>13</v>
      </c>
      <c r="F171" s="10" t="s">
        <v>158</v>
      </c>
      <c r="Y171" s="65"/>
    </row>
    <row r="172" spans="2:25" ht="13.5">
      <c r="B172" s="11" t="s">
        <v>160</v>
      </c>
      <c r="D172" s="21" t="s">
        <v>162</v>
      </c>
      <c r="E172" s="10">
        <f>E27</f>
        <v>250</v>
      </c>
      <c r="F172" s="10" t="s">
        <v>158</v>
      </c>
      <c r="Y172" s="65"/>
    </row>
    <row r="173" spans="2:6" ht="16.5">
      <c r="B173" s="11" t="s">
        <v>163</v>
      </c>
      <c r="D173" s="21" t="s">
        <v>164</v>
      </c>
      <c r="E173" s="31">
        <f>IF(E171=13,1.267,IF(E171=16,1.986,IF(E171=19,2.865,IF(E171=22,3.871,IF(E171=25,5.067,IF(E171=29,6.424,IF(E171=32,7.942,"規格外")))))))*100*1000/E172</f>
        <v>506.79999999999995</v>
      </c>
      <c r="F173" s="10" t="s">
        <v>165</v>
      </c>
    </row>
    <row r="175" spans="2:10" ht="15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5">
      <c r="B176" s="32"/>
      <c r="C176" s="32"/>
      <c r="D176" s="40">
        <f>15*E173/(E168*E170)</f>
        <v>0.12669999999999998</v>
      </c>
      <c r="E176" s="32"/>
      <c r="F176" s="32"/>
      <c r="G176" s="32"/>
      <c r="H176" s="32"/>
      <c r="I176" s="32"/>
      <c r="J176" s="32"/>
    </row>
    <row r="177" spans="2:10" ht="15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5">
      <c r="B178" s="32"/>
      <c r="C178" s="32"/>
      <c r="D178" s="32"/>
      <c r="E178" s="33">
        <f>ROUND((D176^2+2*D176)^0.5-D176,3)</f>
        <v>0.392</v>
      </c>
      <c r="F178" s="32"/>
      <c r="G178" s="32"/>
      <c r="H178" s="32"/>
      <c r="I178" s="32"/>
      <c r="J178" s="32"/>
    </row>
    <row r="179" spans="2:10" ht="15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5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5">
      <c r="B181" s="32"/>
      <c r="C181" s="32"/>
      <c r="D181" s="33">
        <f>ROUND(1-E178/3,3)</f>
        <v>0.869</v>
      </c>
      <c r="E181" s="32"/>
      <c r="F181" s="32"/>
      <c r="G181" s="32"/>
      <c r="H181" s="32"/>
      <c r="I181" s="32"/>
      <c r="J181" s="32"/>
    </row>
    <row r="182" spans="2:14" ht="15">
      <c r="B182" s="32"/>
      <c r="C182" s="32"/>
      <c r="D182" s="32"/>
      <c r="E182" s="32"/>
      <c r="F182" s="32"/>
      <c r="G182" s="32"/>
      <c r="H182" s="32"/>
      <c r="I182" s="32"/>
      <c r="J182" s="32"/>
      <c r="K182" s="90"/>
      <c r="L182" s="90"/>
      <c r="M182" s="90"/>
      <c r="N182" s="90"/>
    </row>
    <row r="183" spans="2:14" ht="13.5">
      <c r="B183" s="34" t="s">
        <v>166</v>
      </c>
      <c r="C183" s="32"/>
      <c r="D183" s="32"/>
      <c r="E183" s="32"/>
      <c r="F183" s="32"/>
      <c r="G183" s="32"/>
      <c r="H183" s="32"/>
      <c r="I183" s="32"/>
      <c r="J183" s="32"/>
      <c r="K183" s="90"/>
      <c r="L183" s="90"/>
      <c r="M183" s="90"/>
      <c r="N183" s="90"/>
    </row>
    <row r="184" spans="2:14" ht="15">
      <c r="B184" s="32"/>
      <c r="C184" s="32"/>
      <c r="D184" s="32"/>
      <c r="E184" s="32"/>
      <c r="F184" s="32"/>
      <c r="G184" s="32"/>
      <c r="H184" s="32"/>
      <c r="I184" s="32"/>
      <c r="J184" s="32"/>
      <c r="K184" s="90"/>
      <c r="L184" s="90"/>
      <c r="M184" s="90"/>
      <c r="N184" s="90"/>
    </row>
    <row r="185" spans="2:14" ht="18">
      <c r="B185" s="32"/>
      <c r="C185" s="32"/>
      <c r="D185" s="32">
        <f>ROUND(ABS(E167)*1000000*2/(E178*D181*E168*E170^2),2)</f>
        <v>0.2</v>
      </c>
      <c r="E185" s="32" t="s">
        <v>167</v>
      </c>
      <c r="F185" s="35" t="str">
        <f>IF(D185&gt;=H185,"&gt;","&lt;")</f>
        <v>&lt;</v>
      </c>
      <c r="G185" s="36" t="s">
        <v>168</v>
      </c>
      <c r="H185" s="37">
        <f>H157</f>
        <v>7</v>
      </c>
      <c r="I185" s="32" t="s">
        <v>169</v>
      </c>
      <c r="J185" s="37"/>
      <c r="K185" s="90"/>
      <c r="L185" s="90"/>
      <c r="M185" s="90"/>
      <c r="N185" s="90"/>
    </row>
    <row r="186" spans="2:14" ht="15">
      <c r="B186" s="32"/>
      <c r="C186" s="32"/>
      <c r="D186" s="32"/>
      <c r="E186" s="32"/>
      <c r="F186" s="32"/>
      <c r="G186" s="38"/>
      <c r="H186" s="32"/>
      <c r="I186" s="35" t="str">
        <f>IF(D185&gt;=H185,"OUT","SAFE")</f>
        <v>SAFE</v>
      </c>
      <c r="J186" s="32"/>
      <c r="K186" s="90"/>
      <c r="L186" s="90"/>
      <c r="M186" s="90"/>
      <c r="N186" s="90"/>
    </row>
    <row r="187" spans="2:14" ht="13.5">
      <c r="B187" s="32"/>
      <c r="C187" s="32"/>
      <c r="D187" s="32"/>
      <c r="E187" s="32"/>
      <c r="F187" s="32"/>
      <c r="G187" s="38"/>
      <c r="H187" s="32"/>
      <c r="J187" s="32"/>
      <c r="K187" s="90"/>
      <c r="L187" s="90"/>
      <c r="M187" s="90"/>
      <c r="N187" s="90"/>
    </row>
    <row r="188" spans="2:14" ht="13.5">
      <c r="B188" s="34" t="s">
        <v>170</v>
      </c>
      <c r="C188" s="32"/>
      <c r="D188" s="32"/>
      <c r="E188" s="32"/>
      <c r="F188" s="32"/>
      <c r="G188" s="38"/>
      <c r="H188" s="32"/>
      <c r="I188" s="32"/>
      <c r="J188" s="32"/>
      <c r="K188" s="90"/>
      <c r="L188" s="90"/>
      <c r="M188" s="90"/>
      <c r="N188" s="90"/>
    </row>
    <row r="189" spans="2:14" ht="15">
      <c r="B189" s="32"/>
      <c r="C189" s="32"/>
      <c r="D189" s="32"/>
      <c r="E189" s="32"/>
      <c r="F189" s="32"/>
      <c r="G189" s="38"/>
      <c r="H189" s="32"/>
      <c r="I189" s="32"/>
      <c r="J189" s="32"/>
      <c r="K189" s="90"/>
      <c r="L189" s="90"/>
      <c r="M189" s="90"/>
      <c r="N189" s="90"/>
    </row>
    <row r="190" spans="2:14" ht="18">
      <c r="B190" s="32"/>
      <c r="C190" s="32"/>
      <c r="D190" s="32">
        <f>ROUND(ABS(E167)*1000000/(E173*D181*E170),1)</f>
        <v>4.6</v>
      </c>
      <c r="E190" s="32" t="s">
        <v>171</v>
      </c>
      <c r="F190" s="35" t="str">
        <f>IF(D190&gt;=H190,"&gt;","&lt;")</f>
        <v>&lt;</v>
      </c>
      <c r="G190" s="36" t="s">
        <v>172</v>
      </c>
      <c r="H190" s="39">
        <f>160</f>
        <v>160</v>
      </c>
      <c r="I190" s="32" t="s">
        <v>171</v>
      </c>
      <c r="J190" s="39"/>
      <c r="K190" s="90"/>
      <c r="L190" s="90"/>
      <c r="M190" s="90"/>
      <c r="N190" s="90"/>
    </row>
    <row r="191" spans="2:14" ht="15">
      <c r="B191" s="32"/>
      <c r="C191" s="32"/>
      <c r="D191" s="32"/>
      <c r="E191" s="32"/>
      <c r="F191" s="32"/>
      <c r="G191" s="32"/>
      <c r="H191" s="32"/>
      <c r="I191" s="35" t="str">
        <f>IF(D190&gt;=H190,"OUT","SAFE")</f>
        <v>SAFE</v>
      </c>
      <c r="J191" s="32"/>
      <c r="K191" s="90"/>
      <c r="L191" s="90"/>
      <c r="M191" s="90"/>
      <c r="N191" s="90"/>
    </row>
    <row r="192" spans="1:13" ht="13.5">
      <c r="A192" s="11" t="s">
        <v>175</v>
      </c>
      <c r="K192" s="91"/>
      <c r="L192" s="91"/>
      <c r="M192" s="91"/>
    </row>
    <row r="193" spans="11:13" ht="13.5">
      <c r="K193" s="90"/>
      <c r="L193" s="90"/>
      <c r="M193" s="90"/>
    </row>
    <row r="194" spans="2:13" ht="13.5">
      <c r="B194" s="11" t="s">
        <v>151</v>
      </c>
      <c r="D194" s="21" t="s">
        <v>152</v>
      </c>
      <c r="E194" s="19">
        <f>E104</f>
        <v>0.047898437499999946</v>
      </c>
      <c r="F194" s="10" t="s">
        <v>153</v>
      </c>
      <c r="K194" s="90"/>
      <c r="L194" s="90"/>
      <c r="M194" s="90"/>
    </row>
    <row r="195" spans="2:13" ht="13.5">
      <c r="B195" s="11" t="s">
        <v>154</v>
      </c>
      <c r="D195" s="21" t="s">
        <v>156</v>
      </c>
      <c r="E195" s="10">
        <f>1000</f>
        <v>1000</v>
      </c>
      <c r="F195" s="10" t="s">
        <v>158</v>
      </c>
      <c r="K195" s="90"/>
      <c r="L195" s="90"/>
      <c r="M195" s="90"/>
    </row>
    <row r="196" spans="2:13" ht="13.5">
      <c r="B196" s="11" t="s">
        <v>266</v>
      </c>
      <c r="D196" s="21" t="s">
        <v>267</v>
      </c>
      <c r="E196" s="10">
        <f>IF(E194&gt;=0,F26,F27)</f>
        <v>40</v>
      </c>
      <c r="F196" s="10" t="s">
        <v>158</v>
      </c>
      <c r="K196" s="90"/>
      <c r="L196" s="90"/>
      <c r="M196" s="90"/>
    </row>
    <row r="197" spans="2:13" ht="13.5">
      <c r="B197" s="11" t="s">
        <v>155</v>
      </c>
      <c r="D197" s="21" t="s">
        <v>157</v>
      </c>
      <c r="E197" s="10">
        <f>D6*1000-E196</f>
        <v>60</v>
      </c>
      <c r="F197" s="10" t="s">
        <v>158</v>
      </c>
      <c r="K197" s="92"/>
      <c r="L197" s="92"/>
      <c r="M197" s="92"/>
    </row>
    <row r="198" spans="2:13" ht="13.5">
      <c r="B198" s="11" t="s">
        <v>159</v>
      </c>
      <c r="D198" s="21" t="s">
        <v>161</v>
      </c>
      <c r="E198" s="10">
        <f>IF(E194&gt;=0,D26,D27)</f>
        <v>13</v>
      </c>
      <c r="F198" s="10" t="s">
        <v>158</v>
      </c>
      <c r="K198" s="90"/>
      <c r="L198" s="90"/>
      <c r="M198" s="90"/>
    </row>
    <row r="199" spans="2:13" ht="13.5">
      <c r="B199" s="11" t="s">
        <v>160</v>
      </c>
      <c r="D199" s="21" t="s">
        <v>162</v>
      </c>
      <c r="E199" s="10">
        <f>IF(E194&gt;=0,E26,E27)</f>
        <v>250</v>
      </c>
      <c r="F199" s="10" t="s">
        <v>158</v>
      </c>
      <c r="K199" s="90"/>
      <c r="L199" s="90"/>
      <c r="M199" s="90"/>
    </row>
    <row r="200" spans="2:6" ht="16.5">
      <c r="B200" s="11" t="s">
        <v>163</v>
      </c>
      <c r="D200" s="21" t="s">
        <v>164</v>
      </c>
      <c r="E200" s="31">
        <f>IF(E198=13,1.267,IF(E198=16,1.986,IF(E198=19,2.865,IF(E198=22,3.871,IF(E198=25,5.067,IF(E198=29,6.424,IF(E198=32,7.942,"規格外")))))))*100*1000/E199</f>
        <v>506.79999999999995</v>
      </c>
      <c r="F200" s="10" t="s">
        <v>165</v>
      </c>
    </row>
    <row r="202" spans="2:10" ht="1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5">
      <c r="B203" s="32"/>
      <c r="C203" s="32"/>
      <c r="D203" s="40">
        <f>15*E200/(E195*E197)</f>
        <v>0.12669999999999998</v>
      </c>
      <c r="E203" s="32"/>
      <c r="F203" s="32"/>
      <c r="G203" s="32"/>
      <c r="H203" s="32"/>
      <c r="I203" s="32"/>
      <c r="J203" s="32"/>
    </row>
    <row r="204" spans="2:10" ht="15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5">
      <c r="B205" s="32"/>
      <c r="C205" s="32"/>
      <c r="D205" s="32"/>
      <c r="E205" s="33">
        <f>ROUND((D203^2+2*D203)^0.5-D203,3)</f>
        <v>0.392</v>
      </c>
      <c r="F205" s="32"/>
      <c r="G205" s="32"/>
      <c r="H205" s="32"/>
      <c r="I205" s="32"/>
      <c r="J205" s="32"/>
    </row>
    <row r="206" spans="2:10" ht="15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5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5">
      <c r="B208" s="32"/>
      <c r="C208" s="32"/>
      <c r="D208" s="33">
        <f>ROUND(1-E205/3,3)</f>
        <v>0.869</v>
      </c>
      <c r="E208" s="32"/>
      <c r="F208" s="32"/>
      <c r="G208" s="32"/>
      <c r="H208" s="32"/>
      <c r="I208" s="32"/>
      <c r="J208" s="32"/>
    </row>
    <row r="209" spans="2:10" ht="15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3.5">
      <c r="B210" s="34" t="s">
        <v>166</v>
      </c>
      <c r="C210" s="32"/>
      <c r="D210" s="32"/>
      <c r="E210" s="32"/>
      <c r="F210" s="32"/>
      <c r="G210" s="32"/>
      <c r="H210" s="32"/>
      <c r="I210" s="32"/>
      <c r="J210" s="32"/>
    </row>
    <row r="211" spans="2:10" ht="15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8">
      <c r="B212" s="32"/>
      <c r="C212" s="32"/>
      <c r="D212" s="32">
        <f>ROUND(ABS(E194)*1000000*2/(E205*D208*E195*E197^2),2)</f>
        <v>0.08</v>
      </c>
      <c r="E212" s="32" t="s">
        <v>167</v>
      </c>
      <c r="F212" s="35" t="str">
        <f>IF(D212&gt;=H212,"&gt;","&lt;")</f>
        <v>&lt;</v>
      </c>
      <c r="G212" s="36" t="s">
        <v>168</v>
      </c>
      <c r="H212" s="37">
        <f>H185</f>
        <v>7</v>
      </c>
      <c r="I212" s="32" t="s">
        <v>169</v>
      </c>
      <c r="J212" s="37"/>
    </row>
    <row r="213" spans="2:10" ht="15">
      <c r="B213" s="32"/>
      <c r="C213" s="32"/>
      <c r="D213" s="32"/>
      <c r="E213" s="32"/>
      <c r="F213" s="32"/>
      <c r="G213" s="38"/>
      <c r="H213" s="32"/>
      <c r="I213" s="35" t="str">
        <f>IF(D212&gt;=H212,"OUT","SAFE")</f>
        <v>SAFE</v>
      </c>
      <c r="J213" s="32"/>
    </row>
    <row r="214" spans="2:10" ht="13.5">
      <c r="B214" s="32"/>
      <c r="C214" s="32"/>
      <c r="D214" s="32"/>
      <c r="E214" s="32"/>
      <c r="F214" s="32"/>
      <c r="G214" s="38"/>
      <c r="H214" s="32"/>
      <c r="J214" s="32"/>
    </row>
    <row r="215" spans="2:10" ht="13.5">
      <c r="B215" s="34" t="s">
        <v>170</v>
      </c>
      <c r="C215" s="32"/>
      <c r="D215" s="32"/>
      <c r="E215" s="32"/>
      <c r="F215" s="32"/>
      <c r="G215" s="38"/>
      <c r="H215" s="32"/>
      <c r="I215" s="32"/>
      <c r="J215" s="32"/>
    </row>
    <row r="216" spans="2:10" ht="15">
      <c r="B216" s="32"/>
      <c r="C216" s="32"/>
      <c r="D216" s="32"/>
      <c r="E216" s="32"/>
      <c r="F216" s="32"/>
      <c r="G216" s="38"/>
      <c r="H216" s="32"/>
      <c r="I216" s="32"/>
      <c r="J216" s="32"/>
    </row>
    <row r="217" spans="2:10" ht="18">
      <c r="B217" s="32"/>
      <c r="C217" s="32"/>
      <c r="D217" s="32">
        <f>ROUND(ABS(E194)*1000000/(E200*D208*E197),1)</f>
        <v>1.8</v>
      </c>
      <c r="E217" s="32" t="s">
        <v>171</v>
      </c>
      <c r="F217" s="35" t="str">
        <f>IF(D217&gt;=H217,"&gt;","&lt;")</f>
        <v>&lt;</v>
      </c>
      <c r="G217" s="36" t="s">
        <v>172</v>
      </c>
      <c r="H217" s="39">
        <f>160</f>
        <v>160</v>
      </c>
      <c r="I217" s="32" t="s">
        <v>171</v>
      </c>
      <c r="J217" s="39"/>
    </row>
    <row r="218" spans="2:10" ht="15">
      <c r="B218" s="32"/>
      <c r="C218" s="32"/>
      <c r="D218" s="32"/>
      <c r="E218" s="32"/>
      <c r="F218" s="32"/>
      <c r="G218" s="32"/>
      <c r="H218" s="32"/>
      <c r="I218" s="35" t="str">
        <f>IF(D217&gt;=H217,"OUT","SAFE")</f>
        <v>SAFE</v>
      </c>
      <c r="J218" s="32"/>
    </row>
    <row r="219" spans="2:10" ht="13.5">
      <c r="B219" s="32"/>
      <c r="C219" s="32"/>
      <c r="D219" s="32"/>
      <c r="E219" s="32"/>
      <c r="F219" s="32"/>
      <c r="G219" s="32"/>
      <c r="H219" s="32"/>
      <c r="J219" s="32"/>
    </row>
    <row r="236" spans="11:14" ht="13.5">
      <c r="K236" s="90"/>
      <c r="L236" s="90"/>
      <c r="M236" s="90"/>
      <c r="N236" s="90"/>
    </row>
    <row r="237" spans="11:14" ht="13.5">
      <c r="K237" s="90"/>
      <c r="L237" s="90"/>
      <c r="M237" s="90"/>
      <c r="N237" s="90"/>
    </row>
    <row r="238" spans="11:14" ht="13.5">
      <c r="K238" s="90"/>
      <c r="L238" s="90"/>
      <c r="M238" s="90"/>
      <c r="N238" s="90"/>
    </row>
    <row r="239" spans="11:14" ht="13.5">
      <c r="K239" s="90"/>
      <c r="L239" s="90"/>
      <c r="M239" s="90"/>
      <c r="N239" s="90"/>
    </row>
    <row r="240" spans="11:14" ht="13.5">
      <c r="K240" s="90"/>
      <c r="L240" s="90"/>
      <c r="M240" s="90"/>
      <c r="N240" s="90"/>
    </row>
    <row r="241" spans="11:14" ht="13.5">
      <c r="K241" s="90"/>
      <c r="L241" s="90"/>
      <c r="M241" s="90"/>
      <c r="N241" s="90"/>
    </row>
    <row r="242" spans="11:14" ht="13.5">
      <c r="K242" s="90"/>
      <c r="L242" s="90"/>
      <c r="M242" s="90"/>
      <c r="N242" s="90"/>
    </row>
    <row r="243" spans="11:14" ht="13.5">
      <c r="K243" s="90"/>
      <c r="L243" s="90"/>
      <c r="M243" s="90"/>
      <c r="N243" s="90"/>
    </row>
    <row r="244" spans="11:14" ht="13.5">
      <c r="K244" s="90"/>
      <c r="L244" s="90"/>
      <c r="M244" s="90"/>
      <c r="N244" s="90"/>
    </row>
    <row r="245" spans="11:14" ht="13.5">
      <c r="K245" s="90"/>
      <c r="L245" s="90"/>
      <c r="M245" s="90"/>
      <c r="N245" s="90"/>
    </row>
    <row r="246" spans="11:13" ht="13.5">
      <c r="K246" s="91"/>
      <c r="L246" s="91"/>
      <c r="M246" s="91"/>
    </row>
    <row r="247" spans="11:13" ht="13.5">
      <c r="K247" s="90"/>
      <c r="L247" s="90"/>
      <c r="M247" s="90"/>
    </row>
    <row r="248" spans="11:13" ht="13.5">
      <c r="K248" s="90"/>
      <c r="L248" s="90"/>
      <c r="M248" s="90"/>
    </row>
    <row r="249" spans="11:13" ht="13.5">
      <c r="K249" s="90"/>
      <c r="L249" s="90"/>
      <c r="M249" s="90"/>
    </row>
    <row r="250" spans="11:13" ht="13.5">
      <c r="K250" s="90"/>
      <c r="L250" s="90"/>
      <c r="M250" s="90"/>
    </row>
    <row r="251" spans="11:13" ht="13.5">
      <c r="K251" s="92"/>
      <c r="L251" s="92"/>
      <c r="M251" s="92"/>
    </row>
    <row r="252" spans="11:13" ht="13.5">
      <c r="K252" s="90"/>
      <c r="L252" s="90"/>
      <c r="M252" s="90"/>
    </row>
    <row r="253" spans="11:13" ht="13.5">
      <c r="K253" s="90"/>
      <c r="L253" s="90"/>
      <c r="M253" s="90"/>
    </row>
    <row r="254" spans="11:14" ht="13.5">
      <c r="K254" s="90"/>
      <c r="L254" s="90"/>
      <c r="M254" s="90"/>
      <c r="N254" s="93"/>
    </row>
    <row r="255" spans="11:14" ht="13.5">
      <c r="K255" s="90"/>
      <c r="L255" s="90"/>
      <c r="M255" s="90"/>
      <c r="N255" s="93"/>
    </row>
    <row r="256" spans="11:14" ht="13.5">
      <c r="K256" s="90"/>
      <c r="L256" s="90"/>
      <c r="M256" s="90"/>
      <c r="N256" s="93"/>
    </row>
    <row r="257" spans="11:14" ht="13.5">
      <c r="K257" s="90"/>
      <c r="L257" s="90"/>
      <c r="M257" s="90"/>
      <c r="N257" s="93"/>
    </row>
    <row r="258" spans="11:14" ht="13.5">
      <c r="K258" s="90"/>
      <c r="L258" s="90"/>
      <c r="M258" s="90"/>
      <c r="N258" s="93"/>
    </row>
    <row r="259" spans="11:14" ht="13.5">
      <c r="K259" s="90"/>
      <c r="L259" s="90"/>
      <c r="M259" s="90"/>
      <c r="N259" s="93"/>
    </row>
    <row r="260" spans="11:14" ht="13.5">
      <c r="K260" s="90"/>
      <c r="L260" s="90"/>
      <c r="M260" s="90"/>
      <c r="N260" s="93"/>
    </row>
    <row r="261" spans="11:14" ht="13.5">
      <c r="K261" s="90"/>
      <c r="L261" s="90"/>
      <c r="M261" s="90"/>
      <c r="N261" s="93"/>
    </row>
    <row r="262" spans="11:14" ht="13.5">
      <c r="K262" s="90"/>
      <c r="L262" s="90"/>
      <c r="M262" s="90"/>
      <c r="N262" s="93"/>
    </row>
    <row r="263" spans="11:14" ht="13.5">
      <c r="K263" s="90"/>
      <c r="L263" s="90"/>
      <c r="M263" s="90"/>
      <c r="N263" s="93"/>
    </row>
    <row r="264" spans="11:14" ht="13.5">
      <c r="K264" s="90"/>
      <c r="L264" s="90"/>
      <c r="M264" s="90"/>
      <c r="N264" s="93"/>
    </row>
    <row r="265" spans="11:14" ht="13.5">
      <c r="K265" s="90"/>
      <c r="L265" s="90"/>
      <c r="M265" s="90"/>
      <c r="N265" s="93"/>
    </row>
    <row r="266" spans="11:14" ht="13.5">
      <c r="K266" s="90"/>
      <c r="L266" s="90"/>
      <c r="M266" s="90"/>
      <c r="N266" s="93"/>
    </row>
    <row r="267" spans="11:14" ht="13.5">
      <c r="K267" s="90"/>
      <c r="L267" s="90"/>
      <c r="M267" s="90"/>
      <c r="N267" s="93"/>
    </row>
    <row r="268" spans="11:14" ht="13.5">
      <c r="K268" s="90"/>
      <c r="L268" s="90"/>
      <c r="M268" s="90"/>
      <c r="N268" s="93"/>
    </row>
    <row r="269" spans="11:14" ht="13.5">
      <c r="K269" s="90"/>
      <c r="L269" s="90"/>
      <c r="M269" s="90"/>
      <c r="N269" s="93"/>
    </row>
    <row r="270" spans="11:14" ht="13.5">
      <c r="K270" s="90"/>
      <c r="L270" s="90"/>
      <c r="M270" s="90"/>
      <c r="N270" s="93"/>
    </row>
    <row r="271" spans="11:14" ht="13.5">
      <c r="K271" s="90"/>
      <c r="L271" s="90"/>
      <c r="M271" s="90"/>
      <c r="N271" s="93"/>
    </row>
    <row r="272" spans="11:14" ht="13.5">
      <c r="K272" s="90"/>
      <c r="L272" s="90"/>
      <c r="M272" s="90"/>
      <c r="N272" s="93"/>
    </row>
    <row r="284" spans="11:14" ht="13.5">
      <c r="K284" s="90"/>
      <c r="L284" s="90"/>
      <c r="M284" s="90"/>
      <c r="N284" s="90"/>
    </row>
    <row r="285" spans="11:14" ht="13.5">
      <c r="K285" s="90"/>
      <c r="L285" s="90"/>
      <c r="M285" s="90"/>
      <c r="N285" s="90"/>
    </row>
    <row r="286" spans="11:14" ht="13.5">
      <c r="K286" s="90"/>
      <c r="L286" s="90"/>
      <c r="M286" s="90"/>
      <c r="N286" s="90"/>
    </row>
    <row r="287" spans="11:14" ht="13.5">
      <c r="K287" s="90"/>
      <c r="L287" s="90"/>
      <c r="M287" s="90"/>
      <c r="N287" s="90"/>
    </row>
    <row r="288" spans="11:14" ht="13.5">
      <c r="K288" s="90"/>
      <c r="L288" s="90"/>
      <c r="M288" s="90"/>
      <c r="N288" s="90"/>
    </row>
    <row r="289" spans="11:14" ht="13.5">
      <c r="K289" s="90"/>
      <c r="L289" s="90"/>
      <c r="M289" s="90"/>
      <c r="N289" s="90"/>
    </row>
    <row r="290" spans="11:14" ht="13.5">
      <c r="K290" s="90"/>
      <c r="L290" s="90"/>
      <c r="M290" s="90"/>
      <c r="N290" s="90"/>
    </row>
    <row r="291" spans="11:14" ht="13.5">
      <c r="K291" s="90"/>
      <c r="L291" s="90"/>
      <c r="M291" s="90"/>
      <c r="N291" s="90"/>
    </row>
    <row r="292" spans="11:14" ht="13.5">
      <c r="K292" s="90"/>
      <c r="L292" s="90"/>
      <c r="M292" s="90"/>
      <c r="N292" s="90"/>
    </row>
    <row r="293" spans="11:14" ht="13.5">
      <c r="K293" s="90"/>
      <c r="L293" s="90"/>
      <c r="M293" s="90"/>
      <c r="N293" s="90"/>
    </row>
    <row r="294" spans="11:13" ht="13.5">
      <c r="K294" s="91"/>
      <c r="L294" s="91"/>
      <c r="M294" s="91"/>
    </row>
    <row r="295" spans="11:13" ht="13.5">
      <c r="K295" s="90"/>
      <c r="L295" s="90"/>
      <c r="M295" s="90"/>
    </row>
    <row r="296" spans="11:13" ht="13.5">
      <c r="K296" s="90"/>
      <c r="L296" s="90"/>
      <c r="M296" s="90"/>
    </row>
    <row r="297" spans="11:13" ht="13.5">
      <c r="K297" s="90"/>
      <c r="L297" s="90"/>
      <c r="M297" s="90"/>
    </row>
    <row r="298" spans="11:13" ht="13.5">
      <c r="K298" s="90"/>
      <c r="L298" s="90"/>
      <c r="M298" s="90"/>
    </row>
    <row r="299" spans="11:13" ht="13.5">
      <c r="K299" s="92"/>
      <c r="L299" s="92"/>
      <c r="M299" s="92"/>
    </row>
    <row r="300" spans="11:13" ht="13.5">
      <c r="K300" s="90"/>
      <c r="L300" s="90"/>
      <c r="M300" s="90"/>
    </row>
    <row r="301" spans="11:13" ht="13.5">
      <c r="K301" s="90"/>
      <c r="L301" s="90"/>
      <c r="M301" s="90"/>
    </row>
  </sheetData>
  <sheetProtection sheet="1" objects="1" scenarios="1"/>
  <mergeCells count="2">
    <mergeCell ref="B92:C92"/>
    <mergeCell ref="D92:E92"/>
  </mergeCells>
  <printOptions/>
  <pageMargins left="0.75" right="0.75" top="1" bottom="1" header="0.512" footer="0.512"/>
  <pageSetup horizontalDpi="600" verticalDpi="600" orientation="portrait" paperSize="9" r:id="rId3"/>
  <headerFooter alignWithMargins="0">
    <oddHeader>&amp;CU型側溝の計算</oddHeader>
    <oddFooter>&amp;C&amp;P</oddFooter>
  </headerFooter>
  <rowBreaks count="5" manualBreakCount="5">
    <brk id="48" max="255" man="1"/>
    <brk id="83" max="255" man="1"/>
    <brk id="134" max="255" man="1"/>
    <brk id="164" max="255" man="1"/>
    <brk id="19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38"/>
  <sheetViews>
    <sheetView zoomScalePageLayoutView="0" workbookViewId="0" topLeftCell="A101">
      <selection activeCell="K74" sqref="K74"/>
    </sheetView>
  </sheetViews>
  <sheetFormatPr defaultColWidth="9.00390625" defaultRowHeight="12.75"/>
  <cols>
    <col min="1" max="12" width="8.875" style="10" customWidth="1"/>
    <col min="13" max="16" width="8.875" style="65" customWidth="1"/>
    <col min="17" max="17" width="16.50390625" style="65" customWidth="1"/>
    <col min="18" max="26" width="8.875" style="65" customWidth="1"/>
    <col min="27" max="16384" width="8.875" style="10" customWidth="1"/>
  </cols>
  <sheetData>
    <row r="1" ht="13.5">
      <c r="A1" s="20" t="s">
        <v>92</v>
      </c>
    </row>
    <row r="2" spans="2:7" ht="13.5">
      <c r="B2" s="4" t="s">
        <v>93</v>
      </c>
      <c r="C2" s="5"/>
      <c r="D2" s="5"/>
      <c r="E2" s="5"/>
      <c r="F2" s="5"/>
      <c r="G2" s="5"/>
    </row>
    <row r="3" spans="2:7" ht="13.5">
      <c r="B3" s="5"/>
      <c r="C3" s="4" t="s">
        <v>94</v>
      </c>
      <c r="D3" s="19">
        <f>'入力'!C3</f>
        <v>1</v>
      </c>
      <c r="E3" s="5" t="s">
        <v>95</v>
      </c>
      <c r="G3" s="5"/>
    </row>
    <row r="4" spans="2:7" ht="13.5">
      <c r="B4" s="5"/>
      <c r="C4" s="4" t="s">
        <v>96</v>
      </c>
      <c r="D4" s="19">
        <f>'入力'!C4</f>
        <v>0.2</v>
      </c>
      <c r="E4" s="5" t="s">
        <v>95</v>
      </c>
      <c r="G4" s="5"/>
    </row>
    <row r="5" spans="2:7" ht="13.5">
      <c r="B5" s="5"/>
      <c r="C5" s="4" t="s">
        <v>97</v>
      </c>
      <c r="D5" s="19">
        <f>'入力'!C5</f>
        <v>0.1</v>
      </c>
      <c r="E5" s="5" t="s">
        <v>98</v>
      </c>
      <c r="G5" s="5"/>
    </row>
    <row r="6" spans="2:7" ht="13.5">
      <c r="B6" s="5"/>
      <c r="C6" s="4" t="s">
        <v>99</v>
      </c>
      <c r="D6" s="19">
        <f>'入力'!C6</f>
        <v>0.1</v>
      </c>
      <c r="E6" s="5" t="s">
        <v>100</v>
      </c>
      <c r="G6" s="5"/>
    </row>
    <row r="7" spans="2:7" ht="13.5">
      <c r="B7" s="4" t="s">
        <v>101</v>
      </c>
      <c r="C7" s="5"/>
      <c r="D7" s="5"/>
      <c r="E7" s="5"/>
      <c r="F7" s="5"/>
      <c r="G7" s="5"/>
    </row>
    <row r="8" spans="2:7" ht="16.5">
      <c r="B8" s="5"/>
      <c r="C8" s="4" t="s">
        <v>102</v>
      </c>
      <c r="D8" s="6" t="s">
        <v>55</v>
      </c>
      <c r="E8" s="10">
        <f>'入力'!D8</f>
        <v>10</v>
      </c>
      <c r="F8" s="5" t="s">
        <v>103</v>
      </c>
      <c r="G8" s="5"/>
    </row>
    <row r="9" spans="2:7" ht="13.5">
      <c r="B9" s="5"/>
      <c r="C9" s="5"/>
      <c r="D9" s="5"/>
      <c r="E9" s="9"/>
      <c r="F9" s="5"/>
      <c r="G9" s="5"/>
    </row>
    <row r="10" spans="2:7" ht="13.5">
      <c r="B10" s="7" t="s">
        <v>104</v>
      </c>
      <c r="C10" s="5"/>
      <c r="D10" s="5"/>
      <c r="E10" s="9"/>
      <c r="F10" s="5"/>
      <c r="G10" s="5"/>
    </row>
    <row r="11" spans="2:7" ht="16.5">
      <c r="B11" s="5"/>
      <c r="C11" s="7" t="s">
        <v>105</v>
      </c>
      <c r="D11" s="5"/>
      <c r="E11" s="10">
        <f>'入力'!D14</f>
        <v>19</v>
      </c>
      <c r="F11" s="5" t="s">
        <v>106</v>
      </c>
      <c r="G11" s="5"/>
    </row>
    <row r="12" spans="2:7" ht="13.5">
      <c r="B12" s="5"/>
      <c r="C12" s="7" t="s">
        <v>107</v>
      </c>
      <c r="D12" s="5"/>
      <c r="E12" s="10">
        <f>'入力'!D15</f>
        <v>30</v>
      </c>
      <c r="F12" s="7" t="s">
        <v>108</v>
      </c>
      <c r="G12" s="5"/>
    </row>
    <row r="13" spans="2:7" ht="13.5">
      <c r="B13" s="5"/>
      <c r="C13" s="5"/>
      <c r="D13" s="5"/>
      <c r="E13" s="9"/>
      <c r="F13" s="5"/>
      <c r="G13" s="5"/>
    </row>
    <row r="14" spans="2:7" ht="13.5">
      <c r="B14" s="7" t="s">
        <v>109</v>
      </c>
      <c r="C14" s="5" t="str">
        <f>データ!B11</f>
        <v>主働土圧</v>
      </c>
      <c r="D14" s="5"/>
      <c r="E14" s="9"/>
      <c r="F14" s="5"/>
      <c r="G14" s="5"/>
    </row>
    <row r="15" spans="2:7" ht="13.5">
      <c r="B15" s="5"/>
      <c r="C15" s="5"/>
      <c r="D15" s="5"/>
      <c r="E15" s="9"/>
      <c r="F15" s="5"/>
      <c r="G15" s="5"/>
    </row>
    <row r="16" spans="2:7" ht="13.5">
      <c r="B16" s="7" t="s">
        <v>110</v>
      </c>
      <c r="C16" s="5" t="str">
        <f>データ!B16</f>
        <v>鉄筋コンクリート</v>
      </c>
      <c r="D16" s="5"/>
      <c r="E16" s="9"/>
      <c r="F16" s="5"/>
      <c r="G16" s="5"/>
    </row>
    <row r="17" spans="2:7" ht="18">
      <c r="B17" s="5"/>
      <c r="C17" s="7" t="s">
        <v>111</v>
      </c>
      <c r="D17" s="5"/>
      <c r="E17" s="10">
        <v>23</v>
      </c>
      <c r="F17" s="5" t="s">
        <v>106</v>
      </c>
      <c r="G17" s="5"/>
    </row>
    <row r="18" spans="2:7" ht="13.5">
      <c r="B18" s="5"/>
      <c r="C18" s="5"/>
      <c r="D18" s="5"/>
      <c r="E18" s="5"/>
      <c r="F18" s="5"/>
      <c r="G18" s="5"/>
    </row>
    <row r="19" spans="2:7" ht="13.5">
      <c r="B19" s="7" t="s">
        <v>112</v>
      </c>
      <c r="C19" s="5"/>
      <c r="D19" s="5"/>
      <c r="E19" s="5"/>
      <c r="F19" s="5"/>
      <c r="G19" s="5"/>
    </row>
    <row r="20" spans="2:7" ht="15.75">
      <c r="B20" s="5"/>
      <c r="C20" s="5"/>
      <c r="D20" s="8" t="s">
        <v>113</v>
      </c>
      <c r="E20" s="8" t="s">
        <v>114</v>
      </c>
      <c r="F20" s="9">
        <f>'入力'!E21</f>
        <v>21</v>
      </c>
      <c r="G20" s="5" t="s">
        <v>276</v>
      </c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>
      <c r="A41" t="s">
        <v>139</v>
      </c>
    </row>
    <row r="43" spans="2:6" ht="15.75">
      <c r="B43" s="20" t="s">
        <v>122</v>
      </c>
      <c r="C43" s="1" t="s">
        <v>123</v>
      </c>
      <c r="D43" s="21" t="s">
        <v>127</v>
      </c>
      <c r="E43" s="10">
        <f>D4+D6/2</f>
        <v>0.25</v>
      </c>
      <c r="F43" s="10" t="s">
        <v>3</v>
      </c>
    </row>
    <row r="44" spans="3:6" ht="15.75">
      <c r="C44" s="23" t="s">
        <v>28</v>
      </c>
      <c r="D44" s="21" t="s">
        <v>128</v>
      </c>
      <c r="E44" s="10">
        <f>D3+D5</f>
        <v>1.1</v>
      </c>
      <c r="F44" s="10" t="s">
        <v>3</v>
      </c>
    </row>
    <row r="45" spans="2:6" ht="15.75">
      <c r="B45" s="11" t="s">
        <v>124</v>
      </c>
      <c r="C45" s="12" t="s">
        <v>125</v>
      </c>
      <c r="D45" s="21" t="s">
        <v>129</v>
      </c>
      <c r="E45" s="24">
        <f>D5</f>
        <v>0.1</v>
      </c>
      <c r="F45" s="10" t="s">
        <v>3</v>
      </c>
    </row>
    <row r="46" spans="3:6" ht="15.75">
      <c r="C46" s="12" t="s">
        <v>126</v>
      </c>
      <c r="D46" s="21" t="s">
        <v>130</v>
      </c>
      <c r="E46" s="24">
        <f>D6</f>
        <v>0.1</v>
      </c>
      <c r="F46" s="10" t="s">
        <v>3</v>
      </c>
    </row>
    <row r="47" ht="13.5">
      <c r="E47" s="22"/>
    </row>
    <row r="48" spans="2:6" ht="13.5">
      <c r="B48" s="23" t="s">
        <v>32</v>
      </c>
      <c r="E48" s="19">
        <f>E43*D5*E17</f>
        <v>0.5750000000000001</v>
      </c>
      <c r="F48" s="10" t="s">
        <v>131</v>
      </c>
    </row>
    <row r="49" spans="5:18" ht="13.5">
      <c r="E49" s="22"/>
      <c r="Q49" s="66" t="s">
        <v>321</v>
      </c>
      <c r="R49" s="65">
        <f>5*G54/D3</f>
        <v>24.558749999999996</v>
      </c>
    </row>
    <row r="50" ht="13.5">
      <c r="B50" s="1" t="s">
        <v>138</v>
      </c>
    </row>
    <row r="51" spans="3:19" ht="13.5">
      <c r="C51" s="11" t="s">
        <v>133</v>
      </c>
      <c r="E51" s="10" t="str">
        <f>IF(データ!A11=1,"主働土圧","静止土圧")</f>
        <v>主働土圧</v>
      </c>
      <c r="F51" s="10" t="str">
        <f>IF(データ!A11=1,"ランキン式",IF(データ!A11=3,"ヤーキー式",""))</f>
        <v>ランキン式</v>
      </c>
      <c r="O51" s="65" t="s">
        <v>190</v>
      </c>
      <c r="P51" s="66" t="s">
        <v>324</v>
      </c>
      <c r="Q51" s="66" t="s">
        <v>322</v>
      </c>
      <c r="R51" s="66" t="s">
        <v>323</v>
      </c>
      <c r="S51" s="66" t="s">
        <v>327</v>
      </c>
    </row>
    <row r="52" spans="3:16" ht="13.5">
      <c r="C52" s="11" t="s">
        <v>134</v>
      </c>
      <c r="D52" s="21"/>
      <c r="F52" s="22" t="str">
        <f>IF(Q73=1,P71,IF(Q73=3,P72,""))</f>
        <v>K=tan2(π/4-φ/2)=</v>
      </c>
      <c r="G52" s="25">
        <f>データ!C11</f>
        <v>0.333</v>
      </c>
      <c r="O52" s="65">
        <v>0</v>
      </c>
      <c r="P52" s="65">
        <f>E43</f>
        <v>0.25</v>
      </c>
    </row>
    <row r="53" spans="3:16" ht="16.5">
      <c r="C53" s="11" t="s">
        <v>135</v>
      </c>
      <c r="D53" s="12" t="s">
        <v>137</v>
      </c>
      <c r="E53" s="21"/>
      <c r="G53" s="19">
        <f>G52*E8</f>
        <v>3.33</v>
      </c>
      <c r="H53" s="10" t="s">
        <v>59</v>
      </c>
      <c r="O53" s="65">
        <f>O52</f>
        <v>0</v>
      </c>
      <c r="P53" s="65">
        <f>0</f>
        <v>0</v>
      </c>
    </row>
    <row r="54" spans="4:16" ht="16.5">
      <c r="D54" s="12" t="s">
        <v>136</v>
      </c>
      <c r="E54" s="21"/>
      <c r="G54" s="19">
        <f>G53+G52*E11*E43</f>
        <v>4.91175</v>
      </c>
      <c r="H54" s="10" t="s">
        <v>59</v>
      </c>
      <c r="O54" s="65">
        <f>E44</f>
        <v>1.1</v>
      </c>
      <c r="P54" s="65">
        <f>P53</f>
        <v>0</v>
      </c>
    </row>
    <row r="55" spans="15:16" ht="13.5">
      <c r="O55" s="65">
        <f>O54</f>
        <v>1.1</v>
      </c>
      <c r="P55" s="65">
        <f>P52</f>
        <v>0.25</v>
      </c>
    </row>
    <row r="56" spans="2:17" ht="16.5">
      <c r="B56" s="23" t="s">
        <v>35</v>
      </c>
      <c r="E56" s="19">
        <f>2*E48/E44</f>
        <v>1.0454545454545454</v>
      </c>
      <c r="F56" s="10" t="s">
        <v>59</v>
      </c>
      <c r="O56" s="65">
        <v>0</v>
      </c>
      <c r="Q56" s="65">
        <f>P52</f>
        <v>0.25</v>
      </c>
    </row>
    <row r="57" spans="15:17" ht="13.5">
      <c r="O57" s="65">
        <f>-G53/R49</f>
        <v>-0.13559322033898308</v>
      </c>
      <c r="Q57" s="65">
        <f>Q56</f>
        <v>0.25</v>
      </c>
    </row>
    <row r="58" spans="15:17" ht="13.5">
      <c r="O58" s="65">
        <f>-G54/R49</f>
        <v>-0.2</v>
      </c>
      <c r="Q58" s="65">
        <v>0</v>
      </c>
    </row>
    <row r="59" spans="15:17" ht="13.5">
      <c r="O59" s="65">
        <v>0</v>
      </c>
      <c r="Q59" s="65">
        <v>0</v>
      </c>
    </row>
    <row r="60" spans="15:18" ht="13.5">
      <c r="O60" s="65">
        <f>$E$44-O56</f>
        <v>1.1</v>
      </c>
      <c r="R60" s="65">
        <f>Q56</f>
        <v>0.25</v>
      </c>
    </row>
    <row r="61" spans="15:18" ht="13.5">
      <c r="O61" s="65">
        <f>$E$44-O57</f>
        <v>1.2355932203389832</v>
      </c>
      <c r="R61" s="65">
        <f>Q57</f>
        <v>0.25</v>
      </c>
    </row>
    <row r="62" spans="15:18" ht="13.5">
      <c r="O62" s="65">
        <f>$E$44-O58</f>
        <v>1.3</v>
      </c>
      <c r="R62" s="65">
        <f>Q58</f>
        <v>0</v>
      </c>
    </row>
    <row r="63" spans="15:18" ht="13.5">
      <c r="O63" s="65">
        <f>$E$44-O59</f>
        <v>1.1</v>
      </c>
      <c r="R63" s="65">
        <f>Q59</f>
        <v>0</v>
      </c>
    </row>
    <row r="64" spans="15:19" ht="13.5">
      <c r="O64" s="65">
        <v>0</v>
      </c>
      <c r="S64" s="65">
        <v>0</v>
      </c>
    </row>
    <row r="65" spans="15:19" ht="13.5">
      <c r="O65" s="65">
        <v>0</v>
      </c>
      <c r="S65" s="65">
        <f>-E56/R49</f>
        <v>-0.042569534094957825</v>
      </c>
    </row>
    <row r="66" spans="15:19" ht="13.5">
      <c r="O66" s="65">
        <f>E44</f>
        <v>1.1</v>
      </c>
      <c r="S66" s="65">
        <f>S65</f>
        <v>-0.042569534094957825</v>
      </c>
    </row>
    <row r="67" spans="15:19" ht="13.5">
      <c r="O67" s="65">
        <f>O66</f>
        <v>1.1</v>
      </c>
      <c r="S67" s="65">
        <f>0</f>
        <v>0</v>
      </c>
    </row>
    <row r="70" ht="13.5">
      <c r="P70" s="67" t="s">
        <v>273</v>
      </c>
    </row>
    <row r="71" ht="13.5">
      <c r="P71" s="67" t="s">
        <v>331</v>
      </c>
    </row>
    <row r="72" ht="13.5">
      <c r="P72" s="67" t="s">
        <v>275</v>
      </c>
    </row>
    <row r="73" spans="4:17" ht="13.5">
      <c r="D73" s="11" t="s">
        <v>140</v>
      </c>
      <c r="P73" s="66" t="s">
        <v>328</v>
      </c>
      <c r="Q73" s="65">
        <f>データ!A11</f>
        <v>1</v>
      </c>
    </row>
    <row r="75" ht="13.5">
      <c r="A75" s="11" t="s">
        <v>141</v>
      </c>
    </row>
    <row r="76" ht="13.5"/>
    <row r="77" ht="13.5">
      <c r="B77" s="11" t="s">
        <v>145</v>
      </c>
    </row>
    <row r="78" ht="13.5"/>
    <row r="79" ht="13.5"/>
    <row r="80" ht="13.5">
      <c r="B80" s="11" t="s">
        <v>126</v>
      </c>
    </row>
    <row r="81" ht="13.5"/>
    <row r="83" spans="2:5" ht="13.5">
      <c r="B83" s="102" t="s">
        <v>145</v>
      </c>
      <c r="C83" s="102"/>
      <c r="D83" s="103" t="s">
        <v>38</v>
      </c>
      <c r="E83" s="102"/>
    </row>
    <row r="84" spans="2:5" ht="13.5">
      <c r="B84" s="26" t="s">
        <v>143</v>
      </c>
      <c r="C84" s="27" t="s">
        <v>146</v>
      </c>
      <c r="D84" s="27" t="s">
        <v>144</v>
      </c>
      <c r="E84" s="27" t="s">
        <v>146</v>
      </c>
    </row>
    <row r="85" spans="2:5" ht="13.5">
      <c r="B85" s="28">
        <v>0</v>
      </c>
      <c r="C85" s="41">
        <f>-1/6*$E$11*B85^3*$G$52+1/2*$G$52*$E$8*B85^2</f>
        <v>0</v>
      </c>
      <c r="D85" s="28">
        <v>0</v>
      </c>
      <c r="E85" s="41">
        <f>C105</f>
        <v>-0.12053906250000006</v>
      </c>
    </row>
    <row r="86" spans="2:5" ht="13.5">
      <c r="B86" s="28">
        <f aca="true" t="shared" si="0" ref="B86:B105">B85+$E$43/20</f>
        <v>0.0125</v>
      </c>
      <c r="C86" s="41">
        <f aca="true" t="shared" si="1" ref="C86:C105">-(1/6*$E$11*B86^3*$G$52+1/2*$G$52*$E$8*B86^2)</f>
        <v>-0.0002622158203125001</v>
      </c>
      <c r="D86" s="28">
        <f aca="true" t="shared" si="2" ref="D86:D105">D85+$E$44/20</f>
        <v>0.05500000000000001</v>
      </c>
      <c r="E86" s="41">
        <f aca="true" t="shared" si="3" ref="E86:E105">$E$85+$E$48*D86-1/2*$E$56*D86^2</f>
        <v>-0.09049531250000006</v>
      </c>
    </row>
    <row r="87" spans="2:5" ht="13.5">
      <c r="B87" s="28">
        <f t="shared" si="0"/>
        <v>0.025</v>
      </c>
      <c r="C87" s="41">
        <f t="shared" si="1"/>
        <v>-0.0010571015625000003</v>
      </c>
      <c r="D87" s="28">
        <f t="shared" si="2"/>
        <v>0.11000000000000001</v>
      </c>
      <c r="E87" s="41">
        <f t="shared" si="3"/>
        <v>-0.06361406250000004</v>
      </c>
    </row>
    <row r="88" spans="2:5" ht="13.5">
      <c r="B88" s="28">
        <f t="shared" si="0"/>
        <v>0.037500000000000006</v>
      </c>
      <c r="C88" s="41">
        <f t="shared" si="1"/>
        <v>-0.0023970146484375006</v>
      </c>
      <c r="D88" s="28">
        <f t="shared" si="2"/>
        <v>0.16500000000000004</v>
      </c>
      <c r="E88" s="41">
        <f t="shared" si="3"/>
        <v>-0.03989531250000004</v>
      </c>
    </row>
    <row r="89" spans="2:18" ht="13.5">
      <c r="B89" s="28">
        <f t="shared" si="0"/>
        <v>0.05</v>
      </c>
      <c r="C89" s="41">
        <f t="shared" si="1"/>
        <v>-0.004294312500000001</v>
      </c>
      <c r="D89" s="28">
        <f t="shared" si="2"/>
        <v>0.22000000000000003</v>
      </c>
      <c r="E89" s="41">
        <f t="shared" si="3"/>
        <v>-0.019339062500000035</v>
      </c>
      <c r="Q89" s="70" t="s">
        <v>39</v>
      </c>
      <c r="R89" s="65">
        <f>ABS(D3/(5*E147))</f>
        <v>1.6592131700045367</v>
      </c>
    </row>
    <row r="90" spans="2:21" ht="13.5">
      <c r="B90" s="28">
        <f t="shared" si="0"/>
        <v>0.0625</v>
      </c>
      <c r="C90" s="41">
        <f t="shared" si="1"/>
        <v>-0.0067613525390625</v>
      </c>
      <c r="D90" s="28">
        <f t="shared" si="2"/>
        <v>0.275</v>
      </c>
      <c r="E90" s="41">
        <f t="shared" si="3"/>
        <v>-0.0019453125000000182</v>
      </c>
      <c r="Q90" s="65" t="s">
        <v>6</v>
      </c>
      <c r="R90" s="66" t="s">
        <v>325</v>
      </c>
      <c r="S90" s="66" t="s">
        <v>330</v>
      </c>
      <c r="T90" s="66" t="s">
        <v>320</v>
      </c>
      <c r="U90" s="66" t="s">
        <v>326</v>
      </c>
    </row>
    <row r="91" spans="2:18" ht="13.5">
      <c r="B91" s="28">
        <f t="shared" si="0"/>
        <v>0.075</v>
      </c>
      <c r="C91" s="41">
        <f t="shared" si="1"/>
        <v>-0.0098104921875</v>
      </c>
      <c r="D91" s="28">
        <f t="shared" si="2"/>
        <v>0.33</v>
      </c>
      <c r="E91" s="41">
        <f t="shared" si="3"/>
        <v>0.012285937499999969</v>
      </c>
      <c r="Q91" s="71">
        <f aca="true" t="shared" si="4" ref="Q91:Q111">C85*$R$89</f>
        <v>0</v>
      </c>
      <c r="R91" s="71">
        <f>E43</f>
        <v>0.25</v>
      </c>
    </row>
    <row r="92" spans="2:18" ht="13.5">
      <c r="B92" s="28">
        <f t="shared" si="0"/>
        <v>0.0875</v>
      </c>
      <c r="C92" s="41">
        <f t="shared" si="1"/>
        <v>-0.013454088867187498</v>
      </c>
      <c r="D92" s="28">
        <f t="shared" si="2"/>
        <v>0.385</v>
      </c>
      <c r="E92" s="41">
        <f t="shared" si="3"/>
        <v>0.023354687499999985</v>
      </c>
      <c r="Q92" s="71">
        <f t="shared" si="4"/>
        <v>-0.0004350719424460433</v>
      </c>
      <c r="R92" s="71">
        <f>R91-$R$91/20</f>
        <v>0.2375</v>
      </c>
    </row>
    <row r="93" spans="2:18" ht="13.5">
      <c r="B93" s="28">
        <f t="shared" si="0"/>
        <v>0.09999999999999999</v>
      </c>
      <c r="C93" s="41">
        <f t="shared" si="1"/>
        <v>-0.017704499999999998</v>
      </c>
      <c r="D93" s="28">
        <f t="shared" si="2"/>
        <v>0.44</v>
      </c>
      <c r="E93" s="41">
        <f t="shared" si="3"/>
        <v>0.03126093749999999</v>
      </c>
      <c r="Q93" s="71">
        <f t="shared" si="4"/>
        <v>-0.0017539568345323745</v>
      </c>
      <c r="R93" s="71">
        <f aca="true" t="shared" si="5" ref="R93:R110">R92-$R$91/20</f>
        <v>0.22499999999999998</v>
      </c>
    </row>
    <row r="94" spans="2:18" ht="13.5">
      <c r="B94" s="28">
        <f t="shared" si="0"/>
        <v>0.11249999999999999</v>
      </c>
      <c r="C94" s="41">
        <f t="shared" si="1"/>
        <v>-0.022574083007812495</v>
      </c>
      <c r="D94" s="28">
        <f t="shared" si="2"/>
        <v>0.495</v>
      </c>
      <c r="E94" s="41">
        <f t="shared" si="3"/>
        <v>0.036004687499999966</v>
      </c>
      <c r="Q94" s="71">
        <f t="shared" si="4"/>
        <v>-0.003977158273381296</v>
      </c>
      <c r="R94" s="71">
        <f t="shared" si="5"/>
        <v>0.21249999999999997</v>
      </c>
    </row>
    <row r="95" spans="2:18" ht="13.5">
      <c r="B95" s="28">
        <f t="shared" si="0"/>
        <v>0.12499999999999999</v>
      </c>
      <c r="C95" s="41">
        <f t="shared" si="1"/>
        <v>-0.028075195312499992</v>
      </c>
      <c r="D95" s="28">
        <f t="shared" si="2"/>
        <v>0.55</v>
      </c>
      <c r="E95" s="41">
        <f t="shared" si="3"/>
        <v>0.0375859375</v>
      </c>
      <c r="Q95" s="71">
        <f t="shared" si="4"/>
        <v>-0.007125179856115109</v>
      </c>
      <c r="R95" s="71">
        <f t="shared" si="5"/>
        <v>0.19999999999999996</v>
      </c>
    </row>
    <row r="96" spans="2:18" ht="13.5">
      <c r="B96" s="28">
        <f t="shared" si="0"/>
        <v>0.13749999999999998</v>
      </c>
      <c r="C96" s="41">
        <f t="shared" si="1"/>
        <v>-0.034220194335937495</v>
      </c>
      <c r="D96" s="28">
        <f t="shared" si="2"/>
        <v>0.6050000000000001</v>
      </c>
      <c r="E96" s="41">
        <f t="shared" si="3"/>
        <v>0.03600468749999999</v>
      </c>
      <c r="Q96" s="71">
        <f t="shared" si="4"/>
        <v>-0.011218525179856114</v>
      </c>
      <c r="R96" s="71">
        <f t="shared" si="5"/>
        <v>0.18749999999999994</v>
      </c>
    </row>
    <row r="97" spans="2:18" ht="13.5">
      <c r="B97" s="28">
        <f t="shared" si="0"/>
        <v>0.15</v>
      </c>
      <c r="C97" s="41">
        <f t="shared" si="1"/>
        <v>-0.0410214375</v>
      </c>
      <c r="D97" s="28">
        <f t="shared" si="2"/>
        <v>0.6600000000000001</v>
      </c>
      <c r="E97" s="41">
        <f t="shared" si="3"/>
        <v>0.03126093749999995</v>
      </c>
      <c r="Q97" s="71">
        <f t="shared" si="4"/>
        <v>-0.016277697841726616</v>
      </c>
      <c r="R97" s="71">
        <f t="shared" si="5"/>
        <v>0.17499999999999993</v>
      </c>
    </row>
    <row r="98" spans="2:18" ht="13.5">
      <c r="B98" s="28">
        <f t="shared" si="0"/>
        <v>0.1625</v>
      </c>
      <c r="C98" s="41">
        <f t="shared" si="1"/>
        <v>-0.04849128222656251</v>
      </c>
      <c r="D98" s="28">
        <f t="shared" si="2"/>
        <v>0.7150000000000002</v>
      </c>
      <c r="E98" s="41">
        <f t="shared" si="3"/>
        <v>0.02335468749999997</v>
      </c>
      <c r="Q98" s="71">
        <f t="shared" si="4"/>
        <v>-0.022323201438848916</v>
      </c>
      <c r="R98" s="71">
        <f t="shared" si="5"/>
        <v>0.16249999999999992</v>
      </c>
    </row>
    <row r="99" spans="2:18" ht="13.5">
      <c r="B99" s="28">
        <f t="shared" si="0"/>
        <v>0.17500000000000002</v>
      </c>
      <c r="C99" s="41">
        <f t="shared" si="1"/>
        <v>-0.05664208593750002</v>
      </c>
      <c r="D99" s="28">
        <f t="shared" si="2"/>
        <v>0.7700000000000002</v>
      </c>
      <c r="E99" s="41">
        <f t="shared" si="3"/>
        <v>0.012285937499999955</v>
      </c>
      <c r="Q99" s="71">
        <f t="shared" si="4"/>
        <v>-0.029375539568345318</v>
      </c>
      <c r="R99" s="71">
        <f t="shared" si="5"/>
        <v>0.1499999999999999</v>
      </c>
    </row>
    <row r="100" spans="2:18" ht="13.5">
      <c r="B100" s="28">
        <f t="shared" si="0"/>
        <v>0.18750000000000003</v>
      </c>
      <c r="C100" s="41">
        <f t="shared" si="1"/>
        <v>-0.06548620605468752</v>
      </c>
      <c r="D100" s="28">
        <f t="shared" si="2"/>
        <v>0.8250000000000003</v>
      </c>
      <c r="E100" s="41">
        <f t="shared" si="3"/>
        <v>-0.0019453125000000737</v>
      </c>
      <c r="Q100" s="71">
        <f t="shared" si="4"/>
        <v>-0.037455215827338115</v>
      </c>
      <c r="R100" s="71">
        <f t="shared" si="5"/>
        <v>0.1374999999999999</v>
      </c>
    </row>
    <row r="101" spans="2:18" ht="13.5">
      <c r="B101" s="28">
        <f t="shared" si="0"/>
        <v>0.20000000000000004</v>
      </c>
      <c r="C101" s="41">
        <f t="shared" si="1"/>
        <v>-0.07503600000000002</v>
      </c>
      <c r="D101" s="28">
        <f t="shared" si="2"/>
        <v>0.8800000000000003</v>
      </c>
      <c r="E101" s="41">
        <f t="shared" si="3"/>
        <v>-0.01933906250000017</v>
      </c>
      <c r="Q101" s="71">
        <f t="shared" si="4"/>
        <v>-0.04658273381294962</v>
      </c>
      <c r="R101" s="71">
        <f t="shared" si="5"/>
        <v>0.1249999999999999</v>
      </c>
    </row>
    <row r="102" spans="2:18" ht="13.5">
      <c r="B102" s="28">
        <f t="shared" si="0"/>
        <v>0.21250000000000005</v>
      </c>
      <c r="C102" s="41">
        <f t="shared" si="1"/>
        <v>-0.08530382519531254</v>
      </c>
      <c r="D102" s="28">
        <f t="shared" si="2"/>
        <v>0.9350000000000004</v>
      </c>
      <c r="E102" s="41">
        <f t="shared" si="3"/>
        <v>-0.03989531250000017</v>
      </c>
      <c r="Q102" s="71">
        <f t="shared" si="4"/>
        <v>-0.05677859712230215</v>
      </c>
      <c r="R102" s="71">
        <f t="shared" si="5"/>
        <v>0.1124999999999999</v>
      </c>
    </row>
    <row r="103" spans="2:18" ht="13.5">
      <c r="B103" s="28">
        <f t="shared" si="0"/>
        <v>0.22500000000000006</v>
      </c>
      <c r="C103" s="41">
        <f t="shared" si="1"/>
        <v>-0.09630203906250004</v>
      </c>
      <c r="D103" s="28">
        <f t="shared" si="2"/>
        <v>0.9900000000000004</v>
      </c>
      <c r="E103" s="41">
        <f t="shared" si="3"/>
        <v>-0.06361406250000018</v>
      </c>
      <c r="Q103" s="71">
        <f t="shared" si="4"/>
        <v>-0.06806330935251798</v>
      </c>
      <c r="R103" s="71">
        <f t="shared" si="5"/>
        <v>0.09999999999999991</v>
      </c>
    </row>
    <row r="104" spans="2:18" ht="13.5">
      <c r="B104" s="28">
        <f t="shared" si="0"/>
        <v>0.23750000000000007</v>
      </c>
      <c r="C104" s="41">
        <f t="shared" si="1"/>
        <v>-0.10804299902343757</v>
      </c>
      <c r="D104" s="28">
        <f t="shared" si="2"/>
        <v>1.0450000000000004</v>
      </c>
      <c r="E104" s="41">
        <f t="shared" si="3"/>
        <v>-0.09049531250000015</v>
      </c>
      <c r="Q104" s="71">
        <f t="shared" si="4"/>
        <v>-0.08045737410071943</v>
      </c>
      <c r="R104" s="71">
        <f t="shared" si="5"/>
        <v>0.08749999999999991</v>
      </c>
    </row>
    <row r="105" spans="2:18" ht="13.5">
      <c r="B105" s="29">
        <f t="shared" si="0"/>
        <v>0.25000000000000006</v>
      </c>
      <c r="C105" s="42">
        <f t="shared" si="1"/>
        <v>-0.12053906250000006</v>
      </c>
      <c r="D105" s="29">
        <f t="shared" si="2"/>
        <v>1.1000000000000003</v>
      </c>
      <c r="E105" s="42">
        <f t="shared" si="3"/>
        <v>-0.12053906250000002</v>
      </c>
      <c r="Q105" s="71">
        <f t="shared" si="4"/>
        <v>-0.0939812949640288</v>
      </c>
      <c r="R105" s="71">
        <f t="shared" si="5"/>
        <v>0.07499999999999991</v>
      </c>
    </row>
    <row r="106" spans="2:18" ht="13.5">
      <c r="B106" s="30" t="s">
        <v>149</v>
      </c>
      <c r="C106" s="89">
        <f>MAX(C85:C105)</f>
        <v>0</v>
      </c>
      <c r="D106" s="30" t="s">
        <v>149</v>
      </c>
      <c r="E106" s="89">
        <f>MAX(E85:E105)</f>
        <v>0.0375859375</v>
      </c>
      <c r="Q106" s="71">
        <f t="shared" si="4"/>
        <v>-0.10865557553956837</v>
      </c>
      <c r="R106" s="71">
        <f t="shared" si="5"/>
        <v>0.06249999999999992</v>
      </c>
    </row>
    <row r="107" spans="2:18" ht="13.5">
      <c r="B107" s="30" t="s">
        <v>150</v>
      </c>
      <c r="C107" s="89">
        <f>MIN(C85:C105)</f>
        <v>-0.12053906250000006</v>
      </c>
      <c r="D107" s="30" t="s">
        <v>150</v>
      </c>
      <c r="E107" s="89">
        <f>MIN(E85:E105)</f>
        <v>-0.12053906250000006</v>
      </c>
      <c r="Q107" s="71">
        <f t="shared" si="4"/>
        <v>-0.12450071942446045</v>
      </c>
      <c r="R107" s="71">
        <f t="shared" si="5"/>
        <v>0.04999999999999992</v>
      </c>
    </row>
    <row r="108" spans="17:18" ht="13.5">
      <c r="Q108" s="71">
        <f t="shared" si="4"/>
        <v>-0.1415372302158274</v>
      </c>
      <c r="R108" s="71">
        <f t="shared" si="5"/>
        <v>0.03749999999999992</v>
      </c>
    </row>
    <row r="109" spans="17:18" ht="13.5">
      <c r="Q109" s="71">
        <f t="shared" si="4"/>
        <v>-0.1597856115107914</v>
      </c>
      <c r="R109" s="71">
        <f t="shared" si="5"/>
        <v>0.02499999999999992</v>
      </c>
    </row>
    <row r="110" spans="17:18" ht="13.5">
      <c r="Q110" s="71">
        <f t="shared" si="4"/>
        <v>-0.1792663669064749</v>
      </c>
      <c r="R110" s="71">
        <f t="shared" si="5"/>
        <v>0.012499999999999921</v>
      </c>
    </row>
    <row r="111" spans="17:18" ht="13.5">
      <c r="Q111" s="71">
        <f t="shared" si="4"/>
        <v>-0.20000000000000007</v>
      </c>
      <c r="R111" s="71">
        <f>R110-$R$91/20</f>
        <v>-7.979727989493313E-17</v>
      </c>
    </row>
    <row r="112" spans="17:18" ht="13.5">
      <c r="Q112" s="71">
        <v>0</v>
      </c>
      <c r="R112" s="71">
        <v>0</v>
      </c>
    </row>
    <row r="113" spans="17:19" ht="13.5">
      <c r="Q113" s="65">
        <v>0</v>
      </c>
      <c r="S113" s="65">
        <v>0</v>
      </c>
    </row>
    <row r="114" spans="17:19" ht="13.5">
      <c r="Q114" s="65">
        <f aca="true" t="shared" si="6" ref="Q114:Q134">D85</f>
        <v>0</v>
      </c>
      <c r="S114" s="65">
        <f aca="true" t="shared" si="7" ref="S114:S134">E85*$R$89</f>
        <v>-0.20000000000000007</v>
      </c>
    </row>
    <row r="115" spans="17:19" ht="13.5">
      <c r="Q115" s="65">
        <f t="shared" si="6"/>
        <v>0.05500000000000001</v>
      </c>
      <c r="S115" s="65">
        <f t="shared" si="7"/>
        <v>-0.15015101432367628</v>
      </c>
    </row>
    <row r="116" spans="17:19" ht="13.5">
      <c r="Q116" s="65">
        <f t="shared" si="6"/>
        <v>0.11000000000000001</v>
      </c>
      <c r="S116" s="65">
        <f t="shared" si="7"/>
        <v>-0.10554929029749179</v>
      </c>
    </row>
    <row r="117" spans="17:19" ht="13.5">
      <c r="Q117" s="65">
        <f t="shared" si="6"/>
        <v>0.16500000000000004</v>
      </c>
      <c r="S117" s="65">
        <f t="shared" si="7"/>
        <v>-0.06619482792144668</v>
      </c>
    </row>
    <row r="118" spans="17:19" ht="13.5">
      <c r="Q118" s="65">
        <f t="shared" si="6"/>
        <v>0.22000000000000003</v>
      </c>
      <c r="S118" s="65">
        <f t="shared" si="7"/>
        <v>-0.03208762719554092</v>
      </c>
    </row>
    <row r="119" spans="17:19" ht="13.5">
      <c r="Q119" s="65">
        <f t="shared" si="6"/>
        <v>0.275</v>
      </c>
      <c r="S119" s="65">
        <f t="shared" si="7"/>
        <v>-0.0032276881197744805</v>
      </c>
    </row>
    <row r="120" spans="17:19" ht="13.5">
      <c r="Q120" s="65">
        <f t="shared" si="6"/>
        <v>0.33</v>
      </c>
      <c r="S120" s="65">
        <f t="shared" si="7"/>
        <v>0.02038498930585256</v>
      </c>
    </row>
    <row r="121" spans="17:19" ht="13.5">
      <c r="Q121" s="65">
        <f t="shared" si="6"/>
        <v>0.385</v>
      </c>
      <c r="S121" s="65">
        <f t="shared" si="7"/>
        <v>0.038750405081340304</v>
      </c>
    </row>
    <row r="122" spans="17:19" ht="13.5">
      <c r="Q122" s="65">
        <f t="shared" si="6"/>
        <v>0.44</v>
      </c>
      <c r="S122" s="65">
        <f t="shared" si="7"/>
        <v>0.051868559206688675</v>
      </c>
    </row>
    <row r="123" spans="17:19" ht="13.5">
      <c r="Q123" s="65">
        <f t="shared" si="6"/>
        <v>0.495</v>
      </c>
      <c r="S123" s="65">
        <f t="shared" si="7"/>
        <v>0.05973945168189766</v>
      </c>
    </row>
    <row r="124" spans="3:19" ht="13.5">
      <c r="C124" s="11" t="s">
        <v>147</v>
      </c>
      <c r="Q124" s="65">
        <f t="shared" si="6"/>
        <v>0.55</v>
      </c>
      <c r="S124" s="65">
        <f t="shared" si="7"/>
        <v>0.06236308250696739</v>
      </c>
    </row>
    <row r="125" spans="17:19" ht="13.5">
      <c r="Q125" s="65">
        <f t="shared" si="6"/>
        <v>0.6050000000000001</v>
      </c>
      <c r="S125" s="65">
        <f t="shared" si="7"/>
        <v>0.059739451681897704</v>
      </c>
    </row>
    <row r="126" spans="1:19" ht="13.5">
      <c r="A126" s="11" t="s">
        <v>148</v>
      </c>
      <c r="Q126" s="65">
        <f t="shared" si="6"/>
        <v>0.6600000000000001</v>
      </c>
      <c r="S126" s="65">
        <f t="shared" si="7"/>
        <v>0.051868559206688605</v>
      </c>
    </row>
    <row r="127" spans="17:19" ht="13.5">
      <c r="Q127" s="65">
        <f t="shared" si="6"/>
        <v>0.7150000000000002</v>
      </c>
      <c r="S127" s="65">
        <f t="shared" si="7"/>
        <v>0.03875040508134028</v>
      </c>
    </row>
    <row r="128" spans="1:19" ht="13.5">
      <c r="A128" s="11" t="s">
        <v>173</v>
      </c>
      <c r="Q128" s="65">
        <f t="shared" si="6"/>
        <v>0.7700000000000002</v>
      </c>
      <c r="S128" s="65">
        <f t="shared" si="7"/>
        <v>0.020384989305852537</v>
      </c>
    </row>
    <row r="129" spans="17:19" ht="13.5">
      <c r="Q129" s="65">
        <f t="shared" si="6"/>
        <v>0.8250000000000003</v>
      </c>
      <c r="S129" s="65">
        <f t="shared" si="7"/>
        <v>-0.0032276881197745725</v>
      </c>
    </row>
    <row r="130" spans="2:19" ht="13.5">
      <c r="B130" s="11" t="s">
        <v>151</v>
      </c>
      <c r="D130" s="21" t="s">
        <v>152</v>
      </c>
      <c r="E130" s="19">
        <f>C107</f>
        <v>-0.12053906250000006</v>
      </c>
      <c r="F130" s="10" t="s">
        <v>153</v>
      </c>
      <c r="Q130" s="65">
        <f t="shared" si="6"/>
        <v>0.8800000000000003</v>
      </c>
      <c r="S130" s="65">
        <f t="shared" si="7"/>
        <v>-0.032087627195541146</v>
      </c>
    </row>
    <row r="131" spans="2:19" ht="13.5">
      <c r="B131" s="11" t="s">
        <v>154</v>
      </c>
      <c r="D131" s="21" t="s">
        <v>156</v>
      </c>
      <c r="E131" s="10">
        <f>1000</f>
        <v>1000</v>
      </c>
      <c r="F131" s="10" t="s">
        <v>158</v>
      </c>
      <c r="Q131" s="65">
        <f t="shared" si="6"/>
        <v>0.9350000000000004</v>
      </c>
      <c r="S131" s="65">
        <f t="shared" si="7"/>
        <v>-0.0661948279214469</v>
      </c>
    </row>
    <row r="132" spans="2:19" ht="13.5">
      <c r="B132" s="11" t="s">
        <v>176</v>
      </c>
      <c r="D132" s="21" t="s">
        <v>177</v>
      </c>
      <c r="E132" s="10">
        <f>D5*1000</f>
        <v>100</v>
      </c>
      <c r="F132" s="10" t="s">
        <v>158</v>
      </c>
      <c r="Q132" s="65">
        <f t="shared" si="6"/>
        <v>0.9900000000000004</v>
      </c>
      <c r="S132" s="65">
        <f t="shared" si="7"/>
        <v>-0.10554929029749202</v>
      </c>
    </row>
    <row r="133" spans="1:19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Q133" s="65">
        <f t="shared" si="6"/>
        <v>1.0450000000000004</v>
      </c>
      <c r="S133" s="65">
        <f t="shared" si="7"/>
        <v>-0.15015101432367642</v>
      </c>
    </row>
    <row r="134" spans="1:19" ht="13.5">
      <c r="A134" s="32"/>
      <c r="B134" s="34" t="s">
        <v>166</v>
      </c>
      <c r="C134" s="32"/>
      <c r="D134" s="32"/>
      <c r="E134" s="32"/>
      <c r="F134" s="32"/>
      <c r="G134" s="32"/>
      <c r="H134" s="32"/>
      <c r="I134" s="32"/>
      <c r="J134" s="32"/>
      <c r="Q134" s="65">
        <f t="shared" si="6"/>
        <v>1.1000000000000003</v>
      </c>
      <c r="S134" s="65">
        <f t="shared" si="7"/>
        <v>-0.2</v>
      </c>
    </row>
    <row r="135" spans="1:19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Q135" s="65">
        <f>Q134</f>
        <v>1.1000000000000003</v>
      </c>
      <c r="S135" s="65">
        <v>0</v>
      </c>
    </row>
    <row r="136" spans="1:20" ht="18">
      <c r="A136" s="32"/>
      <c r="B136" s="32"/>
      <c r="C136" s="32"/>
      <c r="D136" s="32">
        <f>ROUND(6*ABS(E130)*1000000/(E131*E132^2),2)</f>
        <v>0.07</v>
      </c>
      <c r="E136" s="32" t="s">
        <v>167</v>
      </c>
      <c r="F136" s="35" t="str">
        <f>IF(D136&gt;=H136,"&gt;","&lt;")</f>
        <v>&lt;</v>
      </c>
      <c r="G136" s="36" t="s">
        <v>168</v>
      </c>
      <c r="H136" s="37">
        <f>データ!F16</f>
        <v>7</v>
      </c>
      <c r="I136" s="32" t="s">
        <v>169</v>
      </c>
      <c r="J136" s="32"/>
      <c r="Q136" s="72">
        <f aca="true" t="shared" si="8" ref="Q136:Q157">$E$44-Q91</f>
        <v>1.1</v>
      </c>
      <c r="T136" s="65">
        <f aca="true" t="shared" si="9" ref="T136:T156">R91</f>
        <v>0.25</v>
      </c>
    </row>
    <row r="137" spans="1:20" ht="15">
      <c r="A137" s="32"/>
      <c r="B137" s="32"/>
      <c r="C137" s="32"/>
      <c r="D137" s="32"/>
      <c r="E137" s="32"/>
      <c r="F137" s="32"/>
      <c r="G137" s="38"/>
      <c r="H137" s="32"/>
      <c r="I137" s="32"/>
      <c r="J137" s="32"/>
      <c r="Q137" s="68">
        <f t="shared" si="8"/>
        <v>1.100435071942446</v>
      </c>
      <c r="T137" s="65">
        <f t="shared" si="9"/>
        <v>0.2375</v>
      </c>
    </row>
    <row r="138" spans="1:20" ht="13.5">
      <c r="A138" s="32"/>
      <c r="B138" s="32"/>
      <c r="C138" s="32"/>
      <c r="D138" s="32"/>
      <c r="E138" s="32"/>
      <c r="F138" s="32"/>
      <c r="G138" s="38"/>
      <c r="H138" s="32"/>
      <c r="I138" s="35" t="str">
        <f>IF(D136&gt;=H136,"OUT","SAFE")</f>
        <v>SAFE</v>
      </c>
      <c r="J138" s="35"/>
      <c r="Q138" s="68">
        <f t="shared" si="8"/>
        <v>1.1017539568345325</v>
      </c>
      <c r="T138" s="65">
        <f t="shared" si="9"/>
        <v>0.22499999999999998</v>
      </c>
    </row>
    <row r="139" spans="1:20" ht="13.5">
      <c r="A139" s="32"/>
      <c r="B139" s="34" t="s">
        <v>178</v>
      </c>
      <c r="C139" s="32"/>
      <c r="D139" s="32"/>
      <c r="E139" s="32"/>
      <c r="F139" s="32"/>
      <c r="G139" s="38"/>
      <c r="H139" s="32"/>
      <c r="I139" s="32"/>
      <c r="J139" s="32"/>
      <c r="Q139" s="68">
        <f t="shared" si="8"/>
        <v>1.1039771582733813</v>
      </c>
      <c r="T139" s="65">
        <f t="shared" si="9"/>
        <v>0.21249999999999997</v>
      </c>
    </row>
    <row r="140" spans="1:20" ht="15">
      <c r="A140" s="32"/>
      <c r="B140" s="32"/>
      <c r="C140" s="32"/>
      <c r="D140" s="32"/>
      <c r="E140" s="32"/>
      <c r="F140" s="32"/>
      <c r="G140" s="38"/>
      <c r="H140" s="32"/>
      <c r="I140" s="32"/>
      <c r="J140" s="32"/>
      <c r="Q140" s="68">
        <f t="shared" si="8"/>
        <v>1.1071251798561152</v>
      </c>
      <c r="T140" s="65">
        <f t="shared" si="9"/>
        <v>0.19999999999999996</v>
      </c>
    </row>
    <row r="141" spans="1:20" ht="18">
      <c r="A141" s="32"/>
      <c r="B141" s="32"/>
      <c r="C141" s="32"/>
      <c r="D141" s="32">
        <f>ROUND(-6*ABS(E130)*1000000/(E131*E132^2),2)</f>
        <v>-0.07</v>
      </c>
      <c r="E141" s="32" t="s">
        <v>171</v>
      </c>
      <c r="F141" s="35" t="str">
        <f>IF(D141&gt;=H141,"&gt;","&lt;")</f>
        <v>&lt;</v>
      </c>
      <c r="G141" s="36" t="s">
        <v>172</v>
      </c>
      <c r="H141" s="37">
        <f>-データ!G16</f>
        <v>0</v>
      </c>
      <c r="I141" s="32" t="s">
        <v>171</v>
      </c>
      <c r="J141" s="32"/>
      <c r="Q141" s="68">
        <f t="shared" si="8"/>
        <v>1.1112185251798563</v>
      </c>
      <c r="T141" s="65">
        <f t="shared" si="9"/>
        <v>0.18749999999999994</v>
      </c>
    </row>
    <row r="142" spans="1:20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Q142" s="68">
        <f t="shared" si="8"/>
        <v>1.1162776978417268</v>
      </c>
      <c r="T142" s="65">
        <f t="shared" si="9"/>
        <v>0.17499999999999993</v>
      </c>
    </row>
    <row r="143" spans="9:20" ht="13.5">
      <c r="I143" s="35" t="str">
        <f>IF(D141&lt;=H141,"OUT","SAFE")</f>
        <v>OUT</v>
      </c>
      <c r="J143" s="35"/>
      <c r="Q143" s="68">
        <f t="shared" si="8"/>
        <v>1.122323201438849</v>
      </c>
      <c r="T143" s="65">
        <f t="shared" si="9"/>
        <v>0.16249999999999992</v>
      </c>
    </row>
    <row r="144" spans="9:20" ht="13.5">
      <c r="I144" s="35"/>
      <c r="J144" s="35"/>
      <c r="Q144" s="68">
        <f t="shared" si="8"/>
        <v>1.1293755395683454</v>
      </c>
      <c r="T144" s="65">
        <f t="shared" si="9"/>
        <v>0.1499999999999999</v>
      </c>
    </row>
    <row r="145" spans="1:20" ht="13.5">
      <c r="A145" s="11" t="s">
        <v>174</v>
      </c>
      <c r="Q145" s="68">
        <f t="shared" si="8"/>
        <v>1.137455215827338</v>
      </c>
      <c r="T145" s="65">
        <f t="shared" si="9"/>
        <v>0.1374999999999999</v>
      </c>
    </row>
    <row r="146" spans="17:20" ht="13.5">
      <c r="Q146" s="68">
        <f t="shared" si="8"/>
        <v>1.1465827338129497</v>
      </c>
      <c r="T146" s="65">
        <f t="shared" si="9"/>
        <v>0.1249999999999999</v>
      </c>
    </row>
    <row r="147" spans="2:20" ht="13.5">
      <c r="B147" s="11" t="s">
        <v>151</v>
      </c>
      <c r="D147" s="21" t="s">
        <v>152</v>
      </c>
      <c r="E147" s="19">
        <f>E105</f>
        <v>-0.12053906250000002</v>
      </c>
      <c r="F147" s="10" t="s">
        <v>153</v>
      </c>
      <c r="Q147" s="68">
        <f t="shared" si="8"/>
        <v>1.1567785971223021</v>
      </c>
      <c r="T147" s="65">
        <f t="shared" si="9"/>
        <v>0.1124999999999999</v>
      </c>
    </row>
    <row r="148" spans="2:20" ht="13.5">
      <c r="B148" s="11" t="s">
        <v>154</v>
      </c>
      <c r="D148" s="21" t="s">
        <v>156</v>
      </c>
      <c r="E148" s="10">
        <f>1000</f>
        <v>1000</v>
      </c>
      <c r="F148" s="10" t="s">
        <v>158</v>
      </c>
      <c r="Q148" s="68">
        <f t="shared" si="8"/>
        <v>1.1680633093525181</v>
      </c>
      <c r="T148" s="65">
        <f t="shared" si="9"/>
        <v>0.09999999999999991</v>
      </c>
    </row>
    <row r="149" spans="2:20" ht="13.5">
      <c r="B149" s="11" t="s">
        <v>176</v>
      </c>
      <c r="D149" s="21" t="s">
        <v>177</v>
      </c>
      <c r="E149" s="10">
        <f>D6*1000</f>
        <v>100</v>
      </c>
      <c r="F149" s="10" t="s">
        <v>158</v>
      </c>
      <c r="Q149" s="68">
        <f t="shared" si="8"/>
        <v>1.1804573741007196</v>
      </c>
      <c r="T149" s="65">
        <f t="shared" si="9"/>
        <v>0.08749999999999991</v>
      </c>
    </row>
    <row r="150" spans="2:20" ht="13.5">
      <c r="B150" s="11"/>
      <c r="D150" s="21"/>
      <c r="Q150" s="68">
        <f t="shared" si="8"/>
        <v>1.193981294964029</v>
      </c>
      <c r="T150" s="65">
        <f t="shared" si="9"/>
        <v>0.07499999999999991</v>
      </c>
    </row>
    <row r="151" spans="1:20" ht="13.5">
      <c r="A151" s="32"/>
      <c r="B151" s="34" t="s">
        <v>166</v>
      </c>
      <c r="C151" s="32"/>
      <c r="D151" s="32"/>
      <c r="E151" s="32"/>
      <c r="F151" s="32"/>
      <c r="G151" s="32"/>
      <c r="H151" s="32"/>
      <c r="I151" s="32"/>
      <c r="J151" s="32"/>
      <c r="Q151" s="68">
        <f t="shared" si="8"/>
        <v>1.2086555755395685</v>
      </c>
      <c r="T151" s="65">
        <f t="shared" si="9"/>
        <v>0.06249999999999992</v>
      </c>
    </row>
    <row r="152" spans="1:20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Q152" s="68">
        <f t="shared" si="8"/>
        <v>1.2245007194244606</v>
      </c>
      <c r="T152" s="65">
        <f t="shared" si="9"/>
        <v>0.04999999999999992</v>
      </c>
    </row>
    <row r="153" spans="1:20" ht="18">
      <c r="A153" s="32"/>
      <c r="B153" s="32"/>
      <c r="C153" s="32"/>
      <c r="D153" s="32">
        <f>ROUND(6*ABS(E147)*1000000/(E148*E149^2),2)</f>
        <v>0.07</v>
      </c>
      <c r="E153" s="32" t="s">
        <v>167</v>
      </c>
      <c r="F153" s="35" t="str">
        <f>IF(D153&gt;=H153,"&gt;","&lt;")</f>
        <v>&lt;</v>
      </c>
      <c r="G153" s="36" t="s">
        <v>168</v>
      </c>
      <c r="H153" s="37">
        <f>H136</f>
        <v>7</v>
      </c>
      <c r="I153" s="32" t="s">
        <v>169</v>
      </c>
      <c r="J153" s="32"/>
      <c r="Q153" s="68">
        <f t="shared" si="8"/>
        <v>1.2415372302158274</v>
      </c>
      <c r="T153" s="65">
        <f t="shared" si="9"/>
        <v>0.03749999999999992</v>
      </c>
    </row>
    <row r="154" spans="1:20" ht="15">
      <c r="A154" s="32"/>
      <c r="B154" s="32"/>
      <c r="C154" s="32"/>
      <c r="D154" s="32"/>
      <c r="E154" s="32"/>
      <c r="F154" s="32"/>
      <c r="G154" s="38"/>
      <c r="H154" s="32"/>
      <c r="I154" s="32"/>
      <c r="J154" s="32"/>
      <c r="Q154" s="68">
        <f t="shared" si="8"/>
        <v>1.2597856115107915</v>
      </c>
      <c r="T154" s="65">
        <f t="shared" si="9"/>
        <v>0.02499999999999992</v>
      </c>
    </row>
    <row r="155" spans="1:20" ht="13.5">
      <c r="A155" s="32"/>
      <c r="B155" s="32"/>
      <c r="C155" s="32"/>
      <c r="D155" s="32"/>
      <c r="E155" s="32"/>
      <c r="F155" s="32"/>
      <c r="G155" s="38"/>
      <c r="H155" s="32"/>
      <c r="I155" s="35" t="str">
        <f>IF(D153&gt;=H153,"OUT","SAFE")</f>
        <v>SAFE</v>
      </c>
      <c r="J155" s="35"/>
      <c r="Q155" s="68">
        <f t="shared" si="8"/>
        <v>1.279266366906475</v>
      </c>
      <c r="T155" s="65">
        <f t="shared" si="9"/>
        <v>0.012499999999999921</v>
      </c>
    </row>
    <row r="156" spans="1:20" ht="13.5">
      <c r="A156" s="32"/>
      <c r="B156" s="34" t="s">
        <v>178</v>
      </c>
      <c r="C156" s="32"/>
      <c r="D156" s="32"/>
      <c r="E156" s="32"/>
      <c r="F156" s="32"/>
      <c r="G156" s="38"/>
      <c r="H156" s="32"/>
      <c r="I156" s="32"/>
      <c r="J156" s="32"/>
      <c r="Q156" s="68">
        <f t="shared" si="8"/>
        <v>1.3000000000000003</v>
      </c>
      <c r="T156" s="65">
        <f t="shared" si="9"/>
        <v>-7.979727989493313E-17</v>
      </c>
    </row>
    <row r="157" spans="1:20" ht="15">
      <c r="A157" s="32"/>
      <c r="B157" s="32"/>
      <c r="C157" s="32"/>
      <c r="D157" s="32"/>
      <c r="E157" s="32"/>
      <c r="F157" s="32"/>
      <c r="G157" s="38"/>
      <c r="H157" s="32"/>
      <c r="I157" s="32"/>
      <c r="J157" s="32"/>
      <c r="Q157" s="68">
        <f t="shared" si="8"/>
        <v>1.1</v>
      </c>
      <c r="T157" s="65">
        <v>0</v>
      </c>
    </row>
    <row r="158" spans="1:21" ht="18">
      <c r="A158" s="32"/>
      <c r="B158" s="32"/>
      <c r="C158" s="32"/>
      <c r="D158" s="32">
        <f>ROUND(-6*ABS(E147)*1000000/(E148*E149^2),2)</f>
        <v>-0.07</v>
      </c>
      <c r="E158" s="32" t="s">
        <v>171</v>
      </c>
      <c r="F158" s="35" t="str">
        <f>IF(D158&gt;=H158,"&gt;","&lt;")</f>
        <v>&lt;</v>
      </c>
      <c r="G158" s="36" t="s">
        <v>172</v>
      </c>
      <c r="H158" s="37">
        <f>H141</f>
        <v>0</v>
      </c>
      <c r="I158" s="32" t="s">
        <v>171</v>
      </c>
      <c r="J158" s="32"/>
      <c r="Q158" s="65">
        <f>0</f>
        <v>0</v>
      </c>
      <c r="U158" s="65">
        <f>T136</f>
        <v>0.25</v>
      </c>
    </row>
    <row r="159" spans="1:21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Q159" s="65">
        <f>0</f>
        <v>0</v>
      </c>
      <c r="U159" s="65">
        <f>0</f>
        <v>0</v>
      </c>
    </row>
    <row r="160" spans="9:21" ht="13.5">
      <c r="I160" s="35" t="str">
        <f>IF(D158&lt;=H158,"OUT","SAFE")</f>
        <v>OUT</v>
      </c>
      <c r="J160" s="35"/>
      <c r="Q160" s="65">
        <f>Q136</f>
        <v>1.1</v>
      </c>
      <c r="U160" s="65">
        <f>0</f>
        <v>0</v>
      </c>
    </row>
    <row r="161" spans="17:21" ht="13.5">
      <c r="Q161" s="65">
        <f>Q160</f>
        <v>1.1</v>
      </c>
      <c r="U161" s="65">
        <f>U158</f>
        <v>0.25</v>
      </c>
    </row>
    <row r="162" ht="13.5">
      <c r="A162" s="11" t="s">
        <v>175</v>
      </c>
    </row>
    <row r="164" spans="2:6" ht="13.5">
      <c r="B164" s="11" t="s">
        <v>151</v>
      </c>
      <c r="D164" s="21" t="s">
        <v>152</v>
      </c>
      <c r="E164" s="19">
        <f>E95</f>
        <v>0.0375859375</v>
      </c>
      <c r="F164" s="10" t="s">
        <v>153</v>
      </c>
    </row>
    <row r="165" spans="2:6" ht="13.5">
      <c r="B165" s="11" t="s">
        <v>154</v>
      </c>
      <c r="D165" s="21" t="s">
        <v>156</v>
      </c>
      <c r="E165" s="10">
        <f>1000</f>
        <v>1000</v>
      </c>
      <c r="F165" s="10" t="s">
        <v>158</v>
      </c>
    </row>
    <row r="166" spans="2:6" ht="13.5">
      <c r="B166" s="11" t="s">
        <v>176</v>
      </c>
      <c r="D166" s="21" t="s">
        <v>177</v>
      </c>
      <c r="E166" s="10">
        <f>E149</f>
        <v>100</v>
      </c>
      <c r="F166" s="10" t="s">
        <v>158</v>
      </c>
    </row>
    <row r="167" spans="2:10" ht="13.5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ht="13.5">
      <c r="A168" s="32"/>
      <c r="B168" s="34" t="s">
        <v>166</v>
      </c>
      <c r="C168" s="32"/>
      <c r="D168" s="32"/>
      <c r="E168" s="32"/>
      <c r="F168" s="32"/>
      <c r="G168" s="32"/>
      <c r="H168" s="32"/>
      <c r="I168" s="32"/>
      <c r="J168" s="32"/>
    </row>
    <row r="169" spans="1:10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ht="18">
      <c r="A170" s="32"/>
      <c r="B170" s="32"/>
      <c r="C170" s="32"/>
      <c r="D170" s="32">
        <f>ROUND(6*ABS(E164)*1000000/(E165*E166^2),2)</f>
        <v>0.02</v>
      </c>
      <c r="E170" s="32" t="s">
        <v>167</v>
      </c>
      <c r="F170" s="35" t="str">
        <f>IF(D170&gt;=H170,"&gt;","&lt;")</f>
        <v>&lt;</v>
      </c>
      <c r="G170" s="36" t="s">
        <v>168</v>
      </c>
      <c r="H170" s="37">
        <f>H153</f>
        <v>7</v>
      </c>
      <c r="I170" s="32" t="s">
        <v>169</v>
      </c>
      <c r="J170" s="32"/>
    </row>
    <row r="171" spans="1:10" ht="15">
      <c r="A171" s="32"/>
      <c r="B171" s="32"/>
      <c r="C171" s="32"/>
      <c r="D171" s="32"/>
      <c r="E171" s="32"/>
      <c r="F171" s="32"/>
      <c r="G171" s="38"/>
      <c r="H171" s="32"/>
      <c r="I171" s="32"/>
      <c r="J171" s="32"/>
    </row>
    <row r="172" spans="1:10" ht="13.5">
      <c r="A172" s="32"/>
      <c r="B172" s="32"/>
      <c r="C172" s="32"/>
      <c r="D172" s="32"/>
      <c r="E172" s="32"/>
      <c r="F172" s="32"/>
      <c r="G172" s="38"/>
      <c r="H172" s="32"/>
      <c r="I172" s="35" t="str">
        <f>IF(D170&gt;=H170,"OUT","SAFE")</f>
        <v>SAFE</v>
      </c>
      <c r="J172" s="35"/>
    </row>
    <row r="173" spans="1:10" ht="13.5">
      <c r="A173" s="32"/>
      <c r="B173" s="34" t="s">
        <v>178</v>
      </c>
      <c r="C173" s="32"/>
      <c r="D173" s="32"/>
      <c r="E173" s="32"/>
      <c r="F173" s="32"/>
      <c r="G173" s="38"/>
      <c r="H173" s="32"/>
      <c r="I173" s="32"/>
      <c r="J173" s="32"/>
    </row>
    <row r="174" spans="1:10" ht="15">
      <c r="A174" s="32"/>
      <c r="B174" s="32"/>
      <c r="C174" s="32"/>
      <c r="D174" s="32"/>
      <c r="E174" s="32"/>
      <c r="F174" s="32"/>
      <c r="G174" s="38"/>
      <c r="H174" s="32"/>
      <c r="I174" s="32"/>
      <c r="J174" s="32"/>
    </row>
    <row r="175" spans="1:10" ht="18">
      <c r="A175" s="32"/>
      <c r="B175" s="32"/>
      <c r="C175" s="32"/>
      <c r="D175" s="32">
        <f>ROUND(-6*ABS(E164)*1000000/(E165*E166^2),2)</f>
        <v>-0.02</v>
      </c>
      <c r="E175" s="32" t="s">
        <v>171</v>
      </c>
      <c r="F175" s="35" t="str">
        <f>IF(D175&gt;=H175,"&gt;","&lt;")</f>
        <v>&lt;</v>
      </c>
      <c r="G175" s="36" t="s">
        <v>172</v>
      </c>
      <c r="H175" s="37">
        <f>H158</f>
        <v>0</v>
      </c>
      <c r="I175" s="32" t="s">
        <v>171</v>
      </c>
      <c r="J175" s="32"/>
    </row>
    <row r="176" spans="1:13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90"/>
    </row>
    <row r="177" spans="9:13" ht="13.5">
      <c r="I177" s="35" t="str">
        <f>IF(D175&lt;=H175,"OUT","SAFE")</f>
        <v>OUT</v>
      </c>
      <c r="J177" s="35"/>
      <c r="K177" s="32"/>
      <c r="L177" s="32"/>
      <c r="M177" s="90"/>
    </row>
    <row r="178" spans="11:13" ht="13.5">
      <c r="K178" s="32"/>
      <c r="L178" s="32"/>
      <c r="M178" s="90"/>
    </row>
    <row r="179" spans="11:13" ht="13.5">
      <c r="K179" s="32"/>
      <c r="L179" s="32"/>
      <c r="M179" s="90"/>
    </row>
    <row r="180" spans="11:13" ht="13.5">
      <c r="K180" s="32"/>
      <c r="L180" s="32"/>
      <c r="M180" s="90"/>
    </row>
    <row r="181" spans="11:13" ht="13.5">
      <c r="K181" s="35"/>
      <c r="L181" s="35"/>
      <c r="M181" s="93"/>
    </row>
    <row r="182" spans="11:13" ht="13.5">
      <c r="K182" s="32"/>
      <c r="L182" s="32"/>
      <c r="M182" s="90"/>
    </row>
    <row r="183" spans="11:13" ht="13.5">
      <c r="K183" s="32"/>
      <c r="L183" s="32"/>
      <c r="M183" s="90"/>
    </row>
    <row r="184" spans="11:13" ht="13.5">
      <c r="K184" s="32"/>
      <c r="L184" s="32"/>
      <c r="M184" s="90"/>
    </row>
    <row r="185" spans="11:13" ht="13.5">
      <c r="K185" s="32"/>
      <c r="L185" s="32"/>
      <c r="M185" s="90"/>
    </row>
    <row r="186" spans="11:13" ht="13.5">
      <c r="K186" s="35"/>
      <c r="L186" s="35"/>
      <c r="M186" s="93"/>
    </row>
    <row r="187" spans="11:13" ht="13.5">
      <c r="K187" s="35"/>
      <c r="L187" s="35"/>
      <c r="M187" s="93"/>
    </row>
    <row r="194" spans="11:13" ht="13.5">
      <c r="K194" s="32"/>
      <c r="L194" s="32"/>
      <c r="M194" s="90"/>
    </row>
    <row r="195" spans="11:13" ht="13.5">
      <c r="K195" s="32"/>
      <c r="L195" s="32"/>
      <c r="M195" s="90"/>
    </row>
    <row r="196" spans="11:13" ht="13.5">
      <c r="K196" s="32"/>
      <c r="L196" s="32"/>
      <c r="M196" s="90"/>
    </row>
    <row r="197" spans="11:13" ht="13.5">
      <c r="K197" s="32"/>
      <c r="L197" s="32"/>
      <c r="M197" s="90"/>
    </row>
    <row r="198" spans="11:13" ht="13.5">
      <c r="K198" s="35"/>
      <c r="L198" s="35"/>
      <c r="M198" s="93"/>
    </row>
    <row r="199" spans="11:13" ht="13.5">
      <c r="K199" s="32"/>
      <c r="L199" s="32"/>
      <c r="M199" s="90"/>
    </row>
    <row r="200" spans="11:13" ht="13.5">
      <c r="K200" s="32"/>
      <c r="L200" s="32"/>
      <c r="M200" s="90"/>
    </row>
    <row r="201" spans="11:13" ht="13.5">
      <c r="K201" s="32"/>
      <c r="L201" s="32"/>
      <c r="M201" s="90"/>
    </row>
    <row r="202" spans="11:13" ht="13.5">
      <c r="K202" s="32"/>
      <c r="L202" s="32"/>
      <c r="M202" s="90"/>
    </row>
    <row r="203" spans="11:13" ht="13.5">
      <c r="K203" s="35"/>
      <c r="L203" s="35"/>
      <c r="M203" s="93"/>
    </row>
    <row r="204" spans="11:13" ht="13.5">
      <c r="K204" s="32"/>
      <c r="L204" s="32"/>
      <c r="M204" s="90"/>
    </row>
    <row r="228" spans="11:13" ht="13.5">
      <c r="K228" s="32"/>
      <c r="L228" s="32"/>
      <c r="M228" s="90"/>
    </row>
    <row r="229" spans="11:13" ht="13.5">
      <c r="K229" s="32"/>
      <c r="L229" s="32"/>
      <c r="M229" s="90"/>
    </row>
    <row r="230" spans="11:13" ht="13.5">
      <c r="K230" s="32"/>
      <c r="L230" s="32"/>
      <c r="M230" s="90"/>
    </row>
    <row r="231" spans="11:13" ht="13.5">
      <c r="K231" s="32"/>
      <c r="L231" s="32"/>
      <c r="M231" s="90"/>
    </row>
    <row r="232" spans="11:13" ht="13.5">
      <c r="K232" s="32"/>
      <c r="L232" s="32"/>
      <c r="M232" s="90"/>
    </row>
    <row r="233" spans="11:13" ht="13.5">
      <c r="K233" s="35"/>
      <c r="L233" s="35"/>
      <c r="M233" s="93"/>
    </row>
    <row r="234" spans="11:13" ht="13.5">
      <c r="K234" s="32"/>
      <c r="L234" s="32"/>
      <c r="M234" s="90"/>
    </row>
    <row r="235" spans="11:13" ht="13.5">
      <c r="K235" s="32"/>
      <c r="L235" s="32"/>
      <c r="M235" s="90"/>
    </row>
    <row r="236" spans="11:13" ht="13.5">
      <c r="K236" s="32"/>
      <c r="L236" s="32"/>
      <c r="M236" s="90"/>
    </row>
    <row r="237" spans="11:13" ht="13.5">
      <c r="K237" s="32"/>
      <c r="L237" s="32"/>
      <c r="M237" s="90"/>
    </row>
    <row r="238" spans="11:13" ht="13.5">
      <c r="K238" s="35"/>
      <c r="L238" s="35"/>
      <c r="M238" s="93"/>
    </row>
  </sheetData>
  <sheetProtection/>
  <mergeCells count="2">
    <mergeCell ref="B83:C83"/>
    <mergeCell ref="D83:E83"/>
  </mergeCells>
  <printOptions/>
  <pageMargins left="0.75" right="0.75" top="1" bottom="1" header="0.512" footer="0.512"/>
  <pageSetup horizontalDpi="600" verticalDpi="600" orientation="portrait" paperSize="9" r:id="rId3"/>
  <headerFooter alignWithMargins="0">
    <oddHeader>&amp;CU型側溝の設計</oddHeader>
    <oddFooter>&amp;C&amp;P</oddFooter>
  </headerFooter>
  <rowBreaks count="4" manualBreakCount="4">
    <brk id="40" max="255" man="1"/>
    <brk id="74" max="255" man="1"/>
    <brk id="125" max="255" man="1"/>
    <brk id="161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60"/>
  <sheetViews>
    <sheetView zoomScalePageLayoutView="0" workbookViewId="0" topLeftCell="A27">
      <selection activeCell="J35" sqref="J35"/>
    </sheetView>
  </sheetViews>
  <sheetFormatPr defaultColWidth="9.00390625" defaultRowHeight="12.75"/>
  <cols>
    <col min="1" max="12" width="8.875" style="10" customWidth="1"/>
    <col min="13" max="18" width="8.875" style="65" customWidth="1"/>
    <col min="19" max="19" width="16.50390625" style="65" customWidth="1"/>
    <col min="20" max="30" width="8.875" style="65" customWidth="1"/>
    <col min="31" max="16384" width="8.875" style="10" customWidth="1"/>
  </cols>
  <sheetData>
    <row r="1" ht="13.5">
      <c r="A1" s="20" t="s">
        <v>179</v>
      </c>
    </row>
    <row r="2" spans="2:7" ht="13.5">
      <c r="B2" s="4" t="s">
        <v>93</v>
      </c>
      <c r="C2" s="5"/>
      <c r="D2" s="5"/>
      <c r="E2" s="5"/>
      <c r="F2" s="5"/>
      <c r="G2" s="5"/>
    </row>
    <row r="3" spans="2:7" ht="13.5">
      <c r="B3" s="5"/>
      <c r="C3" s="4" t="s">
        <v>94</v>
      </c>
      <c r="D3" s="19">
        <f>'入力'!C3</f>
        <v>1</v>
      </c>
      <c r="E3" s="5" t="s">
        <v>95</v>
      </c>
      <c r="G3" s="5"/>
    </row>
    <row r="4" spans="2:7" ht="13.5">
      <c r="B4" s="5"/>
      <c r="C4" s="4" t="s">
        <v>96</v>
      </c>
      <c r="D4" s="19">
        <f>'入力'!C4</f>
        <v>0.2</v>
      </c>
      <c r="E4" s="5" t="s">
        <v>95</v>
      </c>
      <c r="G4" s="5"/>
    </row>
    <row r="5" spans="2:7" ht="13.5">
      <c r="B5" s="5"/>
      <c r="C5" s="4" t="s">
        <v>97</v>
      </c>
      <c r="D5" s="19">
        <f>'入力'!C5</f>
        <v>0.1</v>
      </c>
      <c r="E5" s="5" t="s">
        <v>98</v>
      </c>
      <c r="G5" s="5"/>
    </row>
    <row r="6" spans="2:7" ht="13.5">
      <c r="B6" s="5"/>
      <c r="C6" s="4" t="s">
        <v>180</v>
      </c>
      <c r="D6" s="19">
        <f>'入力'!C6</f>
        <v>0.1</v>
      </c>
      <c r="E6" s="5" t="s">
        <v>100</v>
      </c>
      <c r="G6" s="5"/>
    </row>
    <row r="7" spans="2:7" ht="13.5">
      <c r="B7" s="4" t="s">
        <v>101</v>
      </c>
      <c r="C7" s="5"/>
      <c r="D7" s="5"/>
      <c r="E7" s="5"/>
      <c r="F7" s="5"/>
      <c r="G7" s="5"/>
    </row>
    <row r="8" spans="2:7" ht="13.5">
      <c r="B8" s="5"/>
      <c r="C8" s="7" t="s">
        <v>181</v>
      </c>
      <c r="D8" s="6" t="s">
        <v>56</v>
      </c>
      <c r="E8" s="5">
        <f>'入力'!D9</f>
        <v>50</v>
      </c>
      <c r="F8" s="5" t="s">
        <v>182</v>
      </c>
      <c r="G8" s="5"/>
    </row>
    <row r="9" spans="2:7" ht="13.5">
      <c r="B9" s="5"/>
      <c r="C9" s="7" t="s">
        <v>183</v>
      </c>
      <c r="D9" s="6" t="s">
        <v>184</v>
      </c>
      <c r="E9" s="5">
        <f>'入力'!D10</f>
        <v>0.2</v>
      </c>
      <c r="F9" s="5" t="s">
        <v>185</v>
      </c>
      <c r="G9" s="5"/>
    </row>
    <row r="10" spans="2:7" ht="13.5">
      <c r="B10" s="5"/>
      <c r="C10" s="5"/>
      <c r="D10" s="6" t="s">
        <v>186</v>
      </c>
      <c r="E10" s="5">
        <f>'入力'!D11</f>
        <v>0.5</v>
      </c>
      <c r="F10" s="5" t="s">
        <v>185</v>
      </c>
      <c r="G10" s="5"/>
    </row>
    <row r="11" spans="2:7" ht="13.5">
      <c r="B11" s="7" t="s">
        <v>187</v>
      </c>
      <c r="C11" s="5"/>
      <c r="D11" s="5"/>
      <c r="E11" s="9"/>
      <c r="F11" s="5"/>
      <c r="G11" s="5"/>
    </row>
    <row r="12" spans="2:7" ht="16.5">
      <c r="B12" s="5"/>
      <c r="C12" s="7" t="s">
        <v>188</v>
      </c>
      <c r="D12" s="5"/>
      <c r="E12" s="10">
        <f>'入力'!D14</f>
        <v>19</v>
      </c>
      <c r="F12" s="5" t="s">
        <v>106</v>
      </c>
      <c r="G12" s="5"/>
    </row>
    <row r="13" spans="2:7" ht="13.5">
      <c r="B13" s="5"/>
      <c r="C13" s="7" t="s">
        <v>107</v>
      </c>
      <c r="D13" s="5"/>
      <c r="E13" s="10">
        <f>'入力'!D15</f>
        <v>30</v>
      </c>
      <c r="F13" s="7" t="s">
        <v>108</v>
      </c>
      <c r="G13" s="5"/>
    </row>
    <row r="14" spans="2:7" ht="13.5">
      <c r="B14" s="5"/>
      <c r="C14" s="5"/>
      <c r="D14" s="5"/>
      <c r="E14" s="9"/>
      <c r="F14" s="5"/>
      <c r="G14" s="5"/>
    </row>
    <row r="15" spans="2:7" ht="13.5">
      <c r="B15" s="7" t="s">
        <v>109</v>
      </c>
      <c r="C15" s="5" t="str">
        <f>データ!B11</f>
        <v>主働土圧</v>
      </c>
      <c r="D15" s="5"/>
      <c r="E15" s="9"/>
      <c r="F15" s="5"/>
      <c r="G15" s="5"/>
    </row>
    <row r="16" spans="2:7" ht="13.5">
      <c r="B16" s="5"/>
      <c r="C16" s="5"/>
      <c r="D16" s="5"/>
      <c r="E16" s="9"/>
      <c r="F16" s="5"/>
      <c r="G16" s="5"/>
    </row>
    <row r="17" spans="2:7" ht="13.5">
      <c r="B17" s="7" t="s">
        <v>110</v>
      </c>
      <c r="C17" s="5" t="str">
        <f>データ!B16</f>
        <v>鉄筋コンクリート</v>
      </c>
      <c r="D17" s="5"/>
      <c r="E17" s="9"/>
      <c r="F17" s="5"/>
      <c r="G17" s="5"/>
    </row>
    <row r="18" spans="2:7" ht="18">
      <c r="B18" s="5"/>
      <c r="C18" s="7" t="s">
        <v>189</v>
      </c>
      <c r="D18" s="5"/>
      <c r="E18" s="10">
        <v>24.5</v>
      </c>
      <c r="F18" s="5" t="s">
        <v>106</v>
      </c>
      <c r="G18" s="5"/>
    </row>
    <row r="19" spans="2:7" ht="13.5">
      <c r="B19" s="5"/>
      <c r="C19" s="5"/>
      <c r="D19" s="5"/>
      <c r="E19" s="5"/>
      <c r="F19" s="5"/>
      <c r="G19" s="5"/>
    </row>
    <row r="20" spans="2:7" ht="13.5">
      <c r="B20" s="7" t="s">
        <v>112</v>
      </c>
      <c r="C20" s="5"/>
      <c r="D20" s="5"/>
      <c r="E20" s="5"/>
      <c r="F20" s="5"/>
      <c r="G20" s="5"/>
    </row>
    <row r="21" spans="2:7" ht="15.75">
      <c r="B21" s="5"/>
      <c r="C21" s="5"/>
      <c r="D21" s="8" t="s">
        <v>113</v>
      </c>
      <c r="E21" s="8" t="s">
        <v>114</v>
      </c>
      <c r="F21" s="9">
        <f>'入力'!E21</f>
        <v>21</v>
      </c>
      <c r="G21" s="5" t="s">
        <v>276</v>
      </c>
    </row>
    <row r="22" spans="2:7" ht="13.5">
      <c r="B22" s="5"/>
      <c r="C22" s="7" t="s">
        <v>115</v>
      </c>
      <c r="D22" s="5" t="str">
        <f>データ!B21</f>
        <v>SD295A</v>
      </c>
      <c r="E22" s="5"/>
      <c r="F22" s="5"/>
      <c r="G22" s="5"/>
    </row>
    <row r="23" spans="2:7" ht="13.5">
      <c r="B23" s="5"/>
      <c r="C23" s="5"/>
      <c r="D23" s="5"/>
      <c r="E23" s="5"/>
      <c r="F23" s="5"/>
      <c r="G23" s="5"/>
    </row>
    <row r="24" spans="2:7" ht="13.5">
      <c r="B24" s="5"/>
      <c r="C24" s="15"/>
      <c r="D24" s="16" t="s">
        <v>116</v>
      </c>
      <c r="E24" s="16" t="s">
        <v>87</v>
      </c>
      <c r="F24" s="17" t="s">
        <v>117</v>
      </c>
      <c r="G24" s="5"/>
    </row>
    <row r="25" spans="2:7" ht="13.5">
      <c r="B25" s="5"/>
      <c r="C25" s="18"/>
      <c r="D25" s="18" t="s">
        <v>118</v>
      </c>
      <c r="E25" s="18" t="s">
        <v>118</v>
      </c>
      <c r="F25" s="18" t="s">
        <v>118</v>
      </c>
      <c r="G25" s="5"/>
    </row>
    <row r="26" spans="2:7" ht="13.5">
      <c r="B26" s="5"/>
      <c r="C26" s="14" t="s">
        <v>119</v>
      </c>
      <c r="D26" s="13">
        <f>'入力'!C26</f>
        <v>13</v>
      </c>
      <c r="E26" s="13">
        <f>'入力'!D26</f>
        <v>250</v>
      </c>
      <c r="F26" s="13">
        <f>'入力'!E26</f>
        <v>40</v>
      </c>
      <c r="G26" s="5"/>
    </row>
    <row r="27" spans="2:7" ht="13.5">
      <c r="B27" s="5"/>
      <c r="C27" s="14" t="s">
        <v>120</v>
      </c>
      <c r="D27" s="13">
        <f>'入力'!C27</f>
        <v>13</v>
      </c>
      <c r="E27" s="13">
        <f>'入力'!D27</f>
        <v>250</v>
      </c>
      <c r="F27" s="13">
        <f>'入力'!E27</f>
        <v>40</v>
      </c>
      <c r="G27" s="5"/>
    </row>
    <row r="28" spans="2:7" ht="13.5">
      <c r="B28" s="5"/>
      <c r="C28" s="14" t="s">
        <v>121</v>
      </c>
      <c r="D28" s="13">
        <f>'入力'!C28</f>
        <v>13</v>
      </c>
      <c r="E28" s="13">
        <f>'入力'!D28</f>
        <v>250</v>
      </c>
      <c r="F28" s="13">
        <f>'入力'!E28</f>
        <v>40</v>
      </c>
      <c r="G28" s="5"/>
    </row>
    <row r="32" ht="13.5"/>
    <row r="33" ht="13.5"/>
    <row r="34" ht="13.5"/>
    <row r="35" ht="13.5"/>
    <row r="36" ht="13.5"/>
    <row r="37" ht="13.5"/>
    <row r="38" ht="13.5"/>
    <row r="39" ht="13.5"/>
    <row r="40" ht="13.5">
      <c r="D40" s="10" t="str">
        <f>'入力'!Z10</f>
        <v>13@250mm</v>
      </c>
    </row>
    <row r="41" ht="13.5">
      <c r="D41" s="10" t="str">
        <f>'入力'!Z11</f>
        <v>SD295A</v>
      </c>
    </row>
    <row r="42" ht="13.5"/>
    <row r="43" ht="13.5"/>
    <row r="44" ht="13.5"/>
    <row r="45" ht="13.5"/>
    <row r="46" ht="13.5"/>
    <row r="49" spans="19:20" ht="13.5">
      <c r="S49" s="66" t="s">
        <v>321</v>
      </c>
      <c r="T49" s="65">
        <v>40</v>
      </c>
    </row>
    <row r="50" ht="13.5">
      <c r="A50" s="20" t="s">
        <v>191</v>
      </c>
    </row>
    <row r="51" spans="17:21" ht="13.5">
      <c r="Q51" s="65" t="s">
        <v>190</v>
      </c>
      <c r="R51" s="66" t="s">
        <v>324</v>
      </c>
      <c r="S51" s="66" t="s">
        <v>322</v>
      </c>
      <c r="T51" s="66" t="s">
        <v>323</v>
      </c>
      <c r="U51" s="66" t="s">
        <v>327</v>
      </c>
    </row>
    <row r="52" spans="2:18" ht="15.75">
      <c r="B52" s="20" t="s">
        <v>192</v>
      </c>
      <c r="C52" s="23" t="s">
        <v>193</v>
      </c>
      <c r="D52" s="21" t="s">
        <v>194</v>
      </c>
      <c r="E52" s="10">
        <f>D4+D6/2</f>
        <v>0.25</v>
      </c>
      <c r="F52" s="10" t="s">
        <v>3</v>
      </c>
      <c r="Q52" s="65">
        <v>0</v>
      </c>
      <c r="R52" s="65">
        <f>E52</f>
        <v>0.25</v>
      </c>
    </row>
    <row r="53" spans="3:18" ht="15.75">
      <c r="C53" s="23" t="s">
        <v>28</v>
      </c>
      <c r="D53" s="21" t="s">
        <v>195</v>
      </c>
      <c r="E53" s="10">
        <f>D3+D5</f>
        <v>1.1</v>
      </c>
      <c r="F53" s="10" t="s">
        <v>3</v>
      </c>
      <c r="Q53" s="65">
        <f>Q52</f>
        <v>0</v>
      </c>
      <c r="R53" s="65">
        <f>0</f>
        <v>0</v>
      </c>
    </row>
    <row r="54" spans="2:18" ht="15.75">
      <c r="B54" s="11" t="s">
        <v>196</v>
      </c>
      <c r="C54" s="12" t="s">
        <v>197</v>
      </c>
      <c r="D54" s="21" t="s">
        <v>198</v>
      </c>
      <c r="E54" s="24">
        <f>D5</f>
        <v>0.1</v>
      </c>
      <c r="F54" s="10" t="s">
        <v>3</v>
      </c>
      <c r="Q54" s="65">
        <f>E53</f>
        <v>1.1</v>
      </c>
      <c r="R54" s="65">
        <f>R53</f>
        <v>0</v>
      </c>
    </row>
    <row r="55" spans="3:18" ht="15.75">
      <c r="C55" s="12" t="s">
        <v>199</v>
      </c>
      <c r="D55" s="21" t="s">
        <v>200</v>
      </c>
      <c r="E55" s="24">
        <f>D6</f>
        <v>0.1</v>
      </c>
      <c r="F55" s="10" t="s">
        <v>3</v>
      </c>
      <c r="Q55" s="65">
        <f>Q54</f>
        <v>1.1</v>
      </c>
      <c r="R55" s="65">
        <f>R52</f>
        <v>0.25</v>
      </c>
    </row>
    <row r="56" spans="5:19" ht="13.5">
      <c r="E56" s="22"/>
      <c r="Q56" s="65">
        <v>0</v>
      </c>
      <c r="S56" s="65">
        <f>R52</f>
        <v>0.25</v>
      </c>
    </row>
    <row r="57" spans="2:19" ht="13.5">
      <c r="B57" s="23" t="s">
        <v>32</v>
      </c>
      <c r="E57" s="19">
        <f>E52*D5*E18</f>
        <v>0.6125</v>
      </c>
      <c r="F57" s="10" t="s">
        <v>201</v>
      </c>
      <c r="Q57" s="65">
        <f>-G109/T49</f>
        <v>0</v>
      </c>
      <c r="S57" s="65">
        <f>S56</f>
        <v>0.25</v>
      </c>
    </row>
    <row r="58" spans="5:19" ht="13.5">
      <c r="E58" s="22"/>
      <c r="Q58" s="65" t="e">
        <f>-#REF!/T49</f>
        <v>#REF!</v>
      </c>
      <c r="S58" s="65">
        <v>0</v>
      </c>
    </row>
    <row r="59" spans="2:19" ht="13.5">
      <c r="B59" s="23" t="s">
        <v>202</v>
      </c>
      <c r="Q59" s="65">
        <v>0</v>
      </c>
      <c r="S59" s="65">
        <v>0</v>
      </c>
    </row>
    <row r="60" spans="2:20" ht="13.5">
      <c r="B60" s="22"/>
      <c r="Q60" s="65">
        <f>$E$53-Q56</f>
        <v>1.1</v>
      </c>
      <c r="T60" s="65">
        <f>S56</f>
        <v>0.25</v>
      </c>
    </row>
    <row r="61" spans="2:20" ht="13.5">
      <c r="B61" s="22"/>
      <c r="Q61" s="65">
        <f>$E$53-Q57</f>
        <v>1.1</v>
      </c>
      <c r="T61" s="65">
        <f>S57</f>
        <v>0.25</v>
      </c>
    </row>
    <row r="62" spans="2:20" ht="13.5">
      <c r="B62" s="22"/>
      <c r="Q62" s="65" t="e">
        <f>$E$53-Q58</f>
        <v>#REF!</v>
      </c>
      <c r="T62" s="65">
        <f>S58</f>
        <v>0</v>
      </c>
    </row>
    <row r="63" spans="2:20" ht="13.5">
      <c r="B63" s="22"/>
      <c r="Q63" s="65">
        <f>$E$53-Q59</f>
        <v>1.1</v>
      </c>
      <c r="T63" s="65">
        <f>S59</f>
        <v>0</v>
      </c>
    </row>
    <row r="64" spans="2:21" ht="13.5">
      <c r="B64" s="22"/>
      <c r="Q64" s="65">
        <v>0</v>
      </c>
      <c r="U64" s="65">
        <v>0</v>
      </c>
    </row>
    <row r="65" spans="2:21" ht="13.5">
      <c r="B65" s="22"/>
      <c r="Q65" s="65">
        <v>0</v>
      </c>
      <c r="U65" s="65">
        <f>-E119/T49</f>
        <v>-0.02784090909090909</v>
      </c>
    </row>
    <row r="66" spans="2:21" ht="13.5">
      <c r="B66" s="22"/>
      <c r="Q66" s="65">
        <f>E53</f>
        <v>1.1</v>
      </c>
      <c r="U66" s="65">
        <f>U65</f>
        <v>-0.02784090909090909</v>
      </c>
    </row>
    <row r="67" spans="2:21" ht="13.5">
      <c r="B67" s="22"/>
      <c r="Q67" s="65">
        <f>Q66</f>
        <v>1.1</v>
      </c>
      <c r="U67" s="65">
        <f>0</f>
        <v>0</v>
      </c>
    </row>
    <row r="68" ht="13.5">
      <c r="B68" s="22"/>
    </row>
    <row r="69" ht="13.5">
      <c r="B69" s="22"/>
    </row>
    <row r="70" spans="2:18" ht="13.5">
      <c r="B70" s="22"/>
      <c r="R70" s="67" t="s">
        <v>273</v>
      </c>
    </row>
    <row r="71" spans="2:18" ht="16.5">
      <c r="B71" s="22"/>
      <c r="R71" s="67" t="s">
        <v>274</v>
      </c>
    </row>
    <row r="72" spans="2:18" ht="13.5">
      <c r="B72" s="22"/>
      <c r="R72" s="67" t="s">
        <v>275</v>
      </c>
    </row>
    <row r="73" spans="2:19" ht="13.5">
      <c r="B73" s="22"/>
      <c r="R73" s="66" t="s">
        <v>328</v>
      </c>
      <c r="S73" s="65">
        <f>データ!A11</f>
        <v>1</v>
      </c>
    </row>
    <row r="74" ht="13.5">
      <c r="B74" s="22"/>
    </row>
    <row r="75" spans="3:6" ht="13.5">
      <c r="C75" s="11" t="s">
        <v>203</v>
      </c>
      <c r="E75" s="10" t="str">
        <f>IF(データ!A11=1,"主働土圧","静止土圧")</f>
        <v>主働土圧</v>
      </c>
      <c r="F75" s="10" t="str">
        <f>IF(データ!A11=1,"ランキン式",IF(データ!A11=3,"ヤーキー式",""))</f>
        <v>ランキン式</v>
      </c>
    </row>
    <row r="76" spans="3:7" ht="13.5">
      <c r="C76" s="11" t="s">
        <v>204</v>
      </c>
      <c r="D76" s="21"/>
      <c r="F76" s="22" t="str">
        <f>IF(S73=1,R71,IF(S73=3,R72,""))</f>
        <v>K=tan2(π/4-φ/2)=</v>
      </c>
      <c r="G76" s="25">
        <f>データ!C11</f>
        <v>0.333</v>
      </c>
    </row>
    <row r="77" spans="4:7" ht="13.5">
      <c r="D77" s="21"/>
      <c r="F77" s="22"/>
      <c r="G77" s="25"/>
    </row>
    <row r="78" spans="3:7" ht="13.5">
      <c r="C78" s="11" t="s">
        <v>205</v>
      </c>
      <c r="D78" s="21"/>
      <c r="F78" s="22"/>
      <c r="G78" s="25"/>
    </row>
    <row r="79" spans="4:7" ht="13.5">
      <c r="D79" s="21"/>
      <c r="F79" s="22"/>
      <c r="G79" s="25"/>
    </row>
    <row r="80" spans="3:7" ht="13.5">
      <c r="C80" s="11" t="s">
        <v>206</v>
      </c>
      <c r="D80" s="21"/>
      <c r="F80" s="22"/>
      <c r="G80" s="25"/>
    </row>
    <row r="81" spans="4:7" ht="13.5">
      <c r="D81" s="21"/>
      <c r="F81" s="22"/>
      <c r="G81" s="25"/>
    </row>
    <row r="82" spans="3:7" ht="13.5">
      <c r="C82" s="11" t="s">
        <v>207</v>
      </c>
      <c r="D82" s="21"/>
      <c r="F82" s="22"/>
      <c r="G82" s="25"/>
    </row>
    <row r="83" spans="4:7" ht="13.5">
      <c r="D83" s="21"/>
      <c r="F83" s="22"/>
      <c r="G83" s="25"/>
    </row>
    <row r="84" spans="4:7" ht="13.5">
      <c r="D84" s="21"/>
      <c r="F84" s="22"/>
      <c r="G84" s="25"/>
    </row>
    <row r="85" spans="4:7" ht="13.5">
      <c r="D85" s="21"/>
      <c r="F85" s="22"/>
      <c r="G85" s="25"/>
    </row>
    <row r="86" spans="2:7" ht="15.75">
      <c r="B86" s="27" t="s">
        <v>249</v>
      </c>
      <c r="C86" s="27" t="s">
        <v>250</v>
      </c>
      <c r="D86" s="27" t="s">
        <v>251</v>
      </c>
      <c r="E86" s="27" t="s">
        <v>252</v>
      </c>
      <c r="F86" s="22"/>
      <c r="G86" s="25"/>
    </row>
    <row r="87" spans="2:7" ht="13.5">
      <c r="B87" s="41">
        <v>0</v>
      </c>
      <c r="C87" s="41">
        <f aca="true" t="shared" si="0" ref="C87:C97">$E$12*$G$76*B87</f>
        <v>0</v>
      </c>
      <c r="D87" s="41">
        <f aca="true" t="shared" si="1" ref="D87:D97">$E$8*$G$76/($E$9+2*B87)/($E$10+B87)</f>
        <v>166.5</v>
      </c>
      <c r="E87" s="41">
        <f>C87+D87</f>
        <v>166.5</v>
      </c>
      <c r="F87" s="22"/>
      <c r="G87" s="25"/>
    </row>
    <row r="88" spans="2:7" ht="13.5">
      <c r="B88" s="41">
        <f>B87+$E$52/10</f>
        <v>0.025</v>
      </c>
      <c r="C88" s="41">
        <f t="shared" si="0"/>
        <v>0.158175</v>
      </c>
      <c r="D88" s="41">
        <f t="shared" si="1"/>
        <v>126.85714285714286</v>
      </c>
      <c r="E88" s="41">
        <f aca="true" t="shared" si="2" ref="E88:E97">C88+D88</f>
        <v>127.01531785714286</v>
      </c>
      <c r="F88" s="22"/>
      <c r="G88" s="25"/>
    </row>
    <row r="89" spans="2:7" ht="13.5">
      <c r="B89" s="41">
        <f aca="true" t="shared" si="3" ref="B89:B97">B88+$E$52/10</f>
        <v>0.05</v>
      </c>
      <c r="C89" s="41">
        <f t="shared" si="0"/>
        <v>0.31635</v>
      </c>
      <c r="D89" s="41">
        <f t="shared" si="1"/>
        <v>100.9090909090909</v>
      </c>
      <c r="E89" s="41">
        <f t="shared" si="2"/>
        <v>101.2254409090909</v>
      </c>
      <c r="F89" s="22"/>
      <c r="G89" s="25"/>
    </row>
    <row r="90" spans="2:7" ht="13.5">
      <c r="B90" s="41">
        <f t="shared" si="3"/>
        <v>0.07500000000000001</v>
      </c>
      <c r="C90" s="41">
        <f t="shared" si="0"/>
        <v>0.4745250000000001</v>
      </c>
      <c r="D90" s="41">
        <f t="shared" si="1"/>
        <v>82.7329192546584</v>
      </c>
      <c r="E90" s="41">
        <f t="shared" si="2"/>
        <v>83.2074442546584</v>
      </c>
      <c r="F90" s="22"/>
      <c r="G90" s="25"/>
    </row>
    <row r="91" spans="2:7" ht="13.5">
      <c r="B91" s="41">
        <f t="shared" si="3"/>
        <v>0.1</v>
      </c>
      <c r="C91" s="41">
        <f t="shared" si="0"/>
        <v>0.6327</v>
      </c>
      <c r="D91" s="41">
        <f t="shared" si="1"/>
        <v>69.375</v>
      </c>
      <c r="E91" s="41">
        <f t="shared" si="2"/>
        <v>70.0077</v>
      </c>
      <c r="F91" s="22"/>
      <c r="G91" s="25"/>
    </row>
    <row r="92" spans="2:17" ht="13.5">
      <c r="B92" s="41">
        <f t="shared" si="3"/>
        <v>0.125</v>
      </c>
      <c r="C92" s="41">
        <f t="shared" si="0"/>
        <v>0.790875</v>
      </c>
      <c r="D92" s="41">
        <f t="shared" si="1"/>
        <v>59.20000000000001</v>
      </c>
      <c r="E92" s="41">
        <f t="shared" si="2"/>
        <v>59.99087500000001</v>
      </c>
      <c r="F92" s="22"/>
      <c r="G92" s="25"/>
      <c r="Q92" s="65" t="s">
        <v>329</v>
      </c>
    </row>
    <row r="93" spans="2:7" ht="13.5">
      <c r="B93" s="41">
        <f t="shared" si="3"/>
        <v>0.15</v>
      </c>
      <c r="C93" s="41">
        <f t="shared" si="0"/>
        <v>0.94905</v>
      </c>
      <c r="D93" s="41">
        <f t="shared" si="1"/>
        <v>51.23076923076923</v>
      </c>
      <c r="E93" s="41">
        <f t="shared" si="2"/>
        <v>52.17981923076923</v>
      </c>
      <c r="F93" s="22"/>
      <c r="G93" s="25"/>
    </row>
    <row r="94" spans="2:20" ht="13.5">
      <c r="B94" s="41">
        <f t="shared" si="3"/>
        <v>0.175</v>
      </c>
      <c r="C94" s="41">
        <f t="shared" si="0"/>
        <v>1.107225</v>
      </c>
      <c r="D94" s="41">
        <f t="shared" si="1"/>
        <v>44.848484848484844</v>
      </c>
      <c r="E94" s="41">
        <f t="shared" si="2"/>
        <v>45.955709848484844</v>
      </c>
      <c r="F94" s="22"/>
      <c r="G94" s="25"/>
      <c r="Q94" s="65" t="s">
        <v>271</v>
      </c>
      <c r="S94" s="65" t="s">
        <v>272</v>
      </c>
      <c r="T94" s="65" t="s">
        <v>272</v>
      </c>
    </row>
    <row r="95" spans="2:19" ht="13.5">
      <c r="B95" s="41">
        <f t="shared" si="3"/>
        <v>0.19999999999999998</v>
      </c>
      <c r="C95" s="41">
        <f t="shared" si="0"/>
        <v>1.2653999999999999</v>
      </c>
      <c r="D95" s="41">
        <f t="shared" si="1"/>
        <v>39.64285714285715</v>
      </c>
      <c r="E95" s="41">
        <f t="shared" si="2"/>
        <v>40.90825714285715</v>
      </c>
      <c r="F95" s="22"/>
      <c r="G95" s="25"/>
      <c r="Q95" s="65">
        <v>0</v>
      </c>
      <c r="S95" s="68">
        <f>S96</f>
        <v>0.25</v>
      </c>
    </row>
    <row r="96" spans="2:19" ht="13.5">
      <c r="B96" s="41">
        <f t="shared" si="3"/>
        <v>0.22499999999999998</v>
      </c>
      <c r="C96" s="41">
        <f t="shared" si="0"/>
        <v>1.4235749999999998</v>
      </c>
      <c r="D96" s="41">
        <f t="shared" si="1"/>
        <v>35.33156498673741</v>
      </c>
      <c r="E96" s="41">
        <f t="shared" si="2"/>
        <v>36.75513998673741</v>
      </c>
      <c r="F96" s="22"/>
      <c r="G96" s="25"/>
      <c r="Q96" s="69">
        <f>E87</f>
        <v>166.5</v>
      </c>
      <c r="S96" s="68">
        <f aca="true" t="shared" si="4" ref="S96:S106">$E$52-B87</f>
        <v>0.25</v>
      </c>
    </row>
    <row r="97" spans="2:19" ht="13.5">
      <c r="B97" s="42">
        <f t="shared" si="3"/>
        <v>0.24999999999999997</v>
      </c>
      <c r="C97" s="42">
        <f t="shared" si="0"/>
        <v>1.5817499999999998</v>
      </c>
      <c r="D97" s="42">
        <f t="shared" si="1"/>
        <v>31.714285714285722</v>
      </c>
      <c r="E97" s="42">
        <f t="shared" si="2"/>
        <v>33.29603571428572</v>
      </c>
      <c r="F97" s="22"/>
      <c r="G97" s="25"/>
      <c r="Q97" s="69">
        <f aca="true" t="shared" si="5" ref="Q97:Q106">E88</f>
        <v>127.01531785714286</v>
      </c>
      <c r="S97" s="68">
        <f t="shared" si="4"/>
        <v>0.225</v>
      </c>
    </row>
    <row r="98" spans="4:19" ht="13.5">
      <c r="D98" s="21"/>
      <c r="F98" s="22"/>
      <c r="G98" s="25"/>
      <c r="Q98" s="69">
        <f t="shared" si="5"/>
        <v>101.2254409090909</v>
      </c>
      <c r="S98" s="68">
        <f t="shared" si="4"/>
        <v>0.2</v>
      </c>
    </row>
    <row r="99" spans="4:19" ht="13.5">
      <c r="D99" s="21"/>
      <c r="F99" s="22"/>
      <c r="G99" s="25"/>
      <c r="Q99" s="69">
        <f t="shared" si="5"/>
        <v>83.2074442546584</v>
      </c>
      <c r="S99" s="68">
        <f t="shared" si="4"/>
        <v>0.175</v>
      </c>
    </row>
    <row r="100" spans="4:19" ht="13.5">
      <c r="D100" s="21"/>
      <c r="F100" s="22"/>
      <c r="G100" s="25"/>
      <c r="Q100" s="69">
        <f t="shared" si="5"/>
        <v>70.0077</v>
      </c>
      <c r="S100" s="68">
        <f t="shared" si="4"/>
        <v>0.15</v>
      </c>
    </row>
    <row r="101" spans="4:19" ht="13.5">
      <c r="D101" s="21"/>
      <c r="F101" s="22"/>
      <c r="G101" s="25"/>
      <c r="Q101" s="69">
        <f t="shared" si="5"/>
        <v>59.99087500000001</v>
      </c>
      <c r="S101" s="68">
        <f t="shared" si="4"/>
        <v>0.125</v>
      </c>
    </row>
    <row r="102" spans="4:19" ht="13.5">
      <c r="D102" s="21"/>
      <c r="F102" s="22"/>
      <c r="G102" s="25"/>
      <c r="Q102" s="69">
        <f t="shared" si="5"/>
        <v>52.17981923076923</v>
      </c>
      <c r="S102" s="68">
        <f t="shared" si="4"/>
        <v>0.1</v>
      </c>
    </row>
    <row r="103" spans="4:19" ht="13.5">
      <c r="D103" s="21"/>
      <c r="F103" s="22"/>
      <c r="G103" s="25"/>
      <c r="Q103" s="69">
        <f t="shared" si="5"/>
        <v>45.955709848484844</v>
      </c>
      <c r="S103" s="68">
        <f t="shared" si="4"/>
        <v>0.07500000000000001</v>
      </c>
    </row>
    <row r="104" spans="4:19" ht="13.5">
      <c r="D104" s="21"/>
      <c r="F104" s="22"/>
      <c r="G104" s="25"/>
      <c r="Q104" s="69">
        <f t="shared" si="5"/>
        <v>40.90825714285715</v>
      </c>
      <c r="S104" s="68">
        <f t="shared" si="4"/>
        <v>0.05000000000000002</v>
      </c>
    </row>
    <row r="105" spans="4:19" ht="13.5">
      <c r="D105" s="21"/>
      <c r="F105" s="22"/>
      <c r="G105" s="25"/>
      <c r="Q105" s="69">
        <f t="shared" si="5"/>
        <v>36.75513998673741</v>
      </c>
      <c r="S105" s="68">
        <f t="shared" si="4"/>
        <v>0.025000000000000022</v>
      </c>
    </row>
    <row r="106" spans="4:19" ht="13.5">
      <c r="D106" s="21"/>
      <c r="F106" s="22"/>
      <c r="G106" s="25"/>
      <c r="Q106" s="69">
        <f t="shared" si="5"/>
        <v>33.29603571428572</v>
      </c>
      <c r="S106" s="68">
        <f t="shared" si="4"/>
        <v>0</v>
      </c>
    </row>
    <row r="107" spans="4:19" ht="13.5">
      <c r="D107" s="21"/>
      <c r="F107" s="22"/>
      <c r="G107" s="25"/>
      <c r="Q107" s="65">
        <v>0</v>
      </c>
      <c r="S107" s="65">
        <v>0</v>
      </c>
    </row>
    <row r="108" spans="4:20" ht="13.5">
      <c r="D108" s="21"/>
      <c r="F108" s="22"/>
      <c r="G108" s="25"/>
      <c r="Q108" s="69">
        <f>C87</f>
        <v>0</v>
      </c>
      <c r="T108" s="68">
        <f>S96</f>
        <v>0.25</v>
      </c>
    </row>
    <row r="109" spans="3:20" ht="13.5">
      <c r="C109" s="11"/>
      <c r="D109" s="12"/>
      <c r="E109" s="21"/>
      <c r="G109" s="19"/>
      <c r="Q109" s="69">
        <f aca="true" t="shared" si="6" ref="Q109:Q118">C88</f>
        <v>0.158175</v>
      </c>
      <c r="T109" s="68">
        <f aca="true" t="shared" si="7" ref="T109:T118">S97</f>
        <v>0.225</v>
      </c>
    </row>
    <row r="110" spans="3:20" ht="13.5">
      <c r="C110" s="11"/>
      <c r="D110" s="12"/>
      <c r="E110" s="21"/>
      <c r="G110" s="19"/>
      <c r="Q110" s="69">
        <f t="shared" si="6"/>
        <v>0.31635</v>
      </c>
      <c r="T110" s="68">
        <f t="shared" si="7"/>
        <v>0.2</v>
      </c>
    </row>
    <row r="111" spans="3:20" ht="13.5">
      <c r="C111" s="11"/>
      <c r="D111" s="12"/>
      <c r="E111" s="21"/>
      <c r="G111" s="19"/>
      <c r="Q111" s="69">
        <f t="shared" si="6"/>
        <v>0.4745250000000001</v>
      </c>
      <c r="T111" s="68">
        <f t="shared" si="7"/>
        <v>0.175</v>
      </c>
    </row>
    <row r="112" spans="3:20" ht="13.5">
      <c r="C112" s="11"/>
      <c r="D112" s="12"/>
      <c r="E112" s="21"/>
      <c r="G112" s="19"/>
      <c r="Q112" s="69">
        <f t="shared" si="6"/>
        <v>0.6327</v>
      </c>
      <c r="T112" s="68">
        <f t="shared" si="7"/>
        <v>0.15</v>
      </c>
    </row>
    <row r="113" spans="3:20" ht="13.5">
      <c r="C113" s="11"/>
      <c r="D113" s="12"/>
      <c r="E113" s="21"/>
      <c r="G113" s="19"/>
      <c r="Q113" s="69">
        <f t="shared" si="6"/>
        <v>0.790875</v>
      </c>
      <c r="T113" s="68">
        <f t="shared" si="7"/>
        <v>0.125</v>
      </c>
    </row>
    <row r="114" spans="3:20" ht="13.5">
      <c r="C114" s="11"/>
      <c r="D114" s="12"/>
      <c r="E114" s="21"/>
      <c r="G114" s="19"/>
      <c r="Q114" s="69">
        <f t="shared" si="6"/>
        <v>0.94905</v>
      </c>
      <c r="T114" s="68">
        <f t="shared" si="7"/>
        <v>0.1</v>
      </c>
    </row>
    <row r="115" spans="3:20" ht="13.5">
      <c r="C115" s="11"/>
      <c r="D115" s="12"/>
      <c r="E115" s="21"/>
      <c r="G115" s="19"/>
      <c r="Q115" s="69">
        <f t="shared" si="6"/>
        <v>1.107225</v>
      </c>
      <c r="T115" s="68">
        <f t="shared" si="7"/>
        <v>0.07500000000000001</v>
      </c>
    </row>
    <row r="116" spans="3:20" ht="13.5">
      <c r="C116" s="11"/>
      <c r="D116" s="12"/>
      <c r="E116" s="21"/>
      <c r="G116" s="19"/>
      <c r="Q116" s="69">
        <f>C95</f>
        <v>1.2653999999999999</v>
      </c>
      <c r="T116" s="68">
        <f t="shared" si="7"/>
        <v>0.05000000000000002</v>
      </c>
    </row>
    <row r="117" spans="3:20" ht="13.5">
      <c r="C117" s="11"/>
      <c r="D117" s="12"/>
      <c r="E117" s="21"/>
      <c r="G117" s="19"/>
      <c r="Q117" s="69">
        <f t="shared" si="6"/>
        <v>1.4235749999999998</v>
      </c>
      <c r="T117" s="68">
        <f t="shared" si="7"/>
        <v>0.025000000000000022</v>
      </c>
    </row>
    <row r="118" spans="17:20" ht="13.5">
      <c r="Q118" s="69">
        <f t="shared" si="6"/>
        <v>1.5817499999999998</v>
      </c>
      <c r="T118" s="68">
        <f t="shared" si="7"/>
        <v>0</v>
      </c>
    </row>
    <row r="119" spans="2:17" ht="16.5">
      <c r="B119" s="23" t="s">
        <v>35</v>
      </c>
      <c r="E119" s="19">
        <f>2*E57/E53</f>
        <v>1.1136363636363635</v>
      </c>
      <c r="F119" s="10" t="s">
        <v>208</v>
      </c>
      <c r="Q119" s="69"/>
    </row>
    <row r="120" ht="13.5"/>
    <row r="121" ht="13.5">
      <c r="A121" s="11" t="s">
        <v>209</v>
      </c>
    </row>
    <row r="122" ht="13.5"/>
    <row r="123" ht="13.5">
      <c r="B123" s="11" t="s">
        <v>210</v>
      </c>
    </row>
    <row r="124" ht="13.5"/>
    <row r="125" ht="13.5"/>
    <row r="126" ht="13.5">
      <c r="B126" s="11" t="s">
        <v>253</v>
      </c>
    </row>
    <row r="127" ht="13.5"/>
    <row r="128" ht="13.5"/>
    <row r="129" ht="13.5">
      <c r="B129" s="11" t="s">
        <v>211</v>
      </c>
    </row>
    <row r="130" ht="13.5"/>
    <row r="131" spans="2:5" ht="13.5">
      <c r="B131" s="103" t="s">
        <v>210</v>
      </c>
      <c r="C131" s="104"/>
      <c r="D131" s="103" t="s">
        <v>38</v>
      </c>
      <c r="E131" s="104"/>
    </row>
    <row r="132" spans="2:5" ht="13.5">
      <c r="B132" s="26" t="s">
        <v>212</v>
      </c>
      <c r="C132" s="27" t="s">
        <v>213</v>
      </c>
      <c r="D132" s="27" t="s">
        <v>214</v>
      </c>
      <c r="E132" s="27" t="s">
        <v>213</v>
      </c>
    </row>
    <row r="133" spans="2:5" ht="13.5">
      <c r="B133" s="28">
        <v>0</v>
      </c>
      <c r="C133" s="41">
        <f aca="true" t="shared" si="8" ref="C133:C153">-1/6*$E$12*B133^3*$G$76-$G$76*$E$8/($E$9-2*$E$10)*((B133+$E$10)*LN((B133+$E$10)/$E$10)-(B133+$E$9/2)*LN(($E$9+2*B133)/$E$9))</f>
        <v>0</v>
      </c>
      <c r="D133" s="28">
        <v>0</v>
      </c>
      <c r="E133" s="41">
        <f>C153</f>
        <v>-2.8130148892575724</v>
      </c>
    </row>
    <row r="134" spans="2:5" ht="13.5">
      <c r="B134" s="28">
        <f aca="true" t="shared" si="9" ref="B134:B153">B133+$E$52/20</f>
        <v>0.0125</v>
      </c>
      <c r="C134" s="41">
        <f t="shared" si="8"/>
        <v>-0.01239855813737524</v>
      </c>
      <c r="D134" s="28">
        <f aca="true" t="shared" si="10" ref="D134:D153">D133+$E$53/20</f>
        <v>0.05500000000000001</v>
      </c>
      <c r="E134" s="41">
        <f aca="true" t="shared" si="11" ref="E134:E153">$E$133+$E$57*D134-1/2*$E$119*D134^2</f>
        <v>-2.7810117642575722</v>
      </c>
    </row>
    <row r="135" spans="2:5" ht="13.5">
      <c r="B135" s="28">
        <f t="shared" si="9"/>
        <v>0.025</v>
      </c>
      <c r="C135" s="41">
        <f t="shared" si="8"/>
        <v>-0.04742959359581391</v>
      </c>
      <c r="D135" s="28">
        <f t="shared" si="10"/>
        <v>0.11000000000000001</v>
      </c>
      <c r="E135" s="41">
        <f t="shared" si="11"/>
        <v>-2.752377389257572</v>
      </c>
    </row>
    <row r="136" spans="2:5" ht="13.5">
      <c r="B136" s="28">
        <f t="shared" si="9"/>
        <v>0.037500000000000006</v>
      </c>
      <c r="C136" s="41">
        <f t="shared" si="8"/>
        <v>-0.10234972084259882</v>
      </c>
      <c r="D136" s="28">
        <f t="shared" si="10"/>
        <v>0.16500000000000004</v>
      </c>
      <c r="E136" s="41">
        <f t="shared" si="11"/>
        <v>-2.7271117642575726</v>
      </c>
    </row>
    <row r="137" spans="2:5" ht="13.5">
      <c r="B137" s="28">
        <f t="shared" si="9"/>
        <v>0.05</v>
      </c>
      <c r="C137" s="41">
        <f t="shared" si="8"/>
        <v>-0.17493948242754426</v>
      </c>
      <c r="D137" s="28">
        <f t="shared" si="10"/>
        <v>0.22000000000000003</v>
      </c>
      <c r="E137" s="41">
        <f t="shared" si="11"/>
        <v>-2.7052148892575723</v>
      </c>
    </row>
    <row r="138" spans="2:5" ht="13.5">
      <c r="B138" s="28">
        <f t="shared" si="9"/>
        <v>0.0625</v>
      </c>
      <c r="C138" s="41">
        <f t="shared" si="8"/>
        <v>-0.2633703722328725</v>
      </c>
      <c r="D138" s="28">
        <f t="shared" si="10"/>
        <v>0.275</v>
      </c>
      <c r="E138" s="41">
        <f t="shared" si="11"/>
        <v>-2.6866867642575722</v>
      </c>
    </row>
    <row r="139" spans="2:5" ht="13.5">
      <c r="B139" s="28">
        <f t="shared" si="9"/>
        <v>0.075</v>
      </c>
      <c r="C139" s="41">
        <f t="shared" si="8"/>
        <v>-0.36611312504082816</v>
      </c>
      <c r="D139" s="28">
        <f t="shared" si="10"/>
        <v>0.33</v>
      </c>
      <c r="E139" s="41">
        <f t="shared" si="11"/>
        <v>-2.671527389257572</v>
      </c>
    </row>
    <row r="140" spans="2:5" ht="13.5">
      <c r="B140" s="28">
        <f t="shared" si="9"/>
        <v>0.0875</v>
      </c>
      <c r="C140" s="41">
        <f t="shared" si="8"/>
        <v>-0.4818724293264437</v>
      </c>
      <c r="D140" s="28">
        <f t="shared" si="10"/>
        <v>0.385</v>
      </c>
      <c r="E140" s="41">
        <f t="shared" si="11"/>
        <v>-2.659736764257572</v>
      </c>
    </row>
    <row r="141" spans="2:5" ht="13.5">
      <c r="B141" s="28">
        <f t="shared" si="9"/>
        <v>0.09999999999999999</v>
      </c>
      <c r="C141" s="41">
        <f t="shared" si="8"/>
        <v>-0.6095391986162642</v>
      </c>
      <c r="D141" s="28">
        <f t="shared" si="10"/>
        <v>0.44</v>
      </c>
      <c r="E141" s="41">
        <f t="shared" si="11"/>
        <v>-2.6513148892575726</v>
      </c>
    </row>
    <row r="142" spans="2:5" ht="13.5">
      <c r="B142" s="28">
        <f t="shared" si="9"/>
        <v>0.11249999999999999</v>
      </c>
      <c r="C142" s="41">
        <f t="shared" si="8"/>
        <v>-0.74815488125679</v>
      </c>
      <c r="D142" s="28">
        <f t="shared" si="10"/>
        <v>0.495</v>
      </c>
      <c r="E142" s="41">
        <f t="shared" si="11"/>
        <v>-2.6462617642575723</v>
      </c>
    </row>
    <row r="143" spans="2:20" ht="13.5">
      <c r="B143" s="28">
        <f t="shared" si="9"/>
        <v>0.12499999999999999</v>
      </c>
      <c r="C143" s="41">
        <f t="shared" si="8"/>
        <v>-0.8968842473586568</v>
      </c>
      <c r="D143" s="28">
        <f t="shared" si="10"/>
        <v>0.55</v>
      </c>
      <c r="E143" s="41">
        <f t="shared" si="11"/>
        <v>-2.6445773892575724</v>
      </c>
      <c r="S143" s="70" t="s">
        <v>39</v>
      </c>
      <c r="T143" s="65">
        <f>ABS(D3/(5*E206))</f>
        <v>0.07109809505942045</v>
      </c>
    </row>
    <row r="144" spans="2:23" ht="13.5">
      <c r="B144" s="28">
        <f t="shared" si="9"/>
        <v>0.13749999999999998</v>
      </c>
      <c r="C144" s="41">
        <f t="shared" si="8"/>
        <v>-1.0549942846777363</v>
      </c>
      <c r="D144" s="28">
        <f t="shared" si="10"/>
        <v>0.6050000000000001</v>
      </c>
      <c r="E144" s="41">
        <f t="shared" si="11"/>
        <v>-2.6462617642575723</v>
      </c>
      <c r="S144" s="65" t="s">
        <v>6</v>
      </c>
      <c r="T144" s="66" t="s">
        <v>325</v>
      </c>
      <c r="U144" s="66" t="s">
        <v>330</v>
      </c>
      <c r="V144" s="66" t="s">
        <v>320</v>
      </c>
      <c r="W144" s="66" t="s">
        <v>326</v>
      </c>
    </row>
    <row r="145" spans="2:20" ht="13.5">
      <c r="B145" s="28">
        <f t="shared" si="9"/>
        <v>0.15</v>
      </c>
      <c r="C145" s="41">
        <f t="shared" si="8"/>
        <v>-1.2218375865334354</v>
      </c>
      <c r="D145" s="28">
        <f t="shared" si="10"/>
        <v>0.6600000000000001</v>
      </c>
      <c r="E145" s="41">
        <f t="shared" si="11"/>
        <v>-2.651314889257572</v>
      </c>
      <c r="S145" s="71">
        <f aca="true" t="shared" si="12" ref="S145:S165">C133*$T$143</f>
        <v>0</v>
      </c>
      <c r="T145" s="71">
        <f>E52</f>
        <v>0.25</v>
      </c>
    </row>
    <row r="146" spans="2:20" ht="13.5">
      <c r="B146" s="28">
        <f t="shared" si="9"/>
        <v>0.1625</v>
      </c>
      <c r="C146" s="41">
        <f t="shared" si="8"/>
        <v>-1.3968391020767723</v>
      </c>
      <c r="D146" s="28">
        <f t="shared" si="10"/>
        <v>0.7150000000000002</v>
      </c>
      <c r="E146" s="41">
        <f t="shared" si="11"/>
        <v>-2.659736764257572</v>
      </c>
      <c r="S146" s="71">
        <f t="shared" si="12"/>
        <v>-0.0008815138650508558</v>
      </c>
      <c r="T146" s="71">
        <f>T145-$T$145/20</f>
        <v>0.2375</v>
      </c>
    </row>
    <row r="147" spans="2:20" ht="13.5">
      <c r="B147" s="28">
        <f t="shared" si="9"/>
        <v>0.17500000000000002</v>
      </c>
      <c r="C147" s="41">
        <f t="shared" si="8"/>
        <v>-1.5794854433707524</v>
      </c>
      <c r="D147" s="28">
        <f t="shared" si="10"/>
        <v>0.7700000000000002</v>
      </c>
      <c r="E147" s="41">
        <f t="shared" si="11"/>
        <v>-2.671527389257572</v>
      </c>
      <c r="S147" s="71">
        <f t="shared" si="12"/>
        <v>-0.0033721537541048572</v>
      </c>
      <c r="T147" s="71">
        <f aca="true" t="shared" si="13" ref="T147:T164">T146-$T$145/20</f>
        <v>0.22499999999999998</v>
      </c>
    </row>
    <row r="148" spans="2:20" ht="13.5">
      <c r="B148" s="28">
        <f t="shared" si="9"/>
        <v>0.18750000000000003</v>
      </c>
      <c r="C148" s="41">
        <f t="shared" si="8"/>
        <v>-1.7693161643668225</v>
      </c>
      <c r="D148" s="28">
        <f t="shared" si="10"/>
        <v>0.8250000000000003</v>
      </c>
      <c r="E148" s="41">
        <f t="shared" si="11"/>
        <v>-2.6866867642575727</v>
      </c>
      <c r="S148" s="71">
        <f t="shared" si="12"/>
        <v>-0.007276870181772237</v>
      </c>
      <c r="T148" s="71">
        <f t="shared" si="13"/>
        <v>0.21249999999999997</v>
      </c>
    </row>
    <row r="149" spans="2:20" ht="13.5">
      <c r="B149" s="28">
        <f t="shared" si="9"/>
        <v>0.20000000000000004</v>
      </c>
      <c r="C149" s="41">
        <f t="shared" si="8"/>
        <v>-1.965916580096214</v>
      </c>
      <c r="D149" s="28">
        <f t="shared" si="10"/>
        <v>0.8800000000000003</v>
      </c>
      <c r="E149" s="41">
        <f t="shared" si="11"/>
        <v>-2.7052148892575727</v>
      </c>
      <c r="S149" s="71">
        <f t="shared" si="12"/>
        <v>-0.012437863951279356</v>
      </c>
      <c r="T149" s="71">
        <f t="shared" si="13"/>
        <v>0.19999999999999996</v>
      </c>
    </row>
    <row r="150" spans="2:20" ht="13.5">
      <c r="B150" s="28">
        <f t="shared" si="9"/>
        <v>0.21250000000000005</v>
      </c>
      <c r="C150" s="41">
        <f t="shared" si="8"/>
        <v>-2.1689118027829433</v>
      </c>
      <c r="D150" s="28">
        <f t="shared" si="10"/>
        <v>0.9350000000000004</v>
      </c>
      <c r="E150" s="41">
        <f t="shared" si="11"/>
        <v>-2.7271117642575726</v>
      </c>
      <c r="S150" s="71">
        <f t="shared" si="12"/>
        <v>-0.01872513176084772</v>
      </c>
      <c r="T150" s="71">
        <f t="shared" si="13"/>
        <v>0.18749999999999994</v>
      </c>
    </row>
    <row r="151" spans="2:20" ht="13.5">
      <c r="B151" s="28">
        <f t="shared" si="9"/>
        <v>0.22500000000000006</v>
      </c>
      <c r="C151" s="41">
        <f t="shared" si="8"/>
        <v>-2.377961749522652</v>
      </c>
      <c r="D151" s="28">
        <f t="shared" si="10"/>
        <v>0.9900000000000004</v>
      </c>
      <c r="E151" s="41">
        <f t="shared" si="11"/>
        <v>-2.7523773892575725</v>
      </c>
      <c r="S151" s="71">
        <f t="shared" si="12"/>
        <v>-0.026029945766654287</v>
      </c>
      <c r="T151" s="71">
        <f t="shared" si="13"/>
        <v>0.17499999999999993</v>
      </c>
    </row>
    <row r="152" spans="2:20" ht="13.5">
      <c r="B152" s="28">
        <f t="shared" si="9"/>
        <v>0.23750000000000007</v>
      </c>
      <c r="C152" s="41">
        <f t="shared" si="8"/>
        <v>-2.5927569330565285</v>
      </c>
      <c r="D152" s="28">
        <f t="shared" si="10"/>
        <v>1.0450000000000004</v>
      </c>
      <c r="E152" s="41">
        <f t="shared" si="11"/>
        <v>-2.7810117642575722</v>
      </c>
      <c r="S152" s="71">
        <f t="shared" si="12"/>
        <v>-0.03426021178676536</v>
      </c>
      <c r="T152" s="71">
        <f t="shared" si="13"/>
        <v>0.16249999999999992</v>
      </c>
    </row>
    <row r="153" spans="2:20" ht="13.5">
      <c r="B153" s="29">
        <f t="shared" si="9"/>
        <v>0.25000000000000006</v>
      </c>
      <c r="C153" s="42">
        <f t="shared" si="8"/>
        <v>-2.8130148892575724</v>
      </c>
      <c r="D153" s="29">
        <f t="shared" si="10"/>
        <v>1.1000000000000003</v>
      </c>
      <c r="E153" s="42">
        <f t="shared" si="11"/>
        <v>-2.8130148892575724</v>
      </c>
      <c r="S153" s="71">
        <f t="shared" si="12"/>
        <v>-0.043337075885662116</v>
      </c>
      <c r="T153" s="71">
        <f t="shared" si="13"/>
        <v>0.1499999999999999</v>
      </c>
    </row>
    <row r="154" spans="2:20" ht="13.5">
      <c r="B154" s="30" t="s">
        <v>215</v>
      </c>
      <c r="C154" s="89">
        <f>MAX(C133:C153)</f>
        <v>0</v>
      </c>
      <c r="D154" s="30" t="s">
        <v>215</v>
      </c>
      <c r="E154" s="89">
        <f>MAX(E133:E153)</f>
        <v>-2.6445773892575724</v>
      </c>
      <c r="S154" s="71">
        <f t="shared" si="12"/>
        <v>-0.053192386866764675</v>
      </c>
      <c r="T154" s="71">
        <f t="shared" si="13"/>
        <v>0.1374999999999999</v>
      </c>
    </row>
    <row r="155" spans="2:20" ht="13.5">
      <c r="B155" s="30" t="s">
        <v>216</v>
      </c>
      <c r="C155" s="89">
        <f>MIN(C133:C153)</f>
        <v>-2.8130148892575724</v>
      </c>
      <c r="D155" s="30" t="s">
        <v>216</v>
      </c>
      <c r="E155" s="89">
        <f>MIN(E133:E153)</f>
        <v>-2.8130148892575724</v>
      </c>
      <c r="S155" s="71">
        <f t="shared" si="12"/>
        <v>-0.06376676147600255</v>
      </c>
      <c r="T155" s="71">
        <f t="shared" si="13"/>
        <v>0.1249999999999999</v>
      </c>
    </row>
    <row r="156" spans="19:20" ht="13.5">
      <c r="S156" s="71">
        <f t="shared" si="12"/>
        <v>-0.07500808393916297</v>
      </c>
      <c r="T156" s="71">
        <f t="shared" si="13"/>
        <v>0.1124999999999999</v>
      </c>
    </row>
    <row r="157" spans="19:20" ht="13.5">
      <c r="S157" s="71">
        <f t="shared" si="12"/>
        <v>-0.08687032487452706</v>
      </c>
      <c r="T157" s="71">
        <f t="shared" si="13"/>
        <v>0.09999999999999991</v>
      </c>
    </row>
    <row r="158" spans="19:20" ht="13.5">
      <c r="S158" s="71">
        <f t="shared" si="12"/>
        <v>-0.09931259926216987</v>
      </c>
      <c r="T158" s="71">
        <f t="shared" si="13"/>
        <v>0.08749999999999991</v>
      </c>
    </row>
    <row r="159" spans="19:20" ht="13.5">
      <c r="S159" s="71">
        <f t="shared" si="12"/>
        <v>-0.11229840619774462</v>
      </c>
      <c r="T159" s="71">
        <f t="shared" si="13"/>
        <v>0.07499999999999991</v>
      </c>
    </row>
    <row r="160" spans="19:20" ht="13.5">
      <c r="S160" s="71">
        <f t="shared" si="12"/>
        <v>-0.12579500884432154</v>
      </c>
      <c r="T160" s="71">
        <f t="shared" si="13"/>
        <v>0.06249999999999992</v>
      </c>
    </row>
    <row r="161" spans="19:20" ht="13.5">
      <c r="S161" s="71">
        <f t="shared" si="12"/>
        <v>-0.1397729238905714</v>
      </c>
      <c r="T161" s="71">
        <f t="shared" si="13"/>
        <v>0.04999999999999992</v>
      </c>
    </row>
    <row r="162" spans="19:20" ht="13.5">
      <c r="S162" s="71">
        <f t="shared" si="12"/>
        <v>-0.15420549752976068</v>
      </c>
      <c r="T162" s="71">
        <f t="shared" si="13"/>
        <v>0.03749999999999992</v>
      </c>
    </row>
    <row r="163" spans="19:20" ht="13.5">
      <c r="S163" s="71">
        <f t="shared" si="12"/>
        <v>-0.1690685505152273</v>
      </c>
      <c r="T163" s="71">
        <f t="shared" si="13"/>
        <v>0.02499999999999992</v>
      </c>
    </row>
    <row r="164" spans="19:20" ht="13.5">
      <c r="S164" s="71">
        <f t="shared" si="12"/>
        <v>-0.1843400788924245</v>
      </c>
      <c r="T164" s="71">
        <f t="shared" si="13"/>
        <v>0.012499999999999921</v>
      </c>
    </row>
    <row r="165" spans="19:20" ht="13.5">
      <c r="S165" s="71">
        <f t="shared" si="12"/>
        <v>-0.19999999999999998</v>
      </c>
      <c r="T165" s="71">
        <f>T164-$T$145/20</f>
        <v>-7.979727989493313E-17</v>
      </c>
    </row>
    <row r="166" spans="19:20" ht="13.5">
      <c r="S166" s="71">
        <v>0</v>
      </c>
      <c r="T166" s="71">
        <v>0</v>
      </c>
    </row>
    <row r="167" spans="19:21" ht="13.5">
      <c r="S167" s="65">
        <v>0</v>
      </c>
      <c r="U167" s="65">
        <v>0</v>
      </c>
    </row>
    <row r="168" spans="19:21" ht="13.5">
      <c r="S168" s="65">
        <f aca="true" t="shared" si="14" ref="S168:S188">D133</f>
        <v>0</v>
      </c>
      <c r="U168" s="65">
        <f aca="true" t="shared" si="15" ref="U168:U188">E133*$T$143</f>
        <v>-0.19999999999999998</v>
      </c>
    </row>
    <row r="169" spans="19:21" ht="13.5">
      <c r="S169" s="65">
        <f t="shared" si="14"/>
        <v>0.05500000000000001</v>
      </c>
      <c r="U169" s="65">
        <f t="shared" si="15"/>
        <v>-0.19772463877655147</v>
      </c>
    </row>
    <row r="170" spans="19:21" ht="13.5">
      <c r="S170" s="65">
        <f t="shared" si="14"/>
        <v>0.11000000000000001</v>
      </c>
      <c r="U170" s="65">
        <f t="shared" si="15"/>
        <v>-0.19568878926083436</v>
      </c>
    </row>
    <row r="171" spans="3:21" ht="13.5">
      <c r="C171" s="11" t="s">
        <v>217</v>
      </c>
      <c r="S171" s="65">
        <f t="shared" si="14"/>
        <v>0.16500000000000004</v>
      </c>
      <c r="U171" s="65">
        <f t="shared" si="15"/>
        <v>-0.19389245145284872</v>
      </c>
    </row>
    <row r="172" spans="1:21" ht="13.5">
      <c r="A172" s="11" t="s">
        <v>218</v>
      </c>
      <c r="S172" s="65">
        <f t="shared" si="14"/>
        <v>0.22000000000000003</v>
      </c>
      <c r="U172" s="65">
        <f t="shared" si="15"/>
        <v>-0.19233562535259446</v>
      </c>
    </row>
    <row r="173" spans="19:21" ht="13.5">
      <c r="S173" s="65">
        <f t="shared" si="14"/>
        <v>0.275</v>
      </c>
      <c r="U173" s="65">
        <f t="shared" si="15"/>
        <v>-0.19101831096007163</v>
      </c>
    </row>
    <row r="174" spans="1:21" ht="13.5">
      <c r="A174" s="11" t="s">
        <v>219</v>
      </c>
      <c r="S174" s="65">
        <f t="shared" si="14"/>
        <v>0.33</v>
      </c>
      <c r="U174" s="65">
        <f t="shared" si="15"/>
        <v>-0.18994050827528022</v>
      </c>
    </row>
    <row r="175" spans="19:21" ht="13.5">
      <c r="S175" s="65">
        <f t="shared" si="14"/>
        <v>0.385</v>
      </c>
      <c r="U175" s="65">
        <f t="shared" si="15"/>
        <v>-0.18910221729822022</v>
      </c>
    </row>
    <row r="176" spans="2:21" ht="13.5">
      <c r="B176" s="11" t="s">
        <v>220</v>
      </c>
      <c r="D176" s="21" t="s">
        <v>221</v>
      </c>
      <c r="E176" s="19">
        <f>C153</f>
        <v>-2.8130148892575724</v>
      </c>
      <c r="F176" s="10" t="s">
        <v>222</v>
      </c>
      <c r="S176" s="65">
        <f t="shared" si="14"/>
        <v>0.44</v>
      </c>
      <c r="U176" s="65">
        <f t="shared" si="15"/>
        <v>-0.18850343802889172</v>
      </c>
    </row>
    <row r="177" spans="2:21" ht="13.5">
      <c r="B177" s="11" t="s">
        <v>223</v>
      </c>
      <c r="D177" s="21" t="s">
        <v>224</v>
      </c>
      <c r="E177" s="10">
        <f>1000</f>
        <v>1000</v>
      </c>
      <c r="F177" s="10" t="s">
        <v>225</v>
      </c>
      <c r="S177" s="65">
        <f t="shared" si="14"/>
        <v>0.495</v>
      </c>
      <c r="U177" s="65">
        <f t="shared" si="15"/>
        <v>-0.18814417046729456</v>
      </c>
    </row>
    <row r="178" spans="2:21" ht="13.5">
      <c r="B178" s="11" t="s">
        <v>268</v>
      </c>
      <c r="D178" s="21" t="s">
        <v>269</v>
      </c>
      <c r="E178" s="10">
        <f>F26</f>
        <v>40</v>
      </c>
      <c r="F178" s="10" t="s">
        <v>270</v>
      </c>
      <c r="S178" s="65">
        <f t="shared" si="14"/>
        <v>0.55</v>
      </c>
      <c r="U178" s="65">
        <f t="shared" si="15"/>
        <v>-0.18802441461342884</v>
      </c>
    </row>
    <row r="179" spans="2:21" ht="13.5">
      <c r="B179" s="11" t="s">
        <v>226</v>
      </c>
      <c r="D179" s="21" t="s">
        <v>227</v>
      </c>
      <c r="E179" s="10">
        <f>E54*1000-F26</f>
        <v>60</v>
      </c>
      <c r="F179" s="10" t="s">
        <v>225</v>
      </c>
      <c r="S179" s="65">
        <f t="shared" si="14"/>
        <v>0.6050000000000001</v>
      </c>
      <c r="U179" s="65">
        <f t="shared" si="15"/>
        <v>-0.18814417046729456</v>
      </c>
    </row>
    <row r="180" spans="2:21" ht="13.5">
      <c r="B180" s="11" t="s">
        <v>228</v>
      </c>
      <c r="D180" s="21" t="s">
        <v>229</v>
      </c>
      <c r="E180" s="10">
        <f>D26</f>
        <v>13</v>
      </c>
      <c r="F180" s="10" t="s">
        <v>84</v>
      </c>
      <c r="S180" s="65">
        <f t="shared" si="14"/>
        <v>0.6600000000000001</v>
      </c>
      <c r="U180" s="65">
        <f t="shared" si="15"/>
        <v>-0.1885034380288917</v>
      </c>
    </row>
    <row r="181" spans="2:21" ht="13.5">
      <c r="B181" s="11" t="s">
        <v>230</v>
      </c>
      <c r="D181" s="21" t="s">
        <v>231</v>
      </c>
      <c r="E181" s="10">
        <f>E26</f>
        <v>250</v>
      </c>
      <c r="F181" s="10" t="s">
        <v>84</v>
      </c>
      <c r="S181" s="65">
        <f t="shared" si="14"/>
        <v>0.7150000000000002</v>
      </c>
      <c r="U181" s="65">
        <f t="shared" si="15"/>
        <v>-0.18910221729822022</v>
      </c>
    </row>
    <row r="182" spans="2:21" ht="16.5">
      <c r="B182" s="11" t="s">
        <v>232</v>
      </c>
      <c r="D182" s="21" t="s">
        <v>233</v>
      </c>
      <c r="E182" s="31">
        <f>IF(E180=13,1.267,IF(E180=16,1.986,IF(E180=19,2.865,IF(E180=22,3.871,IF(E180=25,5.067,IF(E180=29,6.424,IF(E180=32,7.942,"規格外")))))))*100*1000/E181</f>
        <v>506.79999999999995</v>
      </c>
      <c r="F182" s="10" t="s">
        <v>234</v>
      </c>
      <c r="S182" s="65">
        <f t="shared" si="14"/>
        <v>0.7700000000000002</v>
      </c>
      <c r="U182" s="65">
        <f t="shared" si="15"/>
        <v>-0.18994050827528022</v>
      </c>
    </row>
    <row r="183" spans="19:21" ht="13.5">
      <c r="S183" s="65">
        <f t="shared" si="14"/>
        <v>0.8250000000000003</v>
      </c>
      <c r="U183" s="65">
        <f t="shared" si="15"/>
        <v>-0.19101831096007166</v>
      </c>
    </row>
    <row r="184" spans="1:21" ht="15">
      <c r="A184" s="32"/>
      <c r="B184" s="32"/>
      <c r="C184" s="32"/>
      <c r="D184" s="32"/>
      <c r="E184" s="32"/>
      <c r="F184" s="32"/>
      <c r="G184" s="32"/>
      <c r="H184" s="32"/>
      <c r="I184" s="32"/>
      <c r="S184" s="65">
        <f t="shared" si="14"/>
        <v>0.8800000000000003</v>
      </c>
      <c r="U184" s="65">
        <f t="shared" si="15"/>
        <v>-0.1923356253525945</v>
      </c>
    </row>
    <row r="185" spans="1:21" ht="15">
      <c r="A185" s="32"/>
      <c r="B185" s="32"/>
      <c r="C185" s="32"/>
      <c r="D185" s="40">
        <f>15*E182/(E177*E179)</f>
        <v>0.12669999999999998</v>
      </c>
      <c r="E185" s="32"/>
      <c r="F185" s="32"/>
      <c r="G185" s="32"/>
      <c r="H185" s="32"/>
      <c r="I185" s="32"/>
      <c r="S185" s="65">
        <f t="shared" si="14"/>
        <v>0.9350000000000004</v>
      </c>
      <c r="U185" s="65">
        <f t="shared" si="15"/>
        <v>-0.19389245145284872</v>
      </c>
    </row>
    <row r="186" spans="1:21" ht="15">
      <c r="A186" s="32"/>
      <c r="B186" s="32"/>
      <c r="C186" s="32"/>
      <c r="D186" s="32"/>
      <c r="E186" s="32"/>
      <c r="F186" s="32"/>
      <c r="G186" s="32"/>
      <c r="H186" s="32"/>
      <c r="I186" s="32"/>
      <c r="S186" s="65">
        <f t="shared" si="14"/>
        <v>0.9900000000000004</v>
      </c>
      <c r="U186" s="65">
        <f t="shared" si="15"/>
        <v>-0.19568878926083438</v>
      </c>
    </row>
    <row r="187" spans="1:21" ht="15">
      <c r="A187" s="32"/>
      <c r="B187" s="32"/>
      <c r="C187" s="32"/>
      <c r="D187" s="32"/>
      <c r="E187" s="33">
        <f>ROUND((D185^2+2*D185)^0.5-D185,3)</f>
        <v>0.392</v>
      </c>
      <c r="F187" s="32"/>
      <c r="G187" s="32"/>
      <c r="H187" s="32"/>
      <c r="I187" s="32"/>
      <c r="S187" s="65">
        <f t="shared" si="14"/>
        <v>1.0450000000000004</v>
      </c>
      <c r="U187" s="65">
        <f t="shared" si="15"/>
        <v>-0.19772463877655147</v>
      </c>
    </row>
    <row r="188" spans="1:21" ht="15">
      <c r="A188" s="32"/>
      <c r="B188" s="32"/>
      <c r="C188" s="32"/>
      <c r="D188" s="32"/>
      <c r="E188" s="32"/>
      <c r="F188" s="32"/>
      <c r="G188" s="32"/>
      <c r="H188" s="32"/>
      <c r="I188" s="32"/>
      <c r="S188" s="65">
        <f t="shared" si="14"/>
        <v>1.1000000000000003</v>
      </c>
      <c r="U188" s="65">
        <f t="shared" si="15"/>
        <v>-0.19999999999999998</v>
      </c>
    </row>
    <row r="189" spans="1:21" ht="15">
      <c r="A189" s="32"/>
      <c r="B189" s="32"/>
      <c r="C189" s="32"/>
      <c r="D189" s="32"/>
      <c r="E189" s="32"/>
      <c r="F189" s="32"/>
      <c r="G189" s="32"/>
      <c r="H189" s="32"/>
      <c r="I189" s="32"/>
      <c r="S189" s="65">
        <f>S188</f>
        <v>1.1000000000000003</v>
      </c>
      <c r="U189" s="65">
        <v>0</v>
      </c>
    </row>
    <row r="190" spans="1:22" ht="15">
      <c r="A190" s="32"/>
      <c r="B190" s="32"/>
      <c r="C190" s="32"/>
      <c r="D190" s="33">
        <f>ROUND(1-E187/3,3)</f>
        <v>0.869</v>
      </c>
      <c r="E190" s="32"/>
      <c r="F190" s="32"/>
      <c r="G190" s="32"/>
      <c r="H190" s="32"/>
      <c r="I190" s="32"/>
      <c r="S190" s="72">
        <f>$E$53-S145</f>
        <v>1.1</v>
      </c>
      <c r="V190" s="65">
        <f aca="true" t="shared" si="16" ref="V190:V210">T145</f>
        <v>0.25</v>
      </c>
    </row>
    <row r="191" spans="1:22" ht="15">
      <c r="A191" s="32"/>
      <c r="B191" s="32"/>
      <c r="C191" s="32"/>
      <c r="D191" s="32"/>
      <c r="E191" s="32"/>
      <c r="F191" s="32"/>
      <c r="G191" s="32"/>
      <c r="H191" s="32"/>
      <c r="I191" s="32"/>
      <c r="S191" s="68">
        <f>$E$53-S146</f>
        <v>1.100881513865051</v>
      </c>
      <c r="V191" s="65">
        <f t="shared" si="16"/>
        <v>0.2375</v>
      </c>
    </row>
    <row r="192" spans="1:22" ht="13.5">
      <c r="A192" s="32"/>
      <c r="B192" s="34" t="s">
        <v>235</v>
      </c>
      <c r="C192" s="32"/>
      <c r="D192" s="32"/>
      <c r="E192" s="32"/>
      <c r="F192" s="32"/>
      <c r="G192" s="32"/>
      <c r="H192" s="32"/>
      <c r="I192" s="32"/>
      <c r="S192" s="68">
        <f aca="true" t="shared" si="17" ref="S192:S211">$E$53-S147</f>
        <v>1.103372153754105</v>
      </c>
      <c r="V192" s="65">
        <f t="shared" si="16"/>
        <v>0.22499999999999998</v>
      </c>
    </row>
    <row r="193" spans="1:22" ht="15">
      <c r="A193" s="32"/>
      <c r="B193" s="32"/>
      <c r="C193" s="32"/>
      <c r="D193" s="32"/>
      <c r="E193" s="32"/>
      <c r="F193" s="32"/>
      <c r="G193" s="32"/>
      <c r="H193" s="32"/>
      <c r="I193" s="32"/>
      <c r="S193" s="68">
        <f t="shared" si="17"/>
        <v>1.1072768701817723</v>
      </c>
      <c r="V193" s="65">
        <f t="shared" si="16"/>
        <v>0.21249999999999997</v>
      </c>
    </row>
    <row r="194" spans="1:22" ht="18">
      <c r="A194" s="32"/>
      <c r="B194" s="32"/>
      <c r="C194" s="32"/>
      <c r="D194" s="32">
        <f>ROUND(ABS(E176)*1000000*2/(E187*D190*E177*E179^2),2)</f>
        <v>4.59</v>
      </c>
      <c r="E194" s="32" t="s">
        <v>236</v>
      </c>
      <c r="F194" s="35" t="str">
        <f>IF(D194&gt;=H194,"&gt;","&lt;")</f>
        <v>&lt;</v>
      </c>
      <c r="G194" s="36" t="s">
        <v>237</v>
      </c>
      <c r="H194" s="37">
        <f>データ!F16</f>
        <v>7</v>
      </c>
      <c r="I194" s="32" t="s">
        <v>236</v>
      </c>
      <c r="S194" s="68">
        <f t="shared" si="17"/>
        <v>1.1124378639512795</v>
      </c>
      <c r="V194" s="65">
        <f t="shared" si="16"/>
        <v>0.19999999999999996</v>
      </c>
    </row>
    <row r="195" spans="1:22" ht="15">
      <c r="A195" s="32"/>
      <c r="B195" s="32"/>
      <c r="C195" s="32"/>
      <c r="D195" s="32"/>
      <c r="E195" s="32"/>
      <c r="F195" s="32"/>
      <c r="G195" s="38"/>
      <c r="H195" s="32"/>
      <c r="I195" s="35" t="str">
        <f>IF(D194&gt;=H194,"OUT","SAFE")</f>
        <v>SAFE</v>
      </c>
      <c r="S195" s="68">
        <f t="shared" si="17"/>
        <v>1.1187251317608478</v>
      </c>
      <c r="V195" s="65">
        <f t="shared" si="16"/>
        <v>0.18749999999999994</v>
      </c>
    </row>
    <row r="196" spans="1:22" ht="13.5">
      <c r="A196" s="32"/>
      <c r="B196" s="32"/>
      <c r="C196" s="32"/>
      <c r="D196" s="32"/>
      <c r="E196" s="32"/>
      <c r="F196" s="32"/>
      <c r="G196" s="38"/>
      <c r="H196" s="32"/>
      <c r="S196" s="68">
        <f t="shared" si="17"/>
        <v>1.1260299457666543</v>
      </c>
      <c r="V196" s="65">
        <f t="shared" si="16"/>
        <v>0.17499999999999993</v>
      </c>
    </row>
    <row r="197" spans="1:22" ht="13.5">
      <c r="A197" s="32"/>
      <c r="B197" s="34" t="s">
        <v>238</v>
      </c>
      <c r="C197" s="32"/>
      <c r="D197" s="32"/>
      <c r="E197" s="32"/>
      <c r="F197" s="32"/>
      <c r="G197" s="38"/>
      <c r="H197" s="32"/>
      <c r="I197" s="32"/>
      <c r="S197" s="68">
        <f t="shared" si="17"/>
        <v>1.1342602117867655</v>
      </c>
      <c r="V197" s="65">
        <f t="shared" si="16"/>
        <v>0.16249999999999992</v>
      </c>
    </row>
    <row r="198" spans="1:22" ht="15">
      <c r="A198" s="32"/>
      <c r="B198" s="32"/>
      <c r="C198" s="32"/>
      <c r="D198" s="32"/>
      <c r="E198" s="32"/>
      <c r="F198" s="32"/>
      <c r="G198" s="38"/>
      <c r="H198" s="32"/>
      <c r="I198" s="32"/>
      <c r="S198" s="68">
        <f t="shared" si="17"/>
        <v>1.1433370758856622</v>
      </c>
      <c r="V198" s="65">
        <f t="shared" si="16"/>
        <v>0.1499999999999999</v>
      </c>
    </row>
    <row r="199" spans="1:22" ht="18">
      <c r="A199" s="32"/>
      <c r="B199" s="32"/>
      <c r="C199" s="32"/>
      <c r="D199" s="32">
        <f>ROUND(ABS(E176)*1000000/(E182*D190*E179),1)</f>
        <v>106.5</v>
      </c>
      <c r="E199" s="32" t="s">
        <v>239</v>
      </c>
      <c r="F199" s="35" t="str">
        <f>IF(D199&gt;=H199,"&gt;","&lt;")</f>
        <v>&lt;</v>
      </c>
      <c r="G199" s="36" t="s">
        <v>240</v>
      </c>
      <c r="H199" s="39">
        <f>160</f>
        <v>160</v>
      </c>
      <c r="I199" s="32" t="s">
        <v>239</v>
      </c>
      <c r="S199" s="68">
        <f t="shared" si="17"/>
        <v>1.1531923868667648</v>
      </c>
      <c r="V199" s="65">
        <f t="shared" si="16"/>
        <v>0.1374999999999999</v>
      </c>
    </row>
    <row r="200" spans="1:22" ht="15">
      <c r="A200" s="32"/>
      <c r="B200" s="32"/>
      <c r="C200" s="32"/>
      <c r="D200" s="32"/>
      <c r="E200" s="32"/>
      <c r="F200" s="32"/>
      <c r="G200" s="32"/>
      <c r="H200" s="32"/>
      <c r="I200" s="35" t="str">
        <f>IF(D199&gt;=H199,"OUT","SAFE")</f>
        <v>SAFE</v>
      </c>
      <c r="S200" s="68">
        <f t="shared" si="17"/>
        <v>1.1637667614760026</v>
      </c>
      <c r="V200" s="65">
        <f t="shared" si="16"/>
        <v>0.1249999999999999</v>
      </c>
    </row>
    <row r="201" spans="1:22" ht="13.5">
      <c r="A201" s="32"/>
      <c r="B201" s="32"/>
      <c r="C201" s="32"/>
      <c r="D201" s="32"/>
      <c r="E201" s="32"/>
      <c r="F201" s="32"/>
      <c r="G201" s="32"/>
      <c r="H201" s="32"/>
      <c r="S201" s="68">
        <f t="shared" si="17"/>
        <v>1.175008083939163</v>
      </c>
      <c r="V201" s="65">
        <f t="shared" si="16"/>
        <v>0.1124999999999999</v>
      </c>
    </row>
    <row r="202" spans="19:22" ht="13.5">
      <c r="S202" s="68">
        <f t="shared" si="17"/>
        <v>1.1868703248745271</v>
      </c>
      <c r="V202" s="65">
        <f t="shared" si="16"/>
        <v>0.09999999999999991</v>
      </c>
    </row>
    <row r="203" spans="19:22" ht="13.5">
      <c r="S203" s="68">
        <f t="shared" si="17"/>
        <v>1.19931259926217</v>
      </c>
      <c r="V203" s="65">
        <f t="shared" si="16"/>
        <v>0.08749999999999991</v>
      </c>
    </row>
    <row r="204" spans="1:22" ht="13.5">
      <c r="A204" s="11" t="s">
        <v>241</v>
      </c>
      <c r="S204" s="68">
        <f t="shared" si="17"/>
        <v>1.2122984061977446</v>
      </c>
      <c r="V204" s="65">
        <f t="shared" si="16"/>
        <v>0.07499999999999991</v>
      </c>
    </row>
    <row r="205" spans="19:22" ht="13.5">
      <c r="S205" s="68">
        <f t="shared" si="17"/>
        <v>1.2257950088443217</v>
      </c>
      <c r="V205" s="65">
        <f t="shared" si="16"/>
        <v>0.06249999999999992</v>
      </c>
    </row>
    <row r="206" spans="2:22" ht="13.5">
      <c r="B206" s="11" t="s">
        <v>220</v>
      </c>
      <c r="D206" s="21" t="s">
        <v>221</v>
      </c>
      <c r="E206" s="19">
        <f>E153</f>
        <v>-2.8130148892575724</v>
      </c>
      <c r="F206" s="10" t="s">
        <v>222</v>
      </c>
      <c r="S206" s="68">
        <f t="shared" si="17"/>
        <v>1.2397729238905715</v>
      </c>
      <c r="V206" s="65">
        <f t="shared" si="16"/>
        <v>0.04999999999999992</v>
      </c>
    </row>
    <row r="207" spans="2:22" ht="13.5">
      <c r="B207" s="11" t="s">
        <v>223</v>
      </c>
      <c r="D207" s="21" t="s">
        <v>224</v>
      </c>
      <c r="E207" s="10">
        <f>1000</f>
        <v>1000</v>
      </c>
      <c r="F207" s="10" t="s">
        <v>225</v>
      </c>
      <c r="S207" s="68">
        <f t="shared" si="17"/>
        <v>1.2542054975297607</v>
      </c>
      <c r="V207" s="65">
        <f t="shared" si="16"/>
        <v>0.03749999999999992</v>
      </c>
    </row>
    <row r="208" spans="2:22" ht="13.5">
      <c r="B208" s="11" t="s">
        <v>268</v>
      </c>
      <c r="D208" s="21" t="s">
        <v>269</v>
      </c>
      <c r="E208" s="10">
        <f>F28</f>
        <v>40</v>
      </c>
      <c r="F208" s="10" t="s">
        <v>270</v>
      </c>
      <c r="S208" s="68">
        <f t="shared" si="17"/>
        <v>1.2690685505152275</v>
      </c>
      <c r="V208" s="65">
        <f t="shared" si="16"/>
        <v>0.02499999999999992</v>
      </c>
    </row>
    <row r="209" spans="2:22" ht="13.5">
      <c r="B209" s="11" t="s">
        <v>226</v>
      </c>
      <c r="D209" s="21" t="s">
        <v>227</v>
      </c>
      <c r="E209" s="10">
        <f>D6*1000-F28</f>
        <v>60</v>
      </c>
      <c r="F209" s="10" t="s">
        <v>225</v>
      </c>
      <c r="S209" s="68">
        <f t="shared" si="17"/>
        <v>1.2843400788924246</v>
      </c>
      <c r="V209" s="65">
        <f t="shared" si="16"/>
        <v>0.012499999999999921</v>
      </c>
    </row>
    <row r="210" spans="2:22" ht="13.5">
      <c r="B210" s="11" t="s">
        <v>228</v>
      </c>
      <c r="D210" s="21" t="s">
        <v>229</v>
      </c>
      <c r="E210" s="10">
        <f>D28</f>
        <v>13</v>
      </c>
      <c r="F210" s="10" t="s">
        <v>84</v>
      </c>
      <c r="S210" s="68">
        <f t="shared" si="17"/>
        <v>1.3</v>
      </c>
      <c r="V210" s="65">
        <f t="shared" si="16"/>
        <v>-7.979727989493313E-17</v>
      </c>
    </row>
    <row r="211" spans="2:22" ht="13.5">
      <c r="B211" s="11" t="s">
        <v>230</v>
      </c>
      <c r="D211" s="21" t="s">
        <v>231</v>
      </c>
      <c r="E211" s="10">
        <f>E28</f>
        <v>250</v>
      </c>
      <c r="F211" s="10" t="s">
        <v>84</v>
      </c>
      <c r="S211" s="68">
        <f t="shared" si="17"/>
        <v>1.1</v>
      </c>
      <c r="V211" s="65">
        <v>0</v>
      </c>
    </row>
    <row r="212" spans="2:23" ht="16.5">
      <c r="B212" s="11" t="s">
        <v>232</v>
      </c>
      <c r="D212" s="21" t="s">
        <v>233</v>
      </c>
      <c r="E212" s="31">
        <f>IF(E210=13,1.267,IF(E210=16,1.986,IF(E210=19,2.865,IF(E210=22,3.871,IF(E210=25,5.067,IF(E210=29,6.424,IF(E210=32,7.942,"規格外")))))))*100*1000/E211</f>
        <v>506.79999999999995</v>
      </c>
      <c r="F212" s="10" t="s">
        <v>234</v>
      </c>
      <c r="S212" s="65">
        <f>0</f>
        <v>0</v>
      </c>
      <c r="W212" s="65">
        <f>V190</f>
        <v>0.25</v>
      </c>
    </row>
    <row r="213" spans="19:23" ht="13.5">
      <c r="S213" s="65">
        <f>0</f>
        <v>0</v>
      </c>
      <c r="W213" s="65">
        <f>0</f>
        <v>0</v>
      </c>
    </row>
    <row r="214" spans="2:23" ht="15">
      <c r="B214" s="32"/>
      <c r="C214" s="32"/>
      <c r="D214" s="32"/>
      <c r="E214" s="32"/>
      <c r="F214" s="32"/>
      <c r="G214" s="32"/>
      <c r="H214" s="32"/>
      <c r="I214" s="32"/>
      <c r="S214" s="65">
        <f>S190</f>
        <v>1.1</v>
      </c>
      <c r="W214" s="65">
        <f>0</f>
        <v>0</v>
      </c>
    </row>
    <row r="215" spans="2:23" ht="15">
      <c r="B215" s="32"/>
      <c r="C215" s="32"/>
      <c r="D215" s="40">
        <f>15*E212/(E207*E209)</f>
        <v>0.12669999999999998</v>
      </c>
      <c r="E215" s="32"/>
      <c r="F215" s="32"/>
      <c r="G215" s="32"/>
      <c r="H215" s="32"/>
      <c r="I215" s="32"/>
      <c r="S215" s="65">
        <f>S214</f>
        <v>1.1</v>
      </c>
      <c r="W215" s="65">
        <f>W212</f>
        <v>0.25</v>
      </c>
    </row>
    <row r="216" spans="2:9" ht="15">
      <c r="B216" s="32"/>
      <c r="C216" s="32"/>
      <c r="D216" s="32"/>
      <c r="E216" s="32"/>
      <c r="F216" s="32"/>
      <c r="G216" s="32"/>
      <c r="H216" s="32"/>
      <c r="I216" s="32"/>
    </row>
    <row r="217" spans="2:9" ht="15">
      <c r="B217" s="32"/>
      <c r="C217" s="32"/>
      <c r="D217" s="32"/>
      <c r="E217" s="33">
        <f>ROUND((D215^2+2*D215)^0.5-D215,3)</f>
        <v>0.392</v>
      </c>
      <c r="F217" s="32"/>
      <c r="G217" s="32"/>
      <c r="H217" s="32"/>
      <c r="I217" s="32"/>
    </row>
    <row r="218" spans="2:9" ht="15">
      <c r="B218" s="32"/>
      <c r="C218" s="32"/>
      <c r="D218" s="32"/>
      <c r="E218" s="32"/>
      <c r="F218" s="32"/>
      <c r="G218" s="32"/>
      <c r="H218" s="32"/>
      <c r="I218" s="32"/>
    </row>
    <row r="219" spans="2:9" ht="15">
      <c r="B219" s="32"/>
      <c r="C219" s="32"/>
      <c r="D219" s="32"/>
      <c r="E219" s="32"/>
      <c r="F219" s="32"/>
      <c r="G219" s="32"/>
      <c r="H219" s="32"/>
      <c r="I219" s="32"/>
    </row>
    <row r="220" spans="2:9" ht="15">
      <c r="B220" s="32"/>
      <c r="C220" s="32"/>
      <c r="D220" s="33">
        <f>ROUND(1-E217/3,3)</f>
        <v>0.869</v>
      </c>
      <c r="E220" s="32"/>
      <c r="F220" s="32"/>
      <c r="G220" s="32"/>
      <c r="H220" s="32"/>
      <c r="I220" s="32"/>
    </row>
    <row r="221" spans="2:9" ht="15">
      <c r="B221" s="32"/>
      <c r="C221" s="32"/>
      <c r="D221" s="32"/>
      <c r="E221" s="32"/>
      <c r="F221" s="32"/>
      <c r="G221" s="32"/>
      <c r="H221" s="32"/>
      <c r="I221" s="32"/>
    </row>
    <row r="222" spans="2:9" ht="13.5">
      <c r="B222" s="34" t="s">
        <v>235</v>
      </c>
      <c r="C222" s="32"/>
      <c r="D222" s="32"/>
      <c r="E222" s="32"/>
      <c r="F222" s="32"/>
      <c r="G222" s="32"/>
      <c r="H222" s="32"/>
      <c r="I222" s="32"/>
    </row>
    <row r="223" spans="2:9" ht="15">
      <c r="B223" s="32"/>
      <c r="C223" s="32"/>
      <c r="D223" s="32"/>
      <c r="E223" s="32"/>
      <c r="F223" s="32"/>
      <c r="G223" s="32"/>
      <c r="H223" s="32"/>
      <c r="I223" s="32"/>
    </row>
    <row r="224" spans="2:9" ht="18">
      <c r="B224" s="32"/>
      <c r="C224" s="32"/>
      <c r="D224" s="32">
        <f>ROUND(ABS(E206)*1000000*2/(E217*D220*E207*E209^2),2)</f>
        <v>4.59</v>
      </c>
      <c r="E224" s="32" t="s">
        <v>236</v>
      </c>
      <c r="F224" s="35" t="str">
        <f>IF(D224&gt;=H224,"&gt;","&lt;")</f>
        <v>&lt;</v>
      </c>
      <c r="G224" s="36" t="s">
        <v>237</v>
      </c>
      <c r="H224" s="37">
        <f>H194</f>
        <v>7</v>
      </c>
      <c r="I224" s="32" t="s">
        <v>236</v>
      </c>
    </row>
    <row r="225" spans="2:9" ht="15">
      <c r="B225" s="32"/>
      <c r="C225" s="32"/>
      <c r="D225" s="32"/>
      <c r="E225" s="32"/>
      <c r="F225" s="32"/>
      <c r="G225" s="38"/>
      <c r="H225" s="32"/>
      <c r="I225" s="35" t="str">
        <f>IF(D224&gt;=H224,"OUT","SAFE")</f>
        <v>SAFE</v>
      </c>
    </row>
    <row r="226" spans="2:8" ht="13.5">
      <c r="B226" s="32"/>
      <c r="C226" s="32"/>
      <c r="D226" s="32"/>
      <c r="E226" s="32"/>
      <c r="F226" s="32"/>
      <c r="G226" s="38"/>
      <c r="H226" s="32"/>
    </row>
    <row r="227" spans="2:9" ht="13.5">
      <c r="B227" s="34" t="s">
        <v>238</v>
      </c>
      <c r="C227" s="32"/>
      <c r="D227" s="32"/>
      <c r="E227" s="32"/>
      <c r="F227" s="32"/>
      <c r="G227" s="38"/>
      <c r="H227" s="32"/>
      <c r="I227" s="32"/>
    </row>
    <row r="228" spans="2:9" ht="15">
      <c r="B228" s="32"/>
      <c r="C228" s="32"/>
      <c r="D228" s="32"/>
      <c r="E228" s="32"/>
      <c r="F228" s="32"/>
      <c r="G228" s="38"/>
      <c r="H228" s="32"/>
      <c r="I228" s="32"/>
    </row>
    <row r="229" spans="2:9" ht="18">
      <c r="B229" s="32"/>
      <c r="C229" s="32"/>
      <c r="D229" s="32">
        <f>ROUND(ABS(E206)*1000000/(E212*D220*E209),1)</f>
        <v>106.5</v>
      </c>
      <c r="E229" s="32" t="s">
        <v>239</v>
      </c>
      <c r="F229" s="35" t="str">
        <f>IF(D229&gt;=H229,"&gt;","&lt;")</f>
        <v>&lt;</v>
      </c>
      <c r="G229" s="36" t="s">
        <v>240</v>
      </c>
      <c r="H229" s="39">
        <f>160</f>
        <v>160</v>
      </c>
      <c r="I229" s="32" t="s">
        <v>239</v>
      </c>
    </row>
    <row r="230" spans="2:9" ht="15">
      <c r="B230" s="32"/>
      <c r="C230" s="32"/>
      <c r="D230" s="32"/>
      <c r="E230" s="32"/>
      <c r="F230" s="32"/>
      <c r="G230" s="32"/>
      <c r="H230" s="32"/>
      <c r="I230" s="35" t="str">
        <f>IF(D229&gt;=H229,"OUT","SAFE")</f>
        <v>SAFE</v>
      </c>
    </row>
    <row r="233" ht="13.5">
      <c r="A233" s="11" t="s">
        <v>242</v>
      </c>
    </row>
    <row r="235" spans="2:6" ht="13.5">
      <c r="B235" s="11" t="s">
        <v>243</v>
      </c>
      <c r="D235" s="21" t="s">
        <v>221</v>
      </c>
      <c r="E235" s="19">
        <f>E143</f>
        <v>-2.6445773892575724</v>
      </c>
      <c r="F235" s="10" t="s">
        <v>222</v>
      </c>
    </row>
    <row r="236" spans="2:6" ht="13.5">
      <c r="B236" s="11" t="s">
        <v>244</v>
      </c>
      <c r="D236" s="21" t="s">
        <v>224</v>
      </c>
      <c r="E236" s="10">
        <f>1000</f>
        <v>1000</v>
      </c>
      <c r="F236" s="10" t="s">
        <v>225</v>
      </c>
    </row>
    <row r="237" spans="2:6" ht="13.5">
      <c r="B237" s="11" t="s">
        <v>268</v>
      </c>
      <c r="D237" s="21" t="s">
        <v>269</v>
      </c>
      <c r="E237" s="10">
        <f>IF(E235&gt;=0,F27,F28)</f>
        <v>40</v>
      </c>
      <c r="F237" s="10" t="s">
        <v>270</v>
      </c>
    </row>
    <row r="238" spans="2:6" ht="13.5">
      <c r="B238" s="11" t="s">
        <v>245</v>
      </c>
      <c r="D238" s="21" t="s">
        <v>227</v>
      </c>
      <c r="E238" s="10">
        <f>D6*1000-E237</f>
        <v>60</v>
      </c>
      <c r="F238" s="10" t="s">
        <v>225</v>
      </c>
    </row>
    <row r="239" spans="2:6" ht="13.5">
      <c r="B239" s="11" t="s">
        <v>246</v>
      </c>
      <c r="D239" s="21" t="s">
        <v>229</v>
      </c>
      <c r="E239" s="10">
        <f>IF(E235&gt;=0,D27,D28)</f>
        <v>13</v>
      </c>
      <c r="F239" s="10" t="s">
        <v>84</v>
      </c>
    </row>
    <row r="240" spans="2:6" ht="13.5">
      <c r="B240" s="11" t="s">
        <v>230</v>
      </c>
      <c r="D240" s="21" t="s">
        <v>231</v>
      </c>
      <c r="E240" s="10">
        <f>IF(E235&gt;=0,E27,E28)</f>
        <v>250</v>
      </c>
      <c r="F240" s="10" t="s">
        <v>84</v>
      </c>
    </row>
    <row r="241" spans="2:6" ht="16.5">
      <c r="B241" s="11" t="s">
        <v>232</v>
      </c>
      <c r="D241" s="21" t="s">
        <v>233</v>
      </c>
      <c r="E241" s="31">
        <f>IF(E239=13,1.267,IF(E239=16,1.986,IF(E239=19,2.865,IF(E239=22,3.871,IF(E239=25,5.067,IF(E239=29,6.424,IF(E239=32,7.942,"規格外")))))))*100*1000/E240</f>
        <v>506.79999999999995</v>
      </c>
      <c r="F241" s="10" t="s">
        <v>234</v>
      </c>
    </row>
    <row r="243" spans="2:9" ht="15">
      <c r="B243" s="32"/>
      <c r="C243" s="32"/>
      <c r="D243" s="32"/>
      <c r="E243" s="32"/>
      <c r="F243" s="32"/>
      <c r="G243" s="32"/>
      <c r="H243" s="32"/>
      <c r="I243" s="32"/>
    </row>
    <row r="244" spans="2:9" ht="15">
      <c r="B244" s="32"/>
      <c r="C244" s="32"/>
      <c r="D244" s="40">
        <f>15*E241/(E236*E238)</f>
        <v>0.12669999999999998</v>
      </c>
      <c r="E244" s="32"/>
      <c r="F244" s="32"/>
      <c r="G244" s="32"/>
      <c r="H244" s="32"/>
      <c r="I244" s="32"/>
    </row>
    <row r="245" spans="2:9" ht="15">
      <c r="B245" s="32"/>
      <c r="C245" s="32"/>
      <c r="D245" s="32"/>
      <c r="E245" s="32"/>
      <c r="F245" s="32"/>
      <c r="G245" s="32"/>
      <c r="H245" s="32"/>
      <c r="I245" s="32"/>
    </row>
    <row r="246" spans="2:9" ht="15">
      <c r="B246" s="32"/>
      <c r="C246" s="32"/>
      <c r="D246" s="32"/>
      <c r="E246" s="33">
        <f>ROUND((D244^2+2*D244)^0.5-D244,3)</f>
        <v>0.392</v>
      </c>
      <c r="F246" s="32"/>
      <c r="G246" s="32"/>
      <c r="H246" s="32"/>
      <c r="I246" s="32"/>
    </row>
    <row r="247" spans="2:9" ht="15">
      <c r="B247" s="32"/>
      <c r="C247" s="32"/>
      <c r="D247" s="32"/>
      <c r="E247" s="32"/>
      <c r="F247" s="32"/>
      <c r="G247" s="32"/>
      <c r="H247" s="32"/>
      <c r="I247" s="32"/>
    </row>
    <row r="248" spans="2:9" ht="15">
      <c r="B248" s="32"/>
      <c r="C248" s="32"/>
      <c r="D248" s="32"/>
      <c r="E248" s="32"/>
      <c r="F248" s="32"/>
      <c r="G248" s="32"/>
      <c r="H248" s="32"/>
      <c r="I248" s="32"/>
    </row>
    <row r="249" spans="2:9" ht="15">
      <c r="B249" s="32"/>
      <c r="C249" s="32"/>
      <c r="D249" s="33">
        <f>ROUND(1-E246/3,3)</f>
        <v>0.869</v>
      </c>
      <c r="E249" s="32"/>
      <c r="F249" s="32"/>
      <c r="G249" s="32"/>
      <c r="H249" s="32"/>
      <c r="I249" s="32"/>
    </row>
    <row r="250" spans="2:9" ht="15">
      <c r="B250" s="32"/>
      <c r="C250" s="32"/>
      <c r="D250" s="32"/>
      <c r="E250" s="32"/>
      <c r="F250" s="32"/>
      <c r="G250" s="32"/>
      <c r="H250" s="32"/>
      <c r="I250" s="32"/>
    </row>
    <row r="251" spans="2:9" ht="13.5">
      <c r="B251" s="34" t="s">
        <v>247</v>
      </c>
      <c r="C251" s="32"/>
      <c r="D251" s="32"/>
      <c r="E251" s="32"/>
      <c r="F251" s="32"/>
      <c r="G251" s="32"/>
      <c r="H251" s="32"/>
      <c r="I251" s="32"/>
    </row>
    <row r="252" spans="2:9" ht="15">
      <c r="B252" s="32"/>
      <c r="C252" s="32"/>
      <c r="D252" s="32"/>
      <c r="E252" s="32"/>
      <c r="F252" s="32"/>
      <c r="G252" s="32"/>
      <c r="H252" s="32"/>
      <c r="I252" s="32"/>
    </row>
    <row r="253" spans="2:9" ht="18">
      <c r="B253" s="32"/>
      <c r="C253" s="32"/>
      <c r="D253" s="32">
        <f>ROUND(ABS(E235)*1000000*2/(E246*D249*E236*E238^2),2)</f>
        <v>4.31</v>
      </c>
      <c r="E253" s="32" t="s">
        <v>236</v>
      </c>
      <c r="F253" s="35" t="str">
        <f>IF(D253&gt;=H253,"&gt;","&lt;")</f>
        <v>&lt;</v>
      </c>
      <c r="G253" s="36" t="s">
        <v>237</v>
      </c>
      <c r="H253" s="37">
        <f>H224</f>
        <v>7</v>
      </c>
      <c r="I253" s="32" t="s">
        <v>236</v>
      </c>
    </row>
    <row r="254" spans="2:9" ht="15">
      <c r="B254" s="32"/>
      <c r="C254" s="32"/>
      <c r="D254" s="32"/>
      <c r="E254" s="32"/>
      <c r="F254" s="32"/>
      <c r="G254" s="38"/>
      <c r="H254" s="32"/>
      <c r="I254" s="35" t="str">
        <f>IF(D253&gt;=H253,"OUT","SAFE")</f>
        <v>SAFE</v>
      </c>
    </row>
    <row r="255" spans="2:8" ht="13.5">
      <c r="B255" s="32"/>
      <c r="C255" s="32"/>
      <c r="D255" s="32"/>
      <c r="E255" s="32"/>
      <c r="F255" s="32"/>
      <c r="G255" s="38"/>
      <c r="H255" s="32"/>
    </row>
    <row r="256" spans="2:9" ht="13.5">
      <c r="B256" s="34" t="s">
        <v>248</v>
      </c>
      <c r="C256" s="32"/>
      <c r="D256" s="32"/>
      <c r="E256" s="32"/>
      <c r="F256" s="32"/>
      <c r="G256" s="38"/>
      <c r="H256" s="32"/>
      <c r="I256" s="32"/>
    </row>
    <row r="257" spans="2:9" ht="15">
      <c r="B257" s="32"/>
      <c r="C257" s="32"/>
      <c r="D257" s="32"/>
      <c r="E257" s="32"/>
      <c r="F257" s="32"/>
      <c r="G257" s="38"/>
      <c r="H257" s="32"/>
      <c r="I257" s="32"/>
    </row>
    <row r="258" spans="2:9" ht="18">
      <c r="B258" s="32"/>
      <c r="C258" s="32"/>
      <c r="D258" s="32">
        <f>ROUND(ABS(E235)*1000000/(E241*D249*E238),1)</f>
        <v>100.1</v>
      </c>
      <c r="E258" s="32" t="s">
        <v>239</v>
      </c>
      <c r="F258" s="35" t="str">
        <f>IF(D258&gt;=H258,"&gt;","&lt;")</f>
        <v>&lt;</v>
      </c>
      <c r="G258" s="36" t="s">
        <v>240</v>
      </c>
      <c r="H258" s="39">
        <f>160</f>
        <v>160</v>
      </c>
      <c r="I258" s="32" t="s">
        <v>239</v>
      </c>
    </row>
    <row r="259" spans="2:9" ht="15">
      <c r="B259" s="32"/>
      <c r="C259" s="32"/>
      <c r="D259" s="32"/>
      <c r="E259" s="32"/>
      <c r="F259" s="32"/>
      <c r="G259" s="32"/>
      <c r="H259" s="32"/>
      <c r="I259" s="35" t="str">
        <f>IF(D258&gt;=H258,"OUT","SAFE")</f>
        <v>SAFE</v>
      </c>
    </row>
    <row r="260" spans="2:8" ht="13.5">
      <c r="B260" s="32"/>
      <c r="C260" s="32"/>
      <c r="D260" s="32"/>
      <c r="E260" s="32"/>
      <c r="F260" s="32"/>
      <c r="G260" s="32"/>
      <c r="H260" s="32"/>
    </row>
  </sheetData>
  <sheetProtection sheet="1" objects="1" scenarios="1"/>
  <mergeCells count="2">
    <mergeCell ref="B131:C131"/>
    <mergeCell ref="D131:E131"/>
  </mergeCells>
  <printOptions/>
  <pageMargins left="0.75" right="0.75" top="1" bottom="1" header="0.512" footer="0.512"/>
  <pageSetup horizontalDpi="600" verticalDpi="600" orientation="portrait" paperSize="9" r:id="rId3"/>
  <headerFooter alignWithMargins="0">
    <oddHeader>&amp;CU型側溝の設計</oddHeader>
    <oddFooter>&amp;C&amp;P</oddFooter>
  </headerFooter>
  <rowBreaks count="6" manualBreakCount="6">
    <brk id="49" max="255" man="1"/>
    <brk id="85" max="8" man="1"/>
    <brk id="120" max="255" man="1"/>
    <brk id="171" max="255" man="1"/>
    <brk id="203" max="255" man="1"/>
    <brk id="232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27"/>
  <sheetViews>
    <sheetView zoomScalePageLayoutView="0" workbookViewId="0" topLeftCell="A141">
      <selection activeCell="L63" sqref="L63"/>
    </sheetView>
  </sheetViews>
  <sheetFormatPr defaultColWidth="9.00390625" defaultRowHeight="12.75"/>
  <cols>
    <col min="1" max="12" width="8.875" style="10" customWidth="1"/>
    <col min="13" max="19" width="8.875" style="65" customWidth="1"/>
    <col min="20" max="20" width="16.50390625" style="65" customWidth="1"/>
    <col min="21" max="31" width="8.875" style="65" customWidth="1"/>
    <col min="32" max="16384" width="8.875" style="10" customWidth="1"/>
  </cols>
  <sheetData>
    <row r="1" ht="13.5">
      <c r="A1" s="20" t="s">
        <v>179</v>
      </c>
    </row>
    <row r="2" spans="2:7" ht="13.5">
      <c r="B2" s="4" t="s">
        <v>93</v>
      </c>
      <c r="C2" s="5"/>
      <c r="D2" s="5"/>
      <c r="E2" s="5"/>
      <c r="F2" s="5"/>
      <c r="G2" s="5"/>
    </row>
    <row r="3" spans="2:7" ht="13.5">
      <c r="B3" s="5"/>
      <c r="C3" s="4" t="s">
        <v>94</v>
      </c>
      <c r="D3" s="19">
        <f>'入力'!C3</f>
        <v>1</v>
      </c>
      <c r="E3" s="5" t="s">
        <v>95</v>
      </c>
      <c r="G3" s="5"/>
    </row>
    <row r="4" spans="2:7" ht="13.5">
      <c r="B4" s="5"/>
      <c r="C4" s="4" t="s">
        <v>96</v>
      </c>
      <c r="D4" s="19">
        <f>'入力'!C4</f>
        <v>0.2</v>
      </c>
      <c r="E4" s="5" t="s">
        <v>95</v>
      </c>
      <c r="G4" s="5"/>
    </row>
    <row r="5" spans="2:7" ht="13.5">
      <c r="B5" s="5"/>
      <c r="C5" s="4" t="s">
        <v>97</v>
      </c>
      <c r="D5" s="19">
        <f>'入力'!C5</f>
        <v>0.1</v>
      </c>
      <c r="E5" s="5" t="s">
        <v>98</v>
      </c>
      <c r="G5" s="5"/>
    </row>
    <row r="6" spans="2:7" ht="13.5">
      <c r="B6" s="5"/>
      <c r="C6" s="4" t="s">
        <v>180</v>
      </c>
      <c r="D6" s="19">
        <f>'入力'!C6</f>
        <v>0.1</v>
      </c>
      <c r="E6" s="5" t="s">
        <v>100</v>
      </c>
      <c r="G6" s="5"/>
    </row>
    <row r="7" spans="2:7" ht="13.5">
      <c r="B7" s="4" t="s">
        <v>101</v>
      </c>
      <c r="C7" s="5"/>
      <c r="D7" s="5"/>
      <c r="E7" s="5"/>
      <c r="F7" s="5"/>
      <c r="G7" s="5"/>
    </row>
    <row r="8" spans="2:7" ht="13.5">
      <c r="B8" s="5"/>
      <c r="C8" s="7" t="s">
        <v>181</v>
      </c>
      <c r="D8" s="6" t="s">
        <v>56</v>
      </c>
      <c r="E8" s="5">
        <f>'入力'!D9</f>
        <v>50</v>
      </c>
      <c r="F8" s="5" t="s">
        <v>182</v>
      </c>
      <c r="G8" s="5"/>
    </row>
    <row r="9" spans="2:7" ht="13.5">
      <c r="B9" s="5"/>
      <c r="C9" s="7" t="s">
        <v>183</v>
      </c>
      <c r="D9" s="6" t="s">
        <v>184</v>
      </c>
      <c r="E9" s="5">
        <f>'入力'!D10</f>
        <v>0.2</v>
      </c>
      <c r="F9" s="5" t="s">
        <v>185</v>
      </c>
      <c r="G9" s="5"/>
    </row>
    <row r="10" spans="2:7" ht="13.5">
      <c r="B10" s="5"/>
      <c r="C10" s="5"/>
      <c r="D10" s="6" t="s">
        <v>186</v>
      </c>
      <c r="E10" s="5">
        <f>'入力'!D11</f>
        <v>0.5</v>
      </c>
      <c r="F10" s="5" t="s">
        <v>185</v>
      </c>
      <c r="G10" s="5"/>
    </row>
    <row r="11" spans="2:7" ht="13.5">
      <c r="B11" s="7" t="s">
        <v>187</v>
      </c>
      <c r="C11" s="5"/>
      <c r="D11" s="5"/>
      <c r="E11" s="9"/>
      <c r="F11" s="5"/>
      <c r="G11" s="5"/>
    </row>
    <row r="12" spans="2:7" ht="16.5">
      <c r="B12" s="5"/>
      <c r="C12" s="7" t="s">
        <v>188</v>
      </c>
      <c r="D12" s="5"/>
      <c r="E12" s="10">
        <f>'入力'!D14</f>
        <v>19</v>
      </c>
      <c r="F12" s="5" t="s">
        <v>106</v>
      </c>
      <c r="G12" s="5"/>
    </row>
    <row r="13" spans="2:7" ht="13.5">
      <c r="B13" s="5"/>
      <c r="C13" s="7" t="s">
        <v>107</v>
      </c>
      <c r="D13" s="5"/>
      <c r="E13" s="10">
        <f>'入力'!D15</f>
        <v>30</v>
      </c>
      <c r="F13" s="7" t="s">
        <v>108</v>
      </c>
      <c r="G13" s="5"/>
    </row>
    <row r="14" spans="2:7" ht="13.5">
      <c r="B14" s="5"/>
      <c r="C14" s="5"/>
      <c r="D14" s="5"/>
      <c r="E14" s="9"/>
      <c r="F14" s="5"/>
      <c r="G14" s="5"/>
    </row>
    <row r="15" spans="2:7" ht="13.5">
      <c r="B15" s="7" t="s">
        <v>109</v>
      </c>
      <c r="C15" s="5" t="str">
        <f>データ!B11</f>
        <v>主働土圧</v>
      </c>
      <c r="D15" s="5"/>
      <c r="E15" s="9"/>
      <c r="F15" s="5"/>
      <c r="G15" s="5"/>
    </row>
    <row r="16" spans="2:7" ht="13.5">
      <c r="B16" s="5"/>
      <c r="C16" s="5"/>
      <c r="D16" s="5"/>
      <c r="E16" s="9"/>
      <c r="F16" s="5"/>
      <c r="G16" s="5"/>
    </row>
    <row r="17" spans="2:7" ht="13.5">
      <c r="B17" s="7" t="s">
        <v>110</v>
      </c>
      <c r="C17" s="5" t="str">
        <f>データ!B16</f>
        <v>鉄筋コンクリート</v>
      </c>
      <c r="D17" s="5"/>
      <c r="E17" s="9"/>
      <c r="F17" s="5"/>
      <c r="G17" s="5"/>
    </row>
    <row r="18" spans="2:7" ht="18">
      <c r="B18" s="5"/>
      <c r="C18" s="7" t="s">
        <v>189</v>
      </c>
      <c r="D18" s="5"/>
      <c r="E18" s="10">
        <v>23</v>
      </c>
      <c r="F18" s="5" t="s">
        <v>106</v>
      </c>
      <c r="G18" s="5"/>
    </row>
    <row r="19" spans="2:7" ht="13.5">
      <c r="B19" s="5"/>
      <c r="C19" s="5"/>
      <c r="D19" s="5"/>
      <c r="E19" s="5"/>
      <c r="F19" s="5"/>
      <c r="G19" s="5"/>
    </row>
    <row r="20" spans="2:7" ht="13.5">
      <c r="B20" s="7" t="s">
        <v>112</v>
      </c>
      <c r="C20" s="5"/>
      <c r="D20" s="5"/>
      <c r="E20" s="5"/>
      <c r="F20" s="5"/>
      <c r="G20" s="5"/>
    </row>
    <row r="21" spans="2:7" ht="15.75">
      <c r="B21" s="5"/>
      <c r="C21" s="5"/>
      <c r="D21" s="8" t="s">
        <v>113</v>
      </c>
      <c r="E21" s="8" t="s">
        <v>114</v>
      </c>
      <c r="F21" s="9">
        <f>'入力'!E21</f>
        <v>21</v>
      </c>
      <c r="G21" s="5" t="s">
        <v>277</v>
      </c>
    </row>
    <row r="22" spans="2:7" ht="13.5">
      <c r="B22" s="5"/>
      <c r="C22" s="7"/>
      <c r="D22" s="5"/>
      <c r="E22" s="5"/>
      <c r="F22" s="5"/>
      <c r="G22" s="5"/>
    </row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>
      <c r="A41" s="20" t="s">
        <v>191</v>
      </c>
    </row>
    <row r="43" spans="2:6" ht="15.75">
      <c r="B43" s="20" t="s">
        <v>192</v>
      </c>
      <c r="C43" s="23" t="s">
        <v>193</v>
      </c>
      <c r="D43" s="21" t="s">
        <v>194</v>
      </c>
      <c r="E43" s="10">
        <f>D4+D6/2</f>
        <v>0.25</v>
      </c>
      <c r="F43" s="10" t="s">
        <v>3</v>
      </c>
    </row>
    <row r="44" spans="3:6" ht="15.75">
      <c r="C44" s="23" t="s">
        <v>28</v>
      </c>
      <c r="D44" s="21" t="s">
        <v>195</v>
      </c>
      <c r="E44" s="10">
        <f>D3+D5</f>
        <v>1.1</v>
      </c>
      <c r="F44" s="10" t="s">
        <v>3</v>
      </c>
    </row>
    <row r="45" spans="2:6" ht="15.75">
      <c r="B45" s="11" t="s">
        <v>196</v>
      </c>
      <c r="C45" s="12" t="s">
        <v>197</v>
      </c>
      <c r="D45" s="21" t="s">
        <v>198</v>
      </c>
      <c r="E45" s="24">
        <f>D5</f>
        <v>0.1</v>
      </c>
      <c r="F45" s="10" t="s">
        <v>3</v>
      </c>
    </row>
    <row r="46" spans="3:6" ht="15.75">
      <c r="C46" s="12" t="s">
        <v>199</v>
      </c>
      <c r="D46" s="21" t="s">
        <v>200</v>
      </c>
      <c r="E46" s="24">
        <f>D6</f>
        <v>0.1</v>
      </c>
      <c r="F46" s="10" t="s">
        <v>3</v>
      </c>
    </row>
    <row r="47" ht="13.5">
      <c r="E47" s="22"/>
    </row>
    <row r="48" spans="2:6" ht="13.5">
      <c r="B48" s="23" t="s">
        <v>32</v>
      </c>
      <c r="E48" s="19">
        <f>E43*D5*E18</f>
        <v>0.5750000000000001</v>
      </c>
      <c r="F48" s="10" t="s">
        <v>201</v>
      </c>
    </row>
    <row r="49" spans="5:21" ht="13.5">
      <c r="E49" s="22"/>
      <c r="T49" s="66" t="s">
        <v>321</v>
      </c>
      <c r="U49" s="65">
        <v>40</v>
      </c>
    </row>
    <row r="50" ht="13.5">
      <c r="B50" s="23" t="s">
        <v>202</v>
      </c>
    </row>
    <row r="51" spans="2:22" ht="13.5">
      <c r="B51" s="22"/>
      <c r="R51" s="65" t="s">
        <v>190</v>
      </c>
      <c r="S51" s="66" t="s">
        <v>324</v>
      </c>
      <c r="T51" s="66" t="s">
        <v>322</v>
      </c>
      <c r="U51" s="66" t="s">
        <v>323</v>
      </c>
      <c r="V51" s="66" t="s">
        <v>332</v>
      </c>
    </row>
    <row r="52" spans="2:19" ht="13.5">
      <c r="B52" s="22"/>
      <c r="R52" s="65">
        <v>0</v>
      </c>
      <c r="S52" s="65">
        <f>E43</f>
        <v>0.25</v>
      </c>
    </row>
    <row r="53" spans="2:19" ht="13.5">
      <c r="B53" s="22"/>
      <c r="R53" s="65">
        <f>R52</f>
        <v>0</v>
      </c>
      <c r="S53" s="65">
        <f>0</f>
        <v>0</v>
      </c>
    </row>
    <row r="54" spans="2:19" ht="13.5">
      <c r="B54" s="22"/>
      <c r="R54" s="65">
        <f>E44</f>
        <v>1.1</v>
      </c>
      <c r="S54" s="65">
        <f>S53</f>
        <v>0</v>
      </c>
    </row>
    <row r="55" spans="2:19" ht="13.5">
      <c r="B55" s="22"/>
      <c r="R55" s="65">
        <f>R54</f>
        <v>1.1</v>
      </c>
      <c r="S55" s="65">
        <f>S52</f>
        <v>0.25</v>
      </c>
    </row>
    <row r="56" spans="2:20" ht="13.5">
      <c r="B56" s="22"/>
      <c r="R56" s="65">
        <v>0</v>
      </c>
      <c r="T56" s="65">
        <f>S52</f>
        <v>0.25</v>
      </c>
    </row>
    <row r="57" spans="2:20" ht="13.5">
      <c r="B57" s="22"/>
      <c r="R57" s="65">
        <f>-G100/U49</f>
        <v>0</v>
      </c>
      <c r="T57" s="65">
        <f>T56</f>
        <v>0.25</v>
      </c>
    </row>
    <row r="58" spans="2:20" ht="13.5">
      <c r="B58" s="22"/>
      <c r="R58" s="65" t="e">
        <f>-#REF!/U49</f>
        <v>#REF!</v>
      </c>
      <c r="T58" s="65">
        <v>0</v>
      </c>
    </row>
    <row r="59" spans="2:20" ht="13.5">
      <c r="B59" s="22"/>
      <c r="R59" s="65">
        <v>0</v>
      </c>
      <c r="T59" s="65">
        <v>0</v>
      </c>
    </row>
    <row r="60" spans="2:21" ht="13.5">
      <c r="B60" s="22"/>
      <c r="R60" s="65">
        <f>$E$44-R56</f>
        <v>1.1</v>
      </c>
      <c r="U60" s="65">
        <f>T56</f>
        <v>0.25</v>
      </c>
    </row>
    <row r="61" spans="2:21" ht="13.5">
      <c r="B61" s="22"/>
      <c r="R61" s="65">
        <f>$E$44-R57</f>
        <v>1.1</v>
      </c>
      <c r="U61" s="65">
        <f>T57</f>
        <v>0.25</v>
      </c>
    </row>
    <row r="62" spans="2:21" ht="13.5">
      <c r="B62" s="22"/>
      <c r="R62" s="65" t="e">
        <f>$E$44-R58</f>
        <v>#REF!</v>
      </c>
      <c r="U62" s="65">
        <f>T58</f>
        <v>0</v>
      </c>
    </row>
    <row r="63" spans="2:21" ht="13.5">
      <c r="B63" s="22"/>
      <c r="R63" s="65">
        <f>$E$44-R59</f>
        <v>1.1</v>
      </c>
      <c r="U63" s="65">
        <f>T59</f>
        <v>0</v>
      </c>
    </row>
    <row r="64" spans="2:22" ht="13.5">
      <c r="B64" s="22"/>
      <c r="R64" s="65">
        <v>0</v>
      </c>
      <c r="V64" s="65">
        <v>0</v>
      </c>
    </row>
    <row r="65" spans="2:22" ht="13.5">
      <c r="B65" s="22"/>
      <c r="R65" s="65">
        <v>0</v>
      </c>
      <c r="V65" s="65">
        <f>-E110/U49</f>
        <v>-0.026136363636363635</v>
      </c>
    </row>
    <row r="66" spans="3:22" ht="13.5">
      <c r="C66" s="11" t="s">
        <v>203</v>
      </c>
      <c r="E66" s="10" t="str">
        <f>IF(データ!A11=1,"主働土圧","静止土圧")</f>
        <v>主働土圧</v>
      </c>
      <c r="F66" s="10" t="str">
        <f>IF(データ!A11=1,"ランキン式",IF(データ!A11=3,"ヤーキー式",""))</f>
        <v>ランキン式</v>
      </c>
      <c r="R66" s="65">
        <f>E44</f>
        <v>1.1</v>
      </c>
      <c r="V66" s="65">
        <f>V65</f>
        <v>-0.026136363636363635</v>
      </c>
    </row>
    <row r="67" spans="3:22" ht="13.5">
      <c r="C67" s="11" t="s">
        <v>204</v>
      </c>
      <c r="D67" s="21"/>
      <c r="F67" s="22" t="str">
        <f>IF(T73=1,S71,IF(T73=3,S72,""))</f>
        <v>K=tan2(π/4-φ/2)=</v>
      </c>
      <c r="G67" s="25">
        <f>データ!C11</f>
        <v>0.333</v>
      </c>
      <c r="R67" s="65">
        <f>R66</f>
        <v>1.1</v>
      </c>
      <c r="V67" s="65">
        <f>0</f>
        <v>0</v>
      </c>
    </row>
    <row r="68" spans="4:7" ht="13.5">
      <c r="D68" s="21"/>
      <c r="F68" s="22"/>
      <c r="G68" s="25"/>
    </row>
    <row r="69" spans="3:7" ht="13.5">
      <c r="C69" s="11" t="s">
        <v>205</v>
      </c>
      <c r="D69" s="21"/>
      <c r="F69" s="22"/>
      <c r="G69" s="25"/>
    </row>
    <row r="70" spans="4:19" ht="13.5">
      <c r="D70" s="21"/>
      <c r="F70" s="22"/>
      <c r="G70" s="25"/>
      <c r="S70" s="67" t="s">
        <v>273</v>
      </c>
    </row>
    <row r="71" spans="3:19" ht="16.5">
      <c r="C71" s="11" t="s">
        <v>206</v>
      </c>
      <c r="D71" s="21"/>
      <c r="F71" s="22"/>
      <c r="G71" s="25"/>
      <c r="S71" s="67" t="s">
        <v>274</v>
      </c>
    </row>
    <row r="72" spans="4:19" ht="13.5">
      <c r="D72" s="21"/>
      <c r="F72" s="22"/>
      <c r="G72" s="25"/>
      <c r="S72" s="67" t="s">
        <v>275</v>
      </c>
    </row>
    <row r="73" spans="3:20" ht="13.5">
      <c r="C73" s="11" t="s">
        <v>207</v>
      </c>
      <c r="D73" s="21"/>
      <c r="F73" s="22"/>
      <c r="G73" s="25"/>
      <c r="S73" s="66" t="s">
        <v>333</v>
      </c>
      <c r="T73" s="65">
        <f>データ!A11</f>
        <v>1</v>
      </c>
    </row>
    <row r="74" spans="4:7" ht="13.5">
      <c r="D74" s="21"/>
      <c r="F74" s="22"/>
      <c r="G74" s="25"/>
    </row>
    <row r="75" spans="4:7" ht="13.5">
      <c r="D75" s="21"/>
      <c r="F75" s="22"/>
      <c r="G75" s="25"/>
    </row>
    <row r="76" spans="4:7" ht="13.5">
      <c r="D76" s="21"/>
      <c r="F76" s="22"/>
      <c r="G76" s="25"/>
    </row>
    <row r="77" spans="2:7" ht="15.75">
      <c r="B77" s="27" t="s">
        <v>249</v>
      </c>
      <c r="C77" s="27" t="s">
        <v>250</v>
      </c>
      <c r="D77" s="27" t="s">
        <v>251</v>
      </c>
      <c r="E77" s="27" t="s">
        <v>252</v>
      </c>
      <c r="F77" s="22"/>
      <c r="G77" s="25"/>
    </row>
    <row r="78" spans="2:7" ht="13.5">
      <c r="B78" s="41">
        <v>0</v>
      </c>
      <c r="C78" s="41">
        <f aca="true" t="shared" si="0" ref="C78:C88">$E$12*$G$67*B78</f>
        <v>0</v>
      </c>
      <c r="D78" s="41">
        <f aca="true" t="shared" si="1" ref="D78:D88">$E$8*$G$67/($E$9+2*B78)/($E$10+B78)</f>
        <v>166.5</v>
      </c>
      <c r="E78" s="41">
        <f>C78+D78</f>
        <v>166.5</v>
      </c>
      <c r="F78" s="22"/>
      <c r="G78" s="25"/>
    </row>
    <row r="79" spans="2:7" ht="13.5">
      <c r="B79" s="41">
        <f>B78+$E$43/10</f>
        <v>0.025</v>
      </c>
      <c r="C79" s="41">
        <f t="shared" si="0"/>
        <v>0.158175</v>
      </c>
      <c r="D79" s="41">
        <f t="shared" si="1"/>
        <v>126.85714285714286</v>
      </c>
      <c r="E79" s="41">
        <f aca="true" t="shared" si="2" ref="E79:E88">C79+D79</f>
        <v>127.01531785714286</v>
      </c>
      <c r="F79" s="22"/>
      <c r="G79" s="25"/>
    </row>
    <row r="80" spans="2:7" ht="13.5">
      <c r="B80" s="41">
        <f aca="true" t="shared" si="3" ref="B80:B88">B79+$E$43/10</f>
        <v>0.05</v>
      </c>
      <c r="C80" s="41">
        <f t="shared" si="0"/>
        <v>0.31635</v>
      </c>
      <c r="D80" s="41">
        <f t="shared" si="1"/>
        <v>100.9090909090909</v>
      </c>
      <c r="E80" s="41">
        <f t="shared" si="2"/>
        <v>101.2254409090909</v>
      </c>
      <c r="F80" s="22"/>
      <c r="G80" s="25"/>
    </row>
    <row r="81" spans="2:7" ht="13.5">
      <c r="B81" s="41">
        <f t="shared" si="3"/>
        <v>0.07500000000000001</v>
      </c>
      <c r="C81" s="41">
        <f t="shared" si="0"/>
        <v>0.4745250000000001</v>
      </c>
      <c r="D81" s="41">
        <f t="shared" si="1"/>
        <v>82.7329192546584</v>
      </c>
      <c r="E81" s="41">
        <f t="shared" si="2"/>
        <v>83.2074442546584</v>
      </c>
      <c r="F81" s="22"/>
      <c r="G81" s="25"/>
    </row>
    <row r="82" spans="2:7" ht="13.5">
      <c r="B82" s="41">
        <f t="shared" si="3"/>
        <v>0.1</v>
      </c>
      <c r="C82" s="41">
        <f t="shared" si="0"/>
        <v>0.6327</v>
      </c>
      <c r="D82" s="41">
        <f t="shared" si="1"/>
        <v>69.375</v>
      </c>
      <c r="E82" s="41">
        <f t="shared" si="2"/>
        <v>70.0077</v>
      </c>
      <c r="F82" s="22"/>
      <c r="G82" s="25"/>
    </row>
    <row r="83" spans="2:7" ht="13.5">
      <c r="B83" s="41">
        <f t="shared" si="3"/>
        <v>0.125</v>
      </c>
      <c r="C83" s="41">
        <f t="shared" si="0"/>
        <v>0.790875</v>
      </c>
      <c r="D83" s="41">
        <f t="shared" si="1"/>
        <v>59.20000000000001</v>
      </c>
      <c r="E83" s="41">
        <f t="shared" si="2"/>
        <v>59.99087500000001</v>
      </c>
      <c r="F83" s="22"/>
      <c r="G83" s="25"/>
    </row>
    <row r="84" spans="2:7" ht="13.5">
      <c r="B84" s="41">
        <f t="shared" si="3"/>
        <v>0.15</v>
      </c>
      <c r="C84" s="41">
        <f t="shared" si="0"/>
        <v>0.94905</v>
      </c>
      <c r="D84" s="41">
        <f t="shared" si="1"/>
        <v>51.23076923076923</v>
      </c>
      <c r="E84" s="41">
        <f t="shared" si="2"/>
        <v>52.17981923076923</v>
      </c>
      <c r="F84" s="22"/>
      <c r="G84" s="25"/>
    </row>
    <row r="85" spans="2:7" ht="13.5">
      <c r="B85" s="41">
        <f t="shared" si="3"/>
        <v>0.175</v>
      </c>
      <c r="C85" s="41">
        <f t="shared" si="0"/>
        <v>1.107225</v>
      </c>
      <c r="D85" s="41">
        <f t="shared" si="1"/>
        <v>44.848484848484844</v>
      </c>
      <c r="E85" s="41">
        <f t="shared" si="2"/>
        <v>45.955709848484844</v>
      </c>
      <c r="F85" s="22"/>
      <c r="G85" s="25"/>
    </row>
    <row r="86" spans="2:7" ht="13.5">
      <c r="B86" s="41">
        <f t="shared" si="3"/>
        <v>0.19999999999999998</v>
      </c>
      <c r="C86" s="41">
        <f t="shared" si="0"/>
        <v>1.2653999999999999</v>
      </c>
      <c r="D86" s="41">
        <f t="shared" si="1"/>
        <v>39.64285714285715</v>
      </c>
      <c r="E86" s="41">
        <f t="shared" si="2"/>
        <v>40.90825714285715</v>
      </c>
      <c r="F86" s="22"/>
      <c r="G86" s="25"/>
    </row>
    <row r="87" spans="2:7" ht="13.5">
      <c r="B87" s="41">
        <f t="shared" si="3"/>
        <v>0.22499999999999998</v>
      </c>
      <c r="C87" s="41">
        <f t="shared" si="0"/>
        <v>1.4235749999999998</v>
      </c>
      <c r="D87" s="41">
        <f t="shared" si="1"/>
        <v>35.33156498673741</v>
      </c>
      <c r="E87" s="41">
        <f t="shared" si="2"/>
        <v>36.75513998673741</v>
      </c>
      <c r="F87" s="22"/>
      <c r="G87" s="25"/>
    </row>
    <row r="88" spans="2:7" ht="13.5">
      <c r="B88" s="42">
        <f t="shared" si="3"/>
        <v>0.24999999999999997</v>
      </c>
      <c r="C88" s="42">
        <f t="shared" si="0"/>
        <v>1.5817499999999998</v>
      </c>
      <c r="D88" s="42">
        <f t="shared" si="1"/>
        <v>31.714285714285722</v>
      </c>
      <c r="E88" s="42">
        <f t="shared" si="2"/>
        <v>33.29603571428572</v>
      </c>
      <c r="F88" s="22"/>
      <c r="G88" s="25"/>
    </row>
    <row r="89" spans="4:7" ht="13.5">
      <c r="D89" s="21"/>
      <c r="F89" s="22"/>
      <c r="G89" s="25"/>
    </row>
    <row r="90" spans="4:7" ht="13.5">
      <c r="D90" s="21"/>
      <c r="F90" s="22"/>
      <c r="G90" s="25"/>
    </row>
    <row r="91" spans="4:7" ht="13.5">
      <c r="D91" s="21"/>
      <c r="F91" s="22"/>
      <c r="G91" s="25"/>
    </row>
    <row r="92" spans="4:7" ht="13.5">
      <c r="D92" s="21"/>
      <c r="F92" s="22"/>
      <c r="G92" s="25"/>
    </row>
    <row r="93" spans="4:7" ht="13.5">
      <c r="D93" s="21"/>
      <c r="F93" s="22"/>
      <c r="G93" s="25"/>
    </row>
    <row r="94" spans="4:20" ht="13.5">
      <c r="D94" s="21"/>
      <c r="F94" s="22"/>
      <c r="G94" s="25"/>
      <c r="R94" s="65" t="s">
        <v>271</v>
      </c>
      <c r="S94" s="65" t="s">
        <v>272</v>
      </c>
      <c r="T94" s="65" t="s">
        <v>272</v>
      </c>
    </row>
    <row r="95" spans="4:19" ht="13.5">
      <c r="D95" s="21"/>
      <c r="F95" s="22"/>
      <c r="G95" s="25"/>
      <c r="R95" s="65">
        <v>0</v>
      </c>
      <c r="S95" s="68">
        <f>S96</f>
        <v>0.25</v>
      </c>
    </row>
    <row r="96" spans="4:19" ht="13.5">
      <c r="D96" s="21"/>
      <c r="F96" s="22"/>
      <c r="G96" s="25"/>
      <c r="R96" s="69">
        <f>E78</f>
        <v>166.5</v>
      </c>
      <c r="S96" s="68">
        <f>$E$43-B78</f>
        <v>0.25</v>
      </c>
    </row>
    <row r="97" spans="4:19" ht="13.5">
      <c r="D97" s="21"/>
      <c r="F97" s="22"/>
      <c r="G97" s="25"/>
      <c r="R97" s="69">
        <f aca="true" t="shared" si="4" ref="R97:R106">E79</f>
        <v>127.01531785714286</v>
      </c>
      <c r="S97" s="68">
        <f aca="true" t="shared" si="5" ref="S97:S106">$E$43-B79</f>
        <v>0.225</v>
      </c>
    </row>
    <row r="98" spans="4:19" ht="13.5">
      <c r="D98" s="21"/>
      <c r="F98" s="22"/>
      <c r="G98" s="25"/>
      <c r="R98" s="69">
        <f t="shared" si="4"/>
        <v>101.2254409090909</v>
      </c>
      <c r="S98" s="68">
        <f t="shared" si="5"/>
        <v>0.2</v>
      </c>
    </row>
    <row r="99" spans="4:19" ht="13.5">
      <c r="D99" s="21"/>
      <c r="F99" s="22"/>
      <c r="G99" s="25"/>
      <c r="R99" s="69">
        <f t="shared" si="4"/>
        <v>83.2074442546584</v>
      </c>
      <c r="S99" s="68">
        <f t="shared" si="5"/>
        <v>0.175</v>
      </c>
    </row>
    <row r="100" spans="3:19" ht="13.5">
      <c r="C100" s="11"/>
      <c r="D100" s="12"/>
      <c r="E100" s="21"/>
      <c r="G100" s="19"/>
      <c r="R100" s="69">
        <f t="shared" si="4"/>
        <v>70.0077</v>
      </c>
      <c r="S100" s="68">
        <f t="shared" si="5"/>
        <v>0.15</v>
      </c>
    </row>
    <row r="101" spans="3:19" ht="13.5">
      <c r="C101" s="11"/>
      <c r="D101" s="12"/>
      <c r="E101" s="21"/>
      <c r="G101" s="19"/>
      <c r="R101" s="69">
        <f t="shared" si="4"/>
        <v>59.99087500000001</v>
      </c>
      <c r="S101" s="68">
        <f t="shared" si="5"/>
        <v>0.125</v>
      </c>
    </row>
    <row r="102" spans="3:19" ht="13.5">
      <c r="C102" s="11"/>
      <c r="D102" s="12"/>
      <c r="E102" s="21"/>
      <c r="G102" s="19"/>
      <c r="R102" s="69">
        <f t="shared" si="4"/>
        <v>52.17981923076923</v>
      </c>
      <c r="S102" s="68">
        <f t="shared" si="5"/>
        <v>0.1</v>
      </c>
    </row>
    <row r="103" spans="3:19" ht="13.5">
      <c r="C103" s="11"/>
      <c r="D103" s="12"/>
      <c r="E103" s="21"/>
      <c r="G103" s="19"/>
      <c r="R103" s="69">
        <f t="shared" si="4"/>
        <v>45.955709848484844</v>
      </c>
      <c r="S103" s="68">
        <f t="shared" si="5"/>
        <v>0.07500000000000001</v>
      </c>
    </row>
    <row r="104" spans="3:19" ht="13.5">
      <c r="C104" s="11"/>
      <c r="D104" s="12"/>
      <c r="E104" s="21"/>
      <c r="G104" s="19"/>
      <c r="R104" s="69">
        <f t="shared" si="4"/>
        <v>40.90825714285715</v>
      </c>
      <c r="S104" s="68">
        <f t="shared" si="5"/>
        <v>0.05000000000000002</v>
      </c>
    </row>
    <row r="105" spans="3:19" ht="13.5">
      <c r="C105" s="11"/>
      <c r="D105" s="12"/>
      <c r="E105" s="21"/>
      <c r="G105" s="19"/>
      <c r="R105" s="69">
        <f t="shared" si="4"/>
        <v>36.75513998673741</v>
      </c>
      <c r="S105" s="68">
        <f t="shared" si="5"/>
        <v>0.025000000000000022</v>
      </c>
    </row>
    <row r="106" spans="3:19" ht="13.5">
      <c r="C106" s="11"/>
      <c r="D106" s="12"/>
      <c r="E106" s="21"/>
      <c r="G106" s="19"/>
      <c r="R106" s="69">
        <f t="shared" si="4"/>
        <v>33.29603571428572</v>
      </c>
      <c r="S106" s="68">
        <f t="shared" si="5"/>
        <v>0</v>
      </c>
    </row>
    <row r="107" spans="3:19" ht="13.5">
      <c r="C107" s="11"/>
      <c r="D107" s="12"/>
      <c r="E107" s="21"/>
      <c r="G107" s="19"/>
      <c r="R107" s="65">
        <v>0</v>
      </c>
      <c r="S107" s="65">
        <v>0</v>
      </c>
    </row>
    <row r="108" spans="3:20" ht="13.5">
      <c r="C108" s="11"/>
      <c r="D108" s="12"/>
      <c r="E108" s="21"/>
      <c r="G108" s="19"/>
      <c r="R108" s="69">
        <f>C78</f>
        <v>0</v>
      </c>
      <c r="T108" s="68">
        <f>S96</f>
        <v>0.25</v>
      </c>
    </row>
    <row r="109" spans="18:20" ht="13.5">
      <c r="R109" s="69">
        <f aca="true" t="shared" si="6" ref="R109:R118">C79</f>
        <v>0.158175</v>
      </c>
      <c r="T109" s="68">
        <f aca="true" t="shared" si="7" ref="T109:T118">S97</f>
        <v>0.225</v>
      </c>
    </row>
    <row r="110" spans="2:20" ht="16.5">
      <c r="B110" s="23" t="s">
        <v>35</v>
      </c>
      <c r="E110" s="19">
        <f>2*E48/E44</f>
        <v>1.0454545454545454</v>
      </c>
      <c r="F110" s="10" t="s">
        <v>208</v>
      </c>
      <c r="R110" s="69">
        <f t="shared" si="6"/>
        <v>0.31635</v>
      </c>
      <c r="T110" s="68">
        <f t="shared" si="7"/>
        <v>0.2</v>
      </c>
    </row>
    <row r="111" spans="18:20" ht="13.5">
      <c r="R111" s="69">
        <f t="shared" si="6"/>
        <v>0.4745250000000001</v>
      </c>
      <c r="T111" s="68">
        <f t="shared" si="7"/>
        <v>0.175</v>
      </c>
    </row>
    <row r="112" spans="18:20" ht="13.5">
      <c r="R112" s="69">
        <f t="shared" si="6"/>
        <v>0.6327</v>
      </c>
      <c r="T112" s="68">
        <f t="shared" si="7"/>
        <v>0.15</v>
      </c>
    </row>
    <row r="113" spans="1:20" ht="13.5">
      <c r="A113" s="11" t="s">
        <v>209</v>
      </c>
      <c r="R113" s="69">
        <f t="shared" si="6"/>
        <v>0.790875</v>
      </c>
      <c r="T113" s="68">
        <f t="shared" si="7"/>
        <v>0.125</v>
      </c>
    </row>
    <row r="114" spans="18:20" ht="13.5">
      <c r="R114" s="69">
        <f t="shared" si="6"/>
        <v>0.94905</v>
      </c>
      <c r="T114" s="68">
        <f t="shared" si="7"/>
        <v>0.1</v>
      </c>
    </row>
    <row r="115" spans="2:20" ht="13.5">
      <c r="B115" s="11" t="s">
        <v>210</v>
      </c>
      <c r="R115" s="69">
        <f t="shared" si="6"/>
        <v>1.107225</v>
      </c>
      <c r="T115" s="68">
        <f t="shared" si="7"/>
        <v>0.07500000000000001</v>
      </c>
    </row>
    <row r="116" spans="18:20" ht="13.5">
      <c r="R116" s="69">
        <f>C86</f>
        <v>1.2653999999999999</v>
      </c>
      <c r="T116" s="68">
        <f t="shared" si="7"/>
        <v>0.05000000000000002</v>
      </c>
    </row>
    <row r="117" spans="18:20" ht="13.5">
      <c r="R117" s="69">
        <f t="shared" si="6"/>
        <v>1.4235749999999998</v>
      </c>
      <c r="T117" s="68">
        <f t="shared" si="7"/>
        <v>0.025000000000000022</v>
      </c>
    </row>
    <row r="118" spans="2:20" ht="13.5">
      <c r="B118" s="11" t="s">
        <v>253</v>
      </c>
      <c r="R118" s="69">
        <f t="shared" si="6"/>
        <v>1.5817499999999998</v>
      </c>
      <c r="T118" s="68">
        <f t="shared" si="7"/>
        <v>0</v>
      </c>
    </row>
    <row r="119" ht="13.5">
      <c r="R119" s="69"/>
    </row>
    <row r="120" ht="13.5"/>
    <row r="121" ht="13.5">
      <c r="B121" s="11" t="s">
        <v>211</v>
      </c>
    </row>
    <row r="122" ht="13.5"/>
    <row r="123" spans="2:5" ht="13.5">
      <c r="B123" s="103" t="s">
        <v>210</v>
      </c>
      <c r="C123" s="104"/>
      <c r="D123" s="103" t="s">
        <v>38</v>
      </c>
      <c r="E123" s="104"/>
    </row>
    <row r="124" spans="2:5" ht="13.5">
      <c r="B124" s="26" t="s">
        <v>212</v>
      </c>
      <c r="C124" s="27" t="s">
        <v>213</v>
      </c>
      <c r="D124" s="27" t="s">
        <v>214</v>
      </c>
      <c r="E124" s="27" t="s">
        <v>213</v>
      </c>
    </row>
    <row r="125" spans="2:5" ht="13.5">
      <c r="B125" s="28">
        <v>0</v>
      </c>
      <c r="C125" s="41">
        <f aca="true" t="shared" si="8" ref="C125:C145">-1/6*$E$12*B125^3*$G$67-$G$67*$E$8/($E$9-2*$E$10)*((B125+$E$10)*LN((B125+$E$10)/$E$10)-(B125+$E$9/2)*LN(($E$9+2*B125)/$E$9))</f>
        <v>0</v>
      </c>
      <c r="D125" s="28">
        <v>0</v>
      </c>
      <c r="E125" s="41">
        <f>C145</f>
        <v>-2.8130148892575724</v>
      </c>
    </row>
    <row r="126" spans="2:5" ht="13.5">
      <c r="B126" s="28">
        <f aca="true" t="shared" si="9" ref="B126:B145">B125+$E$43/20</f>
        <v>0.0125</v>
      </c>
      <c r="C126" s="41">
        <f t="shared" si="8"/>
        <v>-0.01239855813737524</v>
      </c>
      <c r="D126" s="28">
        <f aca="true" t="shared" si="10" ref="D126:D145">D125+$E$44/20</f>
        <v>0.05500000000000001</v>
      </c>
      <c r="E126" s="41">
        <f aca="true" t="shared" si="11" ref="E126:E145">$E$125+$E$48*D126-1/2*$E$110*D126^2</f>
        <v>-2.7829711392575724</v>
      </c>
    </row>
    <row r="127" spans="2:5" ht="13.5">
      <c r="B127" s="28">
        <f t="shared" si="9"/>
        <v>0.025</v>
      </c>
      <c r="C127" s="41">
        <f t="shared" si="8"/>
        <v>-0.04742959359581391</v>
      </c>
      <c r="D127" s="28">
        <f t="shared" si="10"/>
        <v>0.11000000000000001</v>
      </c>
      <c r="E127" s="41">
        <f t="shared" si="11"/>
        <v>-2.7560898892575723</v>
      </c>
    </row>
    <row r="128" spans="2:5" ht="13.5">
      <c r="B128" s="28">
        <f t="shared" si="9"/>
        <v>0.037500000000000006</v>
      </c>
      <c r="C128" s="41">
        <f t="shared" si="8"/>
        <v>-0.10234972084259882</v>
      </c>
      <c r="D128" s="28">
        <f t="shared" si="10"/>
        <v>0.16500000000000004</v>
      </c>
      <c r="E128" s="41">
        <f t="shared" si="11"/>
        <v>-2.7323711392575722</v>
      </c>
    </row>
    <row r="129" spans="2:5" ht="13.5">
      <c r="B129" s="28">
        <f t="shared" si="9"/>
        <v>0.05</v>
      </c>
      <c r="C129" s="41">
        <f t="shared" si="8"/>
        <v>-0.17493948242754426</v>
      </c>
      <c r="D129" s="28">
        <f t="shared" si="10"/>
        <v>0.22000000000000003</v>
      </c>
      <c r="E129" s="41">
        <f t="shared" si="11"/>
        <v>-2.7118148892575724</v>
      </c>
    </row>
    <row r="130" spans="2:5" ht="13.5">
      <c r="B130" s="28">
        <f t="shared" si="9"/>
        <v>0.0625</v>
      </c>
      <c r="C130" s="41">
        <f t="shared" si="8"/>
        <v>-0.2633703722328725</v>
      </c>
      <c r="D130" s="28">
        <f t="shared" si="10"/>
        <v>0.275</v>
      </c>
      <c r="E130" s="41">
        <f t="shared" si="11"/>
        <v>-2.6944211392575723</v>
      </c>
    </row>
    <row r="131" spans="2:5" ht="13.5">
      <c r="B131" s="28">
        <f t="shared" si="9"/>
        <v>0.075</v>
      </c>
      <c r="C131" s="41">
        <f t="shared" si="8"/>
        <v>-0.36611312504082816</v>
      </c>
      <c r="D131" s="28">
        <f t="shared" si="10"/>
        <v>0.33</v>
      </c>
      <c r="E131" s="41">
        <f t="shared" si="11"/>
        <v>-2.6801898892575724</v>
      </c>
    </row>
    <row r="132" spans="2:5" ht="13.5">
      <c r="B132" s="28">
        <f t="shared" si="9"/>
        <v>0.0875</v>
      </c>
      <c r="C132" s="41">
        <f t="shared" si="8"/>
        <v>-0.4818724293264437</v>
      </c>
      <c r="D132" s="28">
        <f t="shared" si="10"/>
        <v>0.385</v>
      </c>
      <c r="E132" s="41">
        <f t="shared" si="11"/>
        <v>-2.669121139257572</v>
      </c>
    </row>
    <row r="133" spans="2:5" ht="13.5">
      <c r="B133" s="28">
        <f t="shared" si="9"/>
        <v>0.09999999999999999</v>
      </c>
      <c r="C133" s="41">
        <f t="shared" si="8"/>
        <v>-0.6095391986162642</v>
      </c>
      <c r="D133" s="28">
        <f t="shared" si="10"/>
        <v>0.44</v>
      </c>
      <c r="E133" s="41">
        <f t="shared" si="11"/>
        <v>-2.661214889257572</v>
      </c>
    </row>
    <row r="134" spans="2:5" ht="13.5">
      <c r="B134" s="28">
        <f t="shared" si="9"/>
        <v>0.11249999999999999</v>
      </c>
      <c r="C134" s="41">
        <f t="shared" si="8"/>
        <v>-0.74815488125679</v>
      </c>
      <c r="D134" s="28">
        <f t="shared" si="10"/>
        <v>0.495</v>
      </c>
      <c r="E134" s="41">
        <f t="shared" si="11"/>
        <v>-2.6564711392575724</v>
      </c>
    </row>
    <row r="135" spans="2:5" ht="13.5">
      <c r="B135" s="28">
        <f t="shared" si="9"/>
        <v>0.12499999999999999</v>
      </c>
      <c r="C135" s="41">
        <f t="shared" si="8"/>
        <v>-0.8968842473586568</v>
      </c>
      <c r="D135" s="28">
        <f t="shared" si="10"/>
        <v>0.55</v>
      </c>
      <c r="E135" s="41">
        <f t="shared" si="11"/>
        <v>-2.6548898892575723</v>
      </c>
    </row>
    <row r="136" spans="2:5" ht="13.5">
      <c r="B136" s="28">
        <f t="shared" si="9"/>
        <v>0.13749999999999998</v>
      </c>
      <c r="C136" s="41">
        <f t="shared" si="8"/>
        <v>-1.0549942846777363</v>
      </c>
      <c r="D136" s="28">
        <f t="shared" si="10"/>
        <v>0.6050000000000001</v>
      </c>
      <c r="E136" s="41">
        <f t="shared" si="11"/>
        <v>-2.6564711392575724</v>
      </c>
    </row>
    <row r="137" spans="2:5" ht="13.5">
      <c r="B137" s="28">
        <f t="shared" si="9"/>
        <v>0.15</v>
      </c>
      <c r="C137" s="41">
        <f t="shared" si="8"/>
        <v>-1.2218375865334354</v>
      </c>
      <c r="D137" s="28">
        <f t="shared" si="10"/>
        <v>0.6600000000000001</v>
      </c>
      <c r="E137" s="41">
        <f t="shared" si="11"/>
        <v>-2.661214889257572</v>
      </c>
    </row>
    <row r="138" spans="2:5" ht="13.5">
      <c r="B138" s="28">
        <f t="shared" si="9"/>
        <v>0.1625</v>
      </c>
      <c r="C138" s="41">
        <f t="shared" si="8"/>
        <v>-1.3968391020767723</v>
      </c>
      <c r="D138" s="28">
        <f t="shared" si="10"/>
        <v>0.7150000000000002</v>
      </c>
      <c r="E138" s="41">
        <f t="shared" si="11"/>
        <v>-2.669121139257572</v>
      </c>
    </row>
    <row r="139" spans="2:5" ht="13.5">
      <c r="B139" s="28">
        <f t="shared" si="9"/>
        <v>0.17500000000000002</v>
      </c>
      <c r="C139" s="41">
        <f t="shared" si="8"/>
        <v>-1.5794854433707524</v>
      </c>
      <c r="D139" s="28">
        <f t="shared" si="10"/>
        <v>0.7700000000000002</v>
      </c>
      <c r="E139" s="41">
        <f t="shared" si="11"/>
        <v>-2.6801898892575724</v>
      </c>
    </row>
    <row r="140" spans="2:5" ht="13.5">
      <c r="B140" s="28">
        <f t="shared" si="9"/>
        <v>0.18750000000000003</v>
      </c>
      <c r="C140" s="41">
        <f t="shared" si="8"/>
        <v>-1.7693161643668225</v>
      </c>
      <c r="D140" s="28">
        <f t="shared" si="10"/>
        <v>0.8250000000000003</v>
      </c>
      <c r="E140" s="41">
        <f t="shared" si="11"/>
        <v>-2.6944211392575723</v>
      </c>
    </row>
    <row r="141" spans="2:5" ht="13.5">
      <c r="B141" s="28">
        <f t="shared" si="9"/>
        <v>0.20000000000000004</v>
      </c>
      <c r="C141" s="41">
        <f t="shared" si="8"/>
        <v>-1.965916580096214</v>
      </c>
      <c r="D141" s="28">
        <f t="shared" si="10"/>
        <v>0.8800000000000003</v>
      </c>
      <c r="E141" s="41">
        <f t="shared" si="11"/>
        <v>-2.7118148892575724</v>
      </c>
    </row>
    <row r="142" spans="2:5" ht="13.5">
      <c r="B142" s="28">
        <f t="shared" si="9"/>
        <v>0.21250000000000005</v>
      </c>
      <c r="C142" s="41">
        <f t="shared" si="8"/>
        <v>-2.1689118027829433</v>
      </c>
      <c r="D142" s="28">
        <f t="shared" si="10"/>
        <v>0.9350000000000004</v>
      </c>
      <c r="E142" s="41">
        <f t="shared" si="11"/>
        <v>-2.7323711392575722</v>
      </c>
    </row>
    <row r="143" spans="2:21" ht="13.5">
      <c r="B143" s="28">
        <f t="shared" si="9"/>
        <v>0.22500000000000006</v>
      </c>
      <c r="C143" s="41">
        <f t="shared" si="8"/>
        <v>-2.377961749522652</v>
      </c>
      <c r="D143" s="28">
        <f t="shared" si="10"/>
        <v>0.9900000000000004</v>
      </c>
      <c r="E143" s="41">
        <f t="shared" si="11"/>
        <v>-2.7560898892575727</v>
      </c>
      <c r="T143" s="70" t="s">
        <v>39</v>
      </c>
      <c r="U143" s="65">
        <f>ABS(D3/(5*E186))</f>
        <v>0.07109809505942045</v>
      </c>
    </row>
    <row r="144" spans="2:24" ht="13.5">
      <c r="B144" s="28">
        <f t="shared" si="9"/>
        <v>0.23750000000000007</v>
      </c>
      <c r="C144" s="41">
        <f t="shared" si="8"/>
        <v>-2.5927569330565285</v>
      </c>
      <c r="D144" s="28">
        <f t="shared" si="10"/>
        <v>1.0450000000000004</v>
      </c>
      <c r="E144" s="41">
        <f t="shared" si="11"/>
        <v>-2.7829711392575724</v>
      </c>
      <c r="T144" s="65" t="s">
        <v>6</v>
      </c>
      <c r="U144" s="66" t="s">
        <v>334</v>
      </c>
      <c r="V144" s="66" t="s">
        <v>335</v>
      </c>
      <c r="W144" s="66" t="s">
        <v>320</v>
      </c>
      <c r="X144" s="66" t="s">
        <v>336</v>
      </c>
    </row>
    <row r="145" spans="2:21" ht="13.5">
      <c r="B145" s="29">
        <f t="shared" si="9"/>
        <v>0.25000000000000006</v>
      </c>
      <c r="C145" s="42">
        <f t="shared" si="8"/>
        <v>-2.8130148892575724</v>
      </c>
      <c r="D145" s="29">
        <f t="shared" si="10"/>
        <v>1.1000000000000003</v>
      </c>
      <c r="E145" s="42">
        <f t="shared" si="11"/>
        <v>-2.8130148892575724</v>
      </c>
      <c r="T145" s="71">
        <f aca="true" t="shared" si="12" ref="T145:T165">C125*$U$143</f>
        <v>0</v>
      </c>
      <c r="U145" s="71">
        <f>E43</f>
        <v>0.25</v>
      </c>
    </row>
    <row r="146" spans="2:21" ht="13.5">
      <c r="B146" s="30" t="s">
        <v>215</v>
      </c>
      <c r="C146" s="89">
        <f>MAX(C125:C145)</f>
        <v>0</v>
      </c>
      <c r="D146" s="30" t="s">
        <v>215</v>
      </c>
      <c r="E146" s="89">
        <f>MAX(E125:E145)</f>
        <v>-2.6548898892575723</v>
      </c>
      <c r="T146" s="71">
        <f t="shared" si="12"/>
        <v>-0.0008815138650508558</v>
      </c>
      <c r="U146" s="71">
        <f>U145-$U$145/20</f>
        <v>0.2375</v>
      </c>
    </row>
    <row r="147" spans="2:21" ht="13.5">
      <c r="B147" s="30" t="s">
        <v>216</v>
      </c>
      <c r="C147" s="89">
        <f>MIN(C125:C145)</f>
        <v>-2.8130148892575724</v>
      </c>
      <c r="D147" s="30" t="s">
        <v>216</v>
      </c>
      <c r="E147" s="89">
        <f>MIN(E125:E145)</f>
        <v>-2.8130148892575724</v>
      </c>
      <c r="T147" s="71">
        <f t="shared" si="12"/>
        <v>-0.0033721537541048572</v>
      </c>
      <c r="U147" s="71">
        <f aca="true" t="shared" si="13" ref="U147:U164">U146-$U$145/20</f>
        <v>0.22499999999999998</v>
      </c>
    </row>
    <row r="148" spans="20:21" ht="13.5">
      <c r="T148" s="71">
        <f t="shared" si="12"/>
        <v>-0.007276870181772237</v>
      </c>
      <c r="U148" s="71">
        <f t="shared" si="13"/>
        <v>0.21249999999999997</v>
      </c>
    </row>
    <row r="149" spans="20:21" ht="13.5">
      <c r="T149" s="71">
        <f t="shared" si="12"/>
        <v>-0.012437863951279356</v>
      </c>
      <c r="U149" s="71">
        <f t="shared" si="13"/>
        <v>0.19999999999999996</v>
      </c>
    </row>
    <row r="150" spans="20:21" ht="13.5">
      <c r="T150" s="71">
        <f t="shared" si="12"/>
        <v>-0.01872513176084772</v>
      </c>
      <c r="U150" s="71">
        <f t="shared" si="13"/>
        <v>0.18749999999999994</v>
      </c>
    </row>
    <row r="151" spans="20:21" ht="13.5">
      <c r="T151" s="71">
        <f t="shared" si="12"/>
        <v>-0.026029945766654287</v>
      </c>
      <c r="U151" s="71">
        <f t="shared" si="13"/>
        <v>0.17499999999999993</v>
      </c>
    </row>
    <row r="152" spans="20:21" ht="13.5">
      <c r="T152" s="71">
        <f t="shared" si="12"/>
        <v>-0.03426021178676536</v>
      </c>
      <c r="U152" s="71">
        <f t="shared" si="13"/>
        <v>0.16249999999999992</v>
      </c>
    </row>
    <row r="153" spans="20:21" ht="13.5">
      <c r="T153" s="71">
        <f t="shared" si="12"/>
        <v>-0.043337075885662116</v>
      </c>
      <c r="U153" s="71">
        <f t="shared" si="13"/>
        <v>0.1499999999999999</v>
      </c>
    </row>
    <row r="154" spans="20:21" ht="13.5">
      <c r="T154" s="71">
        <f t="shared" si="12"/>
        <v>-0.053192386866764675</v>
      </c>
      <c r="U154" s="71">
        <f t="shared" si="13"/>
        <v>0.1374999999999999</v>
      </c>
    </row>
    <row r="155" spans="20:21" ht="13.5">
      <c r="T155" s="71">
        <f t="shared" si="12"/>
        <v>-0.06376676147600255</v>
      </c>
      <c r="U155" s="71">
        <f t="shared" si="13"/>
        <v>0.1249999999999999</v>
      </c>
    </row>
    <row r="156" spans="20:21" ht="13.5">
      <c r="T156" s="71">
        <f t="shared" si="12"/>
        <v>-0.07500808393916297</v>
      </c>
      <c r="U156" s="71">
        <f t="shared" si="13"/>
        <v>0.1124999999999999</v>
      </c>
    </row>
    <row r="157" spans="20:21" ht="13.5">
      <c r="T157" s="71">
        <f t="shared" si="12"/>
        <v>-0.08687032487452706</v>
      </c>
      <c r="U157" s="71">
        <f t="shared" si="13"/>
        <v>0.09999999999999991</v>
      </c>
    </row>
    <row r="158" spans="20:21" ht="13.5">
      <c r="T158" s="71">
        <f t="shared" si="12"/>
        <v>-0.09931259926216987</v>
      </c>
      <c r="U158" s="71">
        <f t="shared" si="13"/>
        <v>0.08749999999999991</v>
      </c>
    </row>
    <row r="159" spans="20:21" ht="13.5">
      <c r="T159" s="71">
        <f t="shared" si="12"/>
        <v>-0.11229840619774462</v>
      </c>
      <c r="U159" s="71">
        <f t="shared" si="13"/>
        <v>0.07499999999999991</v>
      </c>
    </row>
    <row r="160" spans="20:21" ht="13.5">
      <c r="T160" s="71">
        <f t="shared" si="12"/>
        <v>-0.12579500884432154</v>
      </c>
      <c r="U160" s="71">
        <f t="shared" si="13"/>
        <v>0.06249999999999992</v>
      </c>
    </row>
    <row r="161" spans="20:21" ht="13.5">
      <c r="T161" s="71">
        <f t="shared" si="12"/>
        <v>-0.1397729238905714</v>
      </c>
      <c r="U161" s="71">
        <f t="shared" si="13"/>
        <v>0.04999999999999992</v>
      </c>
    </row>
    <row r="162" spans="20:21" ht="13.5">
      <c r="T162" s="71">
        <f t="shared" si="12"/>
        <v>-0.15420549752976068</v>
      </c>
      <c r="U162" s="71">
        <f t="shared" si="13"/>
        <v>0.03749999999999992</v>
      </c>
    </row>
    <row r="163" spans="3:21" ht="13.5">
      <c r="C163" s="11" t="s">
        <v>217</v>
      </c>
      <c r="T163" s="71">
        <f t="shared" si="12"/>
        <v>-0.1690685505152273</v>
      </c>
      <c r="U163" s="71">
        <f t="shared" si="13"/>
        <v>0.02499999999999992</v>
      </c>
    </row>
    <row r="164" spans="20:21" ht="13.5">
      <c r="T164" s="71">
        <f t="shared" si="12"/>
        <v>-0.1843400788924245</v>
      </c>
      <c r="U164" s="71">
        <f t="shared" si="13"/>
        <v>0.012499999999999921</v>
      </c>
    </row>
    <row r="165" spans="1:21" ht="13.5">
      <c r="A165" s="11" t="s">
        <v>218</v>
      </c>
      <c r="T165" s="71">
        <f t="shared" si="12"/>
        <v>-0.19999999999999998</v>
      </c>
      <c r="U165" s="71">
        <f>U164-$U$145/20</f>
        <v>-7.979727989493313E-17</v>
      </c>
    </row>
    <row r="166" spans="20:21" ht="13.5">
      <c r="T166" s="71">
        <v>0</v>
      </c>
      <c r="U166" s="71">
        <v>0</v>
      </c>
    </row>
    <row r="167" spans="1:22" ht="13.5">
      <c r="A167" s="11" t="s">
        <v>219</v>
      </c>
      <c r="T167" s="65">
        <v>0</v>
      </c>
      <c r="V167" s="65">
        <v>0</v>
      </c>
    </row>
    <row r="168" spans="20:22" ht="13.5">
      <c r="T168" s="65">
        <f aca="true" t="shared" si="14" ref="T168:T188">D125</f>
        <v>0</v>
      </c>
      <c r="V168" s="65">
        <f aca="true" t="shared" si="15" ref="V168:V188">E125*$U$143</f>
        <v>-0.19999999999999998</v>
      </c>
    </row>
    <row r="169" spans="2:22" ht="13.5">
      <c r="B169" s="11" t="s">
        <v>220</v>
      </c>
      <c r="D169" s="21" t="s">
        <v>221</v>
      </c>
      <c r="E169" s="19">
        <f>C147</f>
        <v>-2.8130148892575724</v>
      </c>
      <c r="F169" s="10" t="s">
        <v>222</v>
      </c>
      <c r="T169" s="65">
        <f t="shared" si="14"/>
        <v>0.05500000000000001</v>
      </c>
      <c r="V169" s="65">
        <f t="shared" si="15"/>
        <v>-0.19786394660655854</v>
      </c>
    </row>
    <row r="170" spans="2:22" ht="13.5">
      <c r="B170" s="11" t="s">
        <v>154</v>
      </c>
      <c r="D170" s="21" t="s">
        <v>156</v>
      </c>
      <c r="E170" s="10">
        <f>1000</f>
        <v>1000</v>
      </c>
      <c r="F170" s="10" t="s">
        <v>158</v>
      </c>
      <c r="T170" s="65">
        <f t="shared" si="14"/>
        <v>0.11000000000000001</v>
      </c>
      <c r="V170" s="65">
        <f t="shared" si="15"/>
        <v>-0.19595274093874246</v>
      </c>
    </row>
    <row r="171" spans="2:22" ht="13.5">
      <c r="B171" s="11" t="s">
        <v>176</v>
      </c>
      <c r="D171" s="21" t="s">
        <v>177</v>
      </c>
      <c r="E171" s="10">
        <f>D5*1000</f>
        <v>100</v>
      </c>
      <c r="F171" s="10" t="s">
        <v>158</v>
      </c>
      <c r="T171" s="65">
        <f t="shared" si="14"/>
        <v>0.16500000000000004</v>
      </c>
      <c r="V171" s="65">
        <f t="shared" si="15"/>
        <v>-0.19426638299655183</v>
      </c>
    </row>
    <row r="172" spans="2:22" ht="13.5">
      <c r="B172" s="32"/>
      <c r="C172" s="32"/>
      <c r="D172" s="32"/>
      <c r="E172" s="32"/>
      <c r="F172" s="32"/>
      <c r="G172" s="32"/>
      <c r="H172" s="32"/>
      <c r="I172" s="32"/>
      <c r="T172" s="65">
        <f t="shared" si="14"/>
        <v>0.22000000000000003</v>
      </c>
      <c r="V172" s="65">
        <f t="shared" si="15"/>
        <v>-0.19280487277998665</v>
      </c>
    </row>
    <row r="173" spans="2:22" ht="13.5">
      <c r="B173" s="34" t="s">
        <v>166</v>
      </c>
      <c r="C173" s="32"/>
      <c r="D173" s="32"/>
      <c r="E173" s="32"/>
      <c r="F173" s="32"/>
      <c r="G173" s="32"/>
      <c r="H173" s="32"/>
      <c r="I173" s="32"/>
      <c r="T173" s="65">
        <f t="shared" si="14"/>
        <v>0.275</v>
      </c>
      <c r="V173" s="65">
        <f t="shared" si="15"/>
        <v>-0.19156821028904683</v>
      </c>
    </row>
    <row r="174" spans="2:22" ht="15">
      <c r="B174" s="32"/>
      <c r="C174" s="32"/>
      <c r="D174" s="32"/>
      <c r="E174" s="32"/>
      <c r="F174" s="32"/>
      <c r="G174" s="32"/>
      <c r="H174" s="32"/>
      <c r="I174" s="32"/>
      <c r="T174" s="65">
        <f t="shared" si="14"/>
        <v>0.33</v>
      </c>
      <c r="V174" s="65">
        <f t="shared" si="15"/>
        <v>-0.19055639552373246</v>
      </c>
    </row>
    <row r="175" spans="2:22" ht="18">
      <c r="B175" s="32"/>
      <c r="C175" s="32"/>
      <c r="D175" s="32">
        <f>ROUND(6*ABS(E169)*1000000/(E170*E171^2),2)</f>
        <v>1.69</v>
      </c>
      <c r="E175" s="32" t="s">
        <v>167</v>
      </c>
      <c r="F175" s="35" t="str">
        <f>IF(D175&gt;=H175,"&gt;","&lt;")</f>
        <v>&lt;</v>
      </c>
      <c r="G175" s="36" t="s">
        <v>168</v>
      </c>
      <c r="H175" s="37">
        <f>データ!F16</f>
        <v>7</v>
      </c>
      <c r="I175" s="32" t="s">
        <v>169</v>
      </c>
      <c r="T175" s="65">
        <f t="shared" si="14"/>
        <v>0.385</v>
      </c>
      <c r="V175" s="65">
        <f t="shared" si="15"/>
        <v>-0.1897694284840435</v>
      </c>
    </row>
    <row r="176" spans="1:22" ht="15">
      <c r="A176" s="32"/>
      <c r="B176" s="32"/>
      <c r="C176" s="32"/>
      <c r="D176" s="32"/>
      <c r="E176" s="32"/>
      <c r="F176" s="32"/>
      <c r="G176" s="38"/>
      <c r="H176" s="32"/>
      <c r="I176" s="32"/>
      <c r="T176" s="65">
        <f t="shared" si="14"/>
        <v>0.44</v>
      </c>
      <c r="V176" s="65">
        <f t="shared" si="15"/>
        <v>-0.18920730916997994</v>
      </c>
    </row>
    <row r="177" spans="1:22" ht="13.5">
      <c r="A177" s="32"/>
      <c r="B177" s="32"/>
      <c r="C177" s="32"/>
      <c r="D177" s="32"/>
      <c r="E177" s="32"/>
      <c r="F177" s="32"/>
      <c r="G177" s="38"/>
      <c r="H177" s="32"/>
      <c r="I177" s="35" t="str">
        <f>IF(D175&gt;=H175,"OUT","SAFE")</f>
        <v>SAFE</v>
      </c>
      <c r="T177" s="65">
        <f t="shared" si="14"/>
        <v>0.495</v>
      </c>
      <c r="V177" s="65">
        <f t="shared" si="15"/>
        <v>-0.18887003758154183</v>
      </c>
    </row>
    <row r="178" spans="1:22" ht="13.5">
      <c r="A178" s="32"/>
      <c r="B178" s="34" t="s">
        <v>178</v>
      </c>
      <c r="C178" s="32"/>
      <c r="D178" s="32"/>
      <c r="E178" s="32"/>
      <c r="F178" s="32"/>
      <c r="G178" s="38"/>
      <c r="H178" s="32"/>
      <c r="I178" s="32"/>
      <c r="T178" s="65">
        <f t="shared" si="14"/>
        <v>0.55</v>
      </c>
      <c r="V178" s="65">
        <f t="shared" si="15"/>
        <v>-0.18875761371872912</v>
      </c>
    </row>
    <row r="179" spans="1:22" ht="15">
      <c r="A179" s="32"/>
      <c r="B179" s="32"/>
      <c r="C179" s="32"/>
      <c r="D179" s="32"/>
      <c r="E179" s="32"/>
      <c r="F179" s="32"/>
      <c r="G179" s="38"/>
      <c r="H179" s="32"/>
      <c r="I179" s="32"/>
      <c r="T179" s="65">
        <f t="shared" si="14"/>
        <v>0.6050000000000001</v>
      </c>
      <c r="V179" s="65">
        <f t="shared" si="15"/>
        <v>-0.18887003758154183</v>
      </c>
    </row>
    <row r="180" spans="1:22" ht="18">
      <c r="A180" s="32"/>
      <c r="B180" s="32"/>
      <c r="C180" s="32"/>
      <c r="D180" s="32">
        <f>ROUND(-6*ABS(E169)*1000000/(E170*E171^2),2)</f>
        <v>-1.69</v>
      </c>
      <c r="E180" s="32" t="s">
        <v>171</v>
      </c>
      <c r="F180" s="35" t="str">
        <f>IF(D180&gt;=H180,"&gt;","&lt;")</f>
        <v>&lt;</v>
      </c>
      <c r="G180" s="36" t="s">
        <v>172</v>
      </c>
      <c r="H180" s="37">
        <f>-データ!G16</f>
        <v>0</v>
      </c>
      <c r="I180" s="32" t="s">
        <v>171</v>
      </c>
      <c r="T180" s="65">
        <f t="shared" si="14"/>
        <v>0.6600000000000001</v>
      </c>
      <c r="V180" s="65">
        <f t="shared" si="15"/>
        <v>-0.18920730916997994</v>
      </c>
    </row>
    <row r="181" spans="1:22" ht="15">
      <c r="A181" s="32"/>
      <c r="B181" s="32"/>
      <c r="C181" s="32"/>
      <c r="D181" s="32"/>
      <c r="E181" s="32"/>
      <c r="F181" s="32"/>
      <c r="G181" s="32"/>
      <c r="H181" s="32"/>
      <c r="I181" s="32"/>
      <c r="T181" s="65">
        <f t="shared" si="14"/>
        <v>0.7150000000000002</v>
      </c>
      <c r="V181" s="65">
        <f t="shared" si="15"/>
        <v>-0.1897694284840435</v>
      </c>
    </row>
    <row r="182" spans="1:22" ht="13.5">
      <c r="A182" s="32"/>
      <c r="I182" s="35" t="str">
        <f>IF(D180&lt;=H180,"OUT","SAFE")</f>
        <v>OUT</v>
      </c>
      <c r="T182" s="65">
        <f t="shared" si="14"/>
        <v>0.7700000000000002</v>
      </c>
      <c r="V182" s="65">
        <f t="shared" si="15"/>
        <v>-0.19055639552373246</v>
      </c>
    </row>
    <row r="183" spans="1:22" ht="13.5">
      <c r="A183" s="32"/>
      <c r="B183" s="32"/>
      <c r="C183" s="32"/>
      <c r="D183" s="32"/>
      <c r="E183" s="32"/>
      <c r="F183" s="32"/>
      <c r="G183" s="32"/>
      <c r="H183" s="32"/>
      <c r="I183" s="32"/>
      <c r="T183" s="65">
        <f t="shared" si="14"/>
        <v>0.8250000000000003</v>
      </c>
      <c r="V183" s="65">
        <f t="shared" si="15"/>
        <v>-0.19156821028904683</v>
      </c>
    </row>
    <row r="184" spans="1:22" ht="13.5">
      <c r="A184" s="11" t="s">
        <v>241</v>
      </c>
      <c r="T184" s="65">
        <f t="shared" si="14"/>
        <v>0.8800000000000003</v>
      </c>
      <c r="V184" s="65">
        <f t="shared" si="15"/>
        <v>-0.19280487277998665</v>
      </c>
    </row>
    <row r="185" spans="20:22" ht="13.5">
      <c r="T185" s="65">
        <f t="shared" si="14"/>
        <v>0.9350000000000004</v>
      </c>
      <c r="V185" s="65">
        <f t="shared" si="15"/>
        <v>-0.19426638299655183</v>
      </c>
    </row>
    <row r="186" spans="2:22" ht="13.5">
      <c r="B186" s="11" t="s">
        <v>220</v>
      </c>
      <c r="D186" s="21" t="s">
        <v>221</v>
      </c>
      <c r="E186" s="19">
        <f>E145</f>
        <v>-2.8130148892575724</v>
      </c>
      <c r="F186" s="10" t="s">
        <v>222</v>
      </c>
      <c r="T186" s="65">
        <f t="shared" si="14"/>
        <v>0.9900000000000004</v>
      </c>
      <c r="V186" s="65">
        <f t="shared" si="15"/>
        <v>-0.1959527409387425</v>
      </c>
    </row>
    <row r="187" spans="2:22" ht="13.5">
      <c r="B187" s="11" t="s">
        <v>223</v>
      </c>
      <c r="D187" s="21" t="s">
        <v>224</v>
      </c>
      <c r="E187" s="10">
        <f>1000</f>
        <v>1000</v>
      </c>
      <c r="F187" s="10" t="s">
        <v>225</v>
      </c>
      <c r="T187" s="65">
        <f t="shared" si="14"/>
        <v>1.0450000000000004</v>
      </c>
      <c r="V187" s="65">
        <f t="shared" si="15"/>
        <v>-0.19786394660655854</v>
      </c>
    </row>
    <row r="188" spans="2:22" ht="13.5">
      <c r="B188" s="11" t="s">
        <v>176</v>
      </c>
      <c r="D188" s="21" t="s">
        <v>177</v>
      </c>
      <c r="E188" s="10">
        <f>D6*1000</f>
        <v>100</v>
      </c>
      <c r="F188" s="10" t="s">
        <v>158</v>
      </c>
      <c r="T188" s="65">
        <f t="shared" si="14"/>
        <v>1.1000000000000003</v>
      </c>
      <c r="V188" s="65">
        <f t="shared" si="15"/>
        <v>-0.19999999999999998</v>
      </c>
    </row>
    <row r="189" spans="2:22" ht="13.5">
      <c r="B189" s="32"/>
      <c r="C189" s="32"/>
      <c r="D189" s="32"/>
      <c r="E189" s="32"/>
      <c r="F189" s="32"/>
      <c r="G189" s="32"/>
      <c r="H189" s="32"/>
      <c r="I189" s="32"/>
      <c r="T189" s="65">
        <f>T188</f>
        <v>1.1000000000000003</v>
      </c>
      <c r="V189" s="65">
        <v>0</v>
      </c>
    </row>
    <row r="190" spans="2:23" ht="13.5">
      <c r="B190" s="34" t="s">
        <v>166</v>
      </c>
      <c r="C190" s="32"/>
      <c r="D190" s="32"/>
      <c r="E190" s="32"/>
      <c r="F190" s="32"/>
      <c r="G190" s="32"/>
      <c r="H190" s="32"/>
      <c r="I190" s="32"/>
      <c r="T190" s="72">
        <f>$E$44-T145</f>
        <v>1.1</v>
      </c>
      <c r="W190" s="65">
        <f aca="true" t="shared" si="16" ref="W190:W210">U145</f>
        <v>0.25</v>
      </c>
    </row>
    <row r="191" spans="2:23" ht="15">
      <c r="B191" s="32"/>
      <c r="C191" s="32"/>
      <c r="D191" s="32"/>
      <c r="E191" s="32"/>
      <c r="F191" s="32"/>
      <c r="G191" s="32"/>
      <c r="H191" s="32"/>
      <c r="I191" s="32"/>
      <c r="T191" s="68">
        <f>$E$44-T146</f>
        <v>1.100881513865051</v>
      </c>
      <c r="W191" s="65">
        <f t="shared" si="16"/>
        <v>0.2375</v>
      </c>
    </row>
    <row r="192" spans="2:23" ht="18">
      <c r="B192" s="32"/>
      <c r="C192" s="32"/>
      <c r="D192" s="32">
        <f>ROUND(6*ABS(E186)*1000000/(E187*E188^2),2)</f>
        <v>1.69</v>
      </c>
      <c r="E192" s="32" t="s">
        <v>167</v>
      </c>
      <c r="F192" s="35" t="str">
        <f>IF(D192&gt;=H192,"&gt;","&lt;")</f>
        <v>&lt;</v>
      </c>
      <c r="G192" s="36" t="s">
        <v>168</v>
      </c>
      <c r="H192" s="37">
        <f>H175</f>
        <v>7</v>
      </c>
      <c r="I192" s="32" t="s">
        <v>169</v>
      </c>
      <c r="T192" s="68">
        <f aca="true" t="shared" si="17" ref="T192:T211">$E$44-T147</f>
        <v>1.103372153754105</v>
      </c>
      <c r="W192" s="65">
        <f t="shared" si="16"/>
        <v>0.22499999999999998</v>
      </c>
    </row>
    <row r="193" spans="2:23" ht="15">
      <c r="B193" s="32"/>
      <c r="C193" s="32"/>
      <c r="D193" s="32"/>
      <c r="E193" s="32"/>
      <c r="F193" s="32"/>
      <c r="G193" s="38"/>
      <c r="H193" s="32"/>
      <c r="I193" s="32"/>
      <c r="T193" s="68">
        <f t="shared" si="17"/>
        <v>1.1072768701817723</v>
      </c>
      <c r="W193" s="65">
        <f t="shared" si="16"/>
        <v>0.21249999999999997</v>
      </c>
    </row>
    <row r="194" spans="2:23" ht="13.5">
      <c r="B194" s="32"/>
      <c r="C194" s="32"/>
      <c r="D194" s="32"/>
      <c r="E194" s="32"/>
      <c r="F194" s="32"/>
      <c r="G194" s="38"/>
      <c r="H194" s="32"/>
      <c r="I194" s="35" t="str">
        <f>IF(D192&gt;=H192,"OUT","SAFE")</f>
        <v>SAFE</v>
      </c>
      <c r="T194" s="68">
        <f t="shared" si="17"/>
        <v>1.1124378639512795</v>
      </c>
      <c r="W194" s="65">
        <f t="shared" si="16"/>
        <v>0.19999999999999996</v>
      </c>
    </row>
    <row r="195" spans="2:23" ht="13.5">
      <c r="B195" s="34" t="s">
        <v>178</v>
      </c>
      <c r="C195" s="32"/>
      <c r="D195" s="32"/>
      <c r="E195" s="32"/>
      <c r="F195" s="32"/>
      <c r="G195" s="38"/>
      <c r="H195" s="32"/>
      <c r="I195" s="32"/>
      <c r="T195" s="68">
        <f t="shared" si="17"/>
        <v>1.1187251317608478</v>
      </c>
      <c r="W195" s="65">
        <f t="shared" si="16"/>
        <v>0.18749999999999994</v>
      </c>
    </row>
    <row r="196" spans="2:23" ht="15">
      <c r="B196" s="32"/>
      <c r="C196" s="32"/>
      <c r="D196" s="32"/>
      <c r="E196" s="32"/>
      <c r="F196" s="32"/>
      <c r="G196" s="38"/>
      <c r="H196" s="32"/>
      <c r="I196" s="32"/>
      <c r="T196" s="68">
        <f t="shared" si="17"/>
        <v>1.1260299457666543</v>
      </c>
      <c r="W196" s="65">
        <f t="shared" si="16"/>
        <v>0.17499999999999993</v>
      </c>
    </row>
    <row r="197" spans="2:23" ht="18">
      <c r="B197" s="32"/>
      <c r="C197" s="32"/>
      <c r="D197" s="32">
        <f>ROUND(-6*ABS(E186)*1000000/(E187*E188^2),2)</f>
        <v>-1.69</v>
      </c>
      <c r="E197" s="32" t="s">
        <v>171</v>
      </c>
      <c r="F197" s="35" t="str">
        <f>IF(D197&gt;=H197,"&gt;","&lt;")</f>
        <v>&lt;</v>
      </c>
      <c r="G197" s="36" t="s">
        <v>172</v>
      </c>
      <c r="H197" s="37">
        <f>H180</f>
        <v>0</v>
      </c>
      <c r="I197" s="32" t="s">
        <v>171</v>
      </c>
      <c r="T197" s="68">
        <f t="shared" si="17"/>
        <v>1.1342602117867655</v>
      </c>
      <c r="W197" s="65">
        <f t="shared" si="16"/>
        <v>0.16249999999999992</v>
      </c>
    </row>
    <row r="198" spans="2:23" ht="15">
      <c r="B198" s="32"/>
      <c r="C198" s="32"/>
      <c r="D198" s="32"/>
      <c r="E198" s="32"/>
      <c r="F198" s="32"/>
      <c r="G198" s="32"/>
      <c r="H198" s="32"/>
      <c r="I198" s="32"/>
      <c r="T198" s="68">
        <f t="shared" si="17"/>
        <v>1.1433370758856622</v>
      </c>
      <c r="W198" s="65">
        <f t="shared" si="16"/>
        <v>0.1499999999999999</v>
      </c>
    </row>
    <row r="199" spans="9:23" ht="13.5">
      <c r="I199" s="35" t="str">
        <f>IF(D197&lt;=H197,"OUT","SAFE")</f>
        <v>OUT</v>
      </c>
      <c r="T199" s="68">
        <f t="shared" si="17"/>
        <v>1.1531923868667648</v>
      </c>
      <c r="W199" s="65">
        <f t="shared" si="16"/>
        <v>0.1374999999999999</v>
      </c>
    </row>
    <row r="200" spans="2:23" ht="13.5">
      <c r="B200" s="32"/>
      <c r="C200" s="32"/>
      <c r="D200" s="32"/>
      <c r="E200" s="32"/>
      <c r="F200" s="32"/>
      <c r="G200" s="32"/>
      <c r="H200" s="32"/>
      <c r="I200" s="32"/>
      <c r="T200" s="68">
        <f t="shared" si="17"/>
        <v>1.1637667614760026</v>
      </c>
      <c r="W200" s="65">
        <f t="shared" si="16"/>
        <v>0.1249999999999999</v>
      </c>
    </row>
    <row r="201" spans="2:23" ht="13.5">
      <c r="B201" s="32"/>
      <c r="C201" s="32"/>
      <c r="D201" s="32"/>
      <c r="E201" s="32"/>
      <c r="F201" s="32"/>
      <c r="G201" s="32"/>
      <c r="H201" s="32"/>
      <c r="I201" s="32"/>
      <c r="T201" s="68">
        <f t="shared" si="17"/>
        <v>1.175008083939163</v>
      </c>
      <c r="W201" s="65">
        <f t="shared" si="16"/>
        <v>0.1124999999999999</v>
      </c>
    </row>
    <row r="202" spans="1:23" ht="13.5">
      <c r="A202" s="11" t="s">
        <v>242</v>
      </c>
      <c r="T202" s="68">
        <f t="shared" si="17"/>
        <v>1.1868703248745271</v>
      </c>
      <c r="W202" s="65">
        <f t="shared" si="16"/>
        <v>0.09999999999999991</v>
      </c>
    </row>
    <row r="203" spans="20:23" ht="13.5">
      <c r="T203" s="68">
        <f t="shared" si="17"/>
        <v>1.19931259926217</v>
      </c>
      <c r="W203" s="65">
        <f t="shared" si="16"/>
        <v>0.08749999999999991</v>
      </c>
    </row>
    <row r="204" spans="2:23" ht="13.5">
      <c r="B204" s="11" t="s">
        <v>243</v>
      </c>
      <c r="D204" s="21" t="s">
        <v>221</v>
      </c>
      <c r="E204" s="19">
        <f>E135</f>
        <v>-2.6548898892575723</v>
      </c>
      <c r="F204" s="10" t="s">
        <v>222</v>
      </c>
      <c r="T204" s="68">
        <f t="shared" si="17"/>
        <v>1.2122984061977446</v>
      </c>
      <c r="W204" s="65">
        <f t="shared" si="16"/>
        <v>0.07499999999999991</v>
      </c>
    </row>
    <row r="205" spans="2:23" ht="13.5">
      <c r="B205" s="11" t="s">
        <v>244</v>
      </c>
      <c r="D205" s="21" t="s">
        <v>224</v>
      </c>
      <c r="E205" s="10">
        <f>1000</f>
        <v>1000</v>
      </c>
      <c r="F205" s="10" t="s">
        <v>225</v>
      </c>
      <c r="T205" s="68">
        <f t="shared" si="17"/>
        <v>1.2257950088443217</v>
      </c>
      <c r="W205" s="65">
        <f t="shared" si="16"/>
        <v>0.06249999999999992</v>
      </c>
    </row>
    <row r="206" spans="2:23" ht="13.5">
      <c r="B206" s="11" t="s">
        <v>176</v>
      </c>
      <c r="D206" s="21" t="s">
        <v>177</v>
      </c>
      <c r="E206" s="10">
        <f>E188</f>
        <v>100</v>
      </c>
      <c r="F206" s="10" t="s">
        <v>158</v>
      </c>
      <c r="T206" s="68">
        <f t="shared" si="17"/>
        <v>1.2397729238905715</v>
      </c>
      <c r="W206" s="65">
        <f t="shared" si="16"/>
        <v>0.04999999999999992</v>
      </c>
    </row>
    <row r="207" spans="2:23" ht="13.5">
      <c r="B207" s="32"/>
      <c r="C207" s="32"/>
      <c r="D207" s="32"/>
      <c r="E207" s="32"/>
      <c r="F207" s="32"/>
      <c r="G207" s="32"/>
      <c r="H207" s="32"/>
      <c r="I207" s="32"/>
      <c r="T207" s="68">
        <f t="shared" si="17"/>
        <v>1.2542054975297607</v>
      </c>
      <c r="W207" s="65">
        <f t="shared" si="16"/>
        <v>0.03749999999999992</v>
      </c>
    </row>
    <row r="208" spans="2:23" ht="13.5">
      <c r="B208" s="34" t="s">
        <v>166</v>
      </c>
      <c r="C208" s="32"/>
      <c r="D208" s="32"/>
      <c r="E208" s="32"/>
      <c r="F208" s="32"/>
      <c r="G208" s="32"/>
      <c r="H208" s="32"/>
      <c r="I208" s="32"/>
      <c r="T208" s="68">
        <f t="shared" si="17"/>
        <v>1.2690685505152275</v>
      </c>
      <c r="W208" s="65">
        <f t="shared" si="16"/>
        <v>0.02499999999999992</v>
      </c>
    </row>
    <row r="209" spans="2:23" ht="15">
      <c r="B209" s="32"/>
      <c r="C209" s="32"/>
      <c r="D209" s="32"/>
      <c r="E209" s="32"/>
      <c r="F209" s="32"/>
      <c r="G209" s="32"/>
      <c r="H209" s="32"/>
      <c r="I209" s="32"/>
      <c r="T209" s="68">
        <f t="shared" si="17"/>
        <v>1.2843400788924246</v>
      </c>
      <c r="W209" s="65">
        <f t="shared" si="16"/>
        <v>0.012499999999999921</v>
      </c>
    </row>
    <row r="210" spans="2:23" ht="18">
      <c r="B210" s="32"/>
      <c r="C210" s="32"/>
      <c r="D210" s="32">
        <f>ROUND(6*ABS(E204)*1000000/(E205*E206^2),2)</f>
        <v>1.59</v>
      </c>
      <c r="E210" s="32" t="s">
        <v>167</v>
      </c>
      <c r="F210" s="35" t="str">
        <f>IF(D210&gt;=H210,"&gt;","&lt;")</f>
        <v>&lt;</v>
      </c>
      <c r="G210" s="36" t="s">
        <v>168</v>
      </c>
      <c r="H210" s="37">
        <f>H192</f>
        <v>7</v>
      </c>
      <c r="I210" s="32" t="s">
        <v>169</v>
      </c>
      <c r="T210" s="68">
        <f t="shared" si="17"/>
        <v>1.3</v>
      </c>
      <c r="W210" s="65">
        <f t="shared" si="16"/>
        <v>-7.979727989493313E-17</v>
      </c>
    </row>
    <row r="211" spans="2:23" ht="15">
      <c r="B211" s="32"/>
      <c r="C211" s="32"/>
      <c r="D211" s="32"/>
      <c r="E211" s="32"/>
      <c r="F211" s="32"/>
      <c r="G211" s="38"/>
      <c r="H211" s="32"/>
      <c r="I211" s="32"/>
      <c r="T211" s="68">
        <f t="shared" si="17"/>
        <v>1.1</v>
      </c>
      <c r="W211" s="65">
        <v>0</v>
      </c>
    </row>
    <row r="212" spans="2:24" ht="13.5">
      <c r="B212" s="32"/>
      <c r="C212" s="32"/>
      <c r="D212" s="32"/>
      <c r="E212" s="32"/>
      <c r="F212" s="32"/>
      <c r="G212" s="38"/>
      <c r="H212" s="32"/>
      <c r="I212" s="35" t="str">
        <f>IF(D210&gt;=H210,"OUT","SAFE")</f>
        <v>SAFE</v>
      </c>
      <c r="T212" s="65">
        <f>0</f>
        <v>0</v>
      </c>
      <c r="X212" s="65">
        <f>W190</f>
        <v>0.25</v>
      </c>
    </row>
    <row r="213" spans="2:24" ht="13.5">
      <c r="B213" s="34" t="s">
        <v>178</v>
      </c>
      <c r="C213" s="32"/>
      <c r="D213" s="32"/>
      <c r="E213" s="32"/>
      <c r="F213" s="32"/>
      <c r="G213" s="38"/>
      <c r="H213" s="32"/>
      <c r="I213" s="32"/>
      <c r="T213" s="65">
        <f>0</f>
        <v>0</v>
      </c>
      <c r="X213" s="65">
        <f>0</f>
        <v>0</v>
      </c>
    </row>
    <row r="214" spans="2:24" ht="15">
      <c r="B214" s="32"/>
      <c r="C214" s="32"/>
      <c r="D214" s="32"/>
      <c r="E214" s="32"/>
      <c r="F214" s="32"/>
      <c r="G214" s="38"/>
      <c r="H214" s="32"/>
      <c r="I214" s="32"/>
      <c r="T214" s="65">
        <f>T190</f>
        <v>1.1</v>
      </c>
      <c r="X214" s="65">
        <f>0</f>
        <v>0</v>
      </c>
    </row>
    <row r="215" spans="2:24" ht="18">
      <c r="B215" s="32"/>
      <c r="C215" s="32"/>
      <c r="D215" s="32">
        <f>ROUND(-6*ABS(E204)*1000000/(E205*E206^2),2)</f>
        <v>-1.59</v>
      </c>
      <c r="E215" s="32" t="s">
        <v>171</v>
      </c>
      <c r="F215" s="35" t="str">
        <f>IF(D215&gt;=H215,"&gt;","&lt;")</f>
        <v>&lt;</v>
      </c>
      <c r="G215" s="36" t="s">
        <v>172</v>
      </c>
      <c r="H215" s="37">
        <f>H197</f>
        <v>0</v>
      </c>
      <c r="I215" s="32" t="s">
        <v>171</v>
      </c>
      <c r="T215" s="65">
        <f>T214</f>
        <v>1.1</v>
      </c>
      <c r="X215" s="65">
        <f>X212</f>
        <v>0.25</v>
      </c>
    </row>
    <row r="216" spans="2:9" ht="15">
      <c r="B216" s="32"/>
      <c r="C216" s="32"/>
      <c r="D216" s="32"/>
      <c r="E216" s="32"/>
      <c r="F216" s="32"/>
      <c r="G216" s="32"/>
      <c r="H216" s="32"/>
      <c r="I216" s="32"/>
    </row>
    <row r="217" ht="13.5">
      <c r="I217" s="35" t="str">
        <f>IF(D215&lt;=H215,"OUT","SAFE")</f>
        <v>OUT</v>
      </c>
    </row>
    <row r="218" spans="2:9" ht="13.5">
      <c r="B218" s="34"/>
      <c r="C218" s="32"/>
      <c r="D218" s="32"/>
      <c r="E218" s="32"/>
      <c r="F218" s="32"/>
      <c r="G218" s="32"/>
      <c r="H218" s="32"/>
      <c r="I218" s="32"/>
    </row>
    <row r="219" spans="2:9" ht="13.5">
      <c r="B219" s="32"/>
      <c r="C219" s="32"/>
      <c r="D219" s="32"/>
      <c r="E219" s="32"/>
      <c r="F219" s="32"/>
      <c r="G219" s="32"/>
      <c r="H219" s="32"/>
      <c r="I219" s="32"/>
    </row>
    <row r="220" spans="2:9" ht="13.5">
      <c r="B220" s="32"/>
      <c r="C220" s="32"/>
      <c r="D220" s="32"/>
      <c r="E220" s="32"/>
      <c r="F220" s="35"/>
      <c r="G220" s="36"/>
      <c r="H220" s="37"/>
      <c r="I220" s="32"/>
    </row>
    <row r="221" spans="2:9" ht="13.5">
      <c r="B221" s="32"/>
      <c r="C221" s="32"/>
      <c r="D221" s="32"/>
      <c r="E221" s="32"/>
      <c r="F221" s="32"/>
      <c r="G221" s="38"/>
      <c r="H221" s="32"/>
      <c r="I221" s="32"/>
    </row>
    <row r="222" spans="2:9" ht="13.5">
      <c r="B222" s="32"/>
      <c r="C222" s="32"/>
      <c r="D222" s="32"/>
      <c r="E222" s="32"/>
      <c r="F222" s="32"/>
      <c r="G222" s="38"/>
      <c r="H222" s="32"/>
      <c r="I222" s="35"/>
    </row>
    <row r="223" spans="2:9" ht="13.5">
      <c r="B223" s="34"/>
      <c r="C223" s="32"/>
      <c r="D223" s="32"/>
      <c r="E223" s="32"/>
      <c r="F223" s="32"/>
      <c r="G223" s="38"/>
      <c r="H223" s="32"/>
      <c r="I223" s="32"/>
    </row>
    <row r="224" spans="2:9" ht="13.5">
      <c r="B224" s="32"/>
      <c r="C224" s="32"/>
      <c r="D224" s="32"/>
      <c r="E224" s="32"/>
      <c r="F224" s="32"/>
      <c r="G224" s="38"/>
      <c r="H224" s="32"/>
      <c r="I224" s="32"/>
    </row>
    <row r="225" spans="2:9" ht="13.5">
      <c r="B225" s="32"/>
      <c r="C225" s="32"/>
      <c r="D225" s="32"/>
      <c r="E225" s="32"/>
      <c r="F225" s="35"/>
      <c r="G225" s="36"/>
      <c r="H225" s="39"/>
      <c r="I225" s="32"/>
    </row>
    <row r="226" spans="2:9" ht="13.5">
      <c r="B226" s="32"/>
      <c r="C226" s="32"/>
      <c r="D226" s="32"/>
      <c r="E226" s="32"/>
      <c r="F226" s="32"/>
      <c r="G226" s="32"/>
      <c r="H226" s="32"/>
      <c r="I226" s="32"/>
    </row>
    <row r="227" spans="2:9" ht="13.5">
      <c r="B227" s="32"/>
      <c r="C227" s="32"/>
      <c r="D227" s="32"/>
      <c r="E227" s="32"/>
      <c r="F227" s="32"/>
      <c r="G227" s="32"/>
      <c r="H227" s="32"/>
      <c r="I227" s="35"/>
    </row>
  </sheetData>
  <sheetProtection/>
  <mergeCells count="2">
    <mergeCell ref="B123:C123"/>
    <mergeCell ref="D123:E123"/>
  </mergeCells>
  <printOptions/>
  <pageMargins left="0.75" right="0.75" top="1" bottom="1" header="0.512" footer="0.512"/>
  <pageSetup horizontalDpi="600" verticalDpi="600" orientation="portrait" paperSize="9" r:id="rId3"/>
  <headerFooter alignWithMargins="0">
    <oddHeader>&amp;CU型側溝の設計</oddHeader>
    <oddFooter>&amp;C&amp;P</oddFooter>
  </headerFooter>
  <rowBreaks count="5" manualBreakCount="5">
    <brk id="40" max="255" man="1"/>
    <brk id="76" max="255" man="1"/>
    <brk id="112" max="255" man="1"/>
    <brk id="164" max="255" man="1"/>
    <brk id="201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P109"/>
  <sheetViews>
    <sheetView zoomScalePageLayoutView="0" workbookViewId="0" topLeftCell="C1">
      <selection activeCell="L25" sqref="L25"/>
    </sheetView>
  </sheetViews>
  <sheetFormatPr defaultColWidth="9.00390625" defaultRowHeight="12.75"/>
  <sheetData>
    <row r="3" spans="2:6" ht="12.75">
      <c r="B3" t="s">
        <v>0</v>
      </c>
      <c r="C3" t="s">
        <v>1</v>
      </c>
      <c r="D3" s="1" t="s">
        <v>2</v>
      </c>
      <c r="E3" s="3">
        <v>3</v>
      </c>
      <c r="F3" t="s">
        <v>3</v>
      </c>
    </row>
    <row r="4" spans="3:15" ht="12.75">
      <c r="C4" t="s">
        <v>4</v>
      </c>
      <c r="D4" s="1" t="s">
        <v>5</v>
      </c>
      <c r="E4" s="3">
        <v>2</v>
      </c>
      <c r="F4" t="s">
        <v>3</v>
      </c>
      <c r="J4" t="s">
        <v>6</v>
      </c>
      <c r="K4" t="s">
        <v>7</v>
      </c>
      <c r="L4" t="s">
        <v>8</v>
      </c>
      <c r="M4" t="s">
        <v>8</v>
      </c>
      <c r="N4" t="s">
        <v>9</v>
      </c>
      <c r="O4" t="s">
        <v>9</v>
      </c>
    </row>
    <row r="5" spans="3:11" ht="12.75">
      <c r="C5" t="s">
        <v>10</v>
      </c>
      <c r="D5" s="1" t="s">
        <v>11</v>
      </c>
      <c r="E5" s="3">
        <v>0.3</v>
      </c>
      <c r="F5" t="s">
        <v>3</v>
      </c>
      <c r="J5">
        <f>E4</f>
        <v>2</v>
      </c>
      <c r="K5">
        <f>L14</f>
        <v>2.3</v>
      </c>
    </row>
    <row r="6" spans="3:11" ht="12.75">
      <c r="C6" t="s">
        <v>12</v>
      </c>
      <c r="D6" s="1" t="s">
        <v>13</v>
      </c>
      <c r="E6" s="3">
        <v>0.3</v>
      </c>
      <c r="F6" t="s">
        <v>3</v>
      </c>
      <c r="J6">
        <f>J5</f>
        <v>2</v>
      </c>
      <c r="K6">
        <v>0</v>
      </c>
    </row>
    <row r="7" spans="2:11" ht="12.75">
      <c r="B7" t="s">
        <v>9</v>
      </c>
      <c r="D7" s="1" t="s">
        <v>14</v>
      </c>
      <c r="E7" s="3">
        <v>1</v>
      </c>
      <c r="F7" t="s">
        <v>15</v>
      </c>
      <c r="J7">
        <f>E4+2*E5+E3</f>
        <v>5.6</v>
      </c>
      <c r="K7">
        <f>0</f>
        <v>0</v>
      </c>
    </row>
    <row r="8" spans="2:11" ht="13.5">
      <c r="B8" t="s">
        <v>16</v>
      </c>
      <c r="C8" t="s">
        <v>17</v>
      </c>
      <c r="D8" s="2" t="s">
        <v>18</v>
      </c>
      <c r="E8" s="3">
        <v>2</v>
      </c>
      <c r="F8" t="s">
        <v>19</v>
      </c>
      <c r="J8">
        <f>J7</f>
        <v>5.6</v>
      </c>
      <c r="K8">
        <f>K5</f>
        <v>2.3</v>
      </c>
    </row>
    <row r="9" spans="3:11" ht="13.5">
      <c r="C9" t="s">
        <v>20</v>
      </c>
      <c r="D9" s="2" t="s">
        <v>21</v>
      </c>
      <c r="E9" s="3">
        <v>35</v>
      </c>
      <c r="F9" t="s">
        <v>22</v>
      </c>
      <c r="J9">
        <f>J8-E5</f>
        <v>5.3</v>
      </c>
      <c r="K9">
        <f>K8</f>
        <v>2.3</v>
      </c>
    </row>
    <row r="10" spans="2:11" ht="13.5">
      <c r="B10" t="s">
        <v>23</v>
      </c>
      <c r="C10" t="s">
        <v>17</v>
      </c>
      <c r="D10" s="2" t="s">
        <v>24</v>
      </c>
      <c r="E10" s="3">
        <v>2.5</v>
      </c>
      <c r="F10" t="s">
        <v>19</v>
      </c>
      <c r="J10">
        <f>J9</f>
        <v>5.3</v>
      </c>
      <c r="K10">
        <f>E6</f>
        <v>0.3</v>
      </c>
    </row>
    <row r="11" spans="10:11" ht="12.75">
      <c r="J11">
        <f>J10-E3</f>
        <v>2.3</v>
      </c>
      <c r="K11">
        <f>K10</f>
        <v>0.3</v>
      </c>
    </row>
    <row r="12" spans="10:11" ht="12.75">
      <c r="J12">
        <f>J11</f>
        <v>2.3</v>
      </c>
      <c r="K12">
        <f>K9</f>
        <v>2.3</v>
      </c>
    </row>
    <row r="13" spans="10:11" ht="12.75">
      <c r="J13">
        <f>J6</f>
        <v>2</v>
      </c>
      <c r="K13">
        <f>K12</f>
        <v>2.3</v>
      </c>
    </row>
    <row r="14" spans="10:12" ht="12.75">
      <c r="J14">
        <v>0</v>
      </c>
      <c r="L14">
        <f>E4+E6</f>
        <v>2.3</v>
      </c>
    </row>
    <row r="15" spans="10:12" ht="12.75">
      <c r="J15">
        <f>E4</f>
        <v>2</v>
      </c>
      <c r="L15">
        <f>L14</f>
        <v>2.3</v>
      </c>
    </row>
    <row r="16" spans="10:13" ht="12.75">
      <c r="J16">
        <f>J7</f>
        <v>5.6</v>
      </c>
      <c r="M16">
        <f>L15</f>
        <v>2.3</v>
      </c>
    </row>
    <row r="17" spans="10:13" ht="12.75">
      <c r="J17">
        <f>J16+E4</f>
        <v>7.6</v>
      </c>
      <c r="M17">
        <f>M16</f>
        <v>2.3</v>
      </c>
    </row>
    <row r="18" spans="10:14" ht="12.75">
      <c r="J18">
        <f>J14</f>
        <v>0</v>
      </c>
      <c r="N18">
        <f>L14+E7/E8</f>
        <v>2.8</v>
      </c>
    </row>
    <row r="19" spans="10:14" ht="12.75">
      <c r="J19">
        <f>J15</f>
        <v>2</v>
      </c>
      <c r="N19">
        <f>N18</f>
        <v>2.8</v>
      </c>
    </row>
    <row r="20" spans="10:14" ht="12.75">
      <c r="J20">
        <f>J19</f>
        <v>2</v>
      </c>
      <c r="N20">
        <f>M16</f>
        <v>2.3</v>
      </c>
    </row>
    <row r="21" spans="10:15" ht="12.75">
      <c r="J21">
        <f>J7</f>
        <v>5.6</v>
      </c>
      <c r="O21">
        <f>N20</f>
        <v>2.3</v>
      </c>
    </row>
    <row r="22" spans="10:15" ht="12.75">
      <c r="J22">
        <f>J21</f>
        <v>5.6</v>
      </c>
      <c r="O22">
        <f>N19</f>
        <v>2.8</v>
      </c>
    </row>
    <row r="23" spans="10:15" ht="12.75">
      <c r="J23">
        <f>J17</f>
        <v>7.6</v>
      </c>
      <c r="O23">
        <f>O22</f>
        <v>2.8</v>
      </c>
    </row>
    <row r="29" spans="2:6" ht="12.75">
      <c r="B29" t="s">
        <v>25</v>
      </c>
      <c r="C29" t="s">
        <v>26</v>
      </c>
      <c r="D29" t="s">
        <v>27</v>
      </c>
      <c r="E29">
        <f>E4+E6/2</f>
        <v>2.15</v>
      </c>
      <c r="F29" t="s">
        <v>3</v>
      </c>
    </row>
    <row r="30" spans="3:6" ht="12.75">
      <c r="C30" t="s">
        <v>28</v>
      </c>
      <c r="D30" t="s">
        <v>29</v>
      </c>
      <c r="E30">
        <f>E3+E5</f>
        <v>3.3</v>
      </c>
      <c r="F30" t="s">
        <v>3</v>
      </c>
    </row>
    <row r="32" spans="2:4" ht="12.75">
      <c r="B32" s="1" t="s">
        <v>30</v>
      </c>
      <c r="C32" t="s">
        <v>31</v>
      </c>
      <c r="D32">
        <f>(TAN(PI()/4-E9*PI()/180/2))^2</f>
        <v>0.2709900541201443</v>
      </c>
    </row>
    <row r="33" spans="2:5" ht="12.75">
      <c r="B33" s="1" t="s">
        <v>32</v>
      </c>
      <c r="C33" t="s">
        <v>33</v>
      </c>
      <c r="D33">
        <f>E29*E5*E10</f>
        <v>1.6124999999999998</v>
      </c>
      <c r="E33" t="s">
        <v>34</v>
      </c>
    </row>
    <row r="34" spans="2:5" ht="12.75">
      <c r="B34" s="1" t="s">
        <v>35</v>
      </c>
      <c r="C34" t="s">
        <v>14</v>
      </c>
      <c r="D34">
        <f>2*D33/E30</f>
        <v>0.9772727272727272</v>
      </c>
      <c r="E34" t="s">
        <v>15</v>
      </c>
    </row>
    <row r="36" ht="12.75">
      <c r="B36" t="s">
        <v>36</v>
      </c>
    </row>
    <row r="37" spans="3:13" ht="12.75">
      <c r="C37" t="s">
        <v>37</v>
      </c>
      <c r="F37" t="s">
        <v>38</v>
      </c>
      <c r="L37" s="1" t="s">
        <v>39</v>
      </c>
      <c r="M37" s="3">
        <v>1</v>
      </c>
    </row>
    <row r="38" spans="3:13" ht="12.75">
      <c r="C38" t="s">
        <v>40</v>
      </c>
      <c r="D38" t="s">
        <v>41</v>
      </c>
      <c r="F38" t="s">
        <v>6</v>
      </c>
      <c r="G38" t="s">
        <v>42</v>
      </c>
      <c r="L38" t="s">
        <v>6</v>
      </c>
      <c r="M38" t="s">
        <v>43</v>
      </c>
    </row>
    <row r="39" spans="3:13" ht="12.75">
      <c r="C39">
        <v>0</v>
      </c>
      <c r="D39">
        <f>-1/6*$E$8*C39^3*$D$32+1/2*$D$32*$E$7*C39^2</f>
        <v>0</v>
      </c>
      <c r="F39">
        <v>0</v>
      </c>
      <c r="G39">
        <f>D59</f>
        <v>-1.5240593556239457</v>
      </c>
      <c r="L39">
        <f>D39*$M$37</f>
        <v>0</v>
      </c>
      <c r="M39">
        <f>E29</f>
        <v>2.15</v>
      </c>
    </row>
    <row r="40" spans="3:13" ht="12.75">
      <c r="C40">
        <f>C39+$E$29/20</f>
        <v>0.1075</v>
      </c>
      <c r="D40">
        <f>-(1/6*$E$8*C40^3*$D$32+1/2*$D$32*$E$7*C40^2)</f>
        <v>-0.0016780311055928042</v>
      </c>
      <c r="F40">
        <f>F39+$E$30/20</f>
        <v>0.16499999999999998</v>
      </c>
      <c r="G40">
        <f>$G$39+$D$33*F40-1/2*$D$34*F40^2</f>
        <v>-1.2712999806239458</v>
      </c>
      <c r="L40">
        <f aca="true" t="shared" si="0" ref="L40:L55">D40*$M$37</f>
        <v>-0.0016780311055928042</v>
      </c>
      <c r="M40">
        <f>M39-$M$39/20</f>
        <v>2.0425</v>
      </c>
    </row>
    <row r="41" spans="3:13" ht="12.75">
      <c r="C41">
        <f aca="true" t="shared" si="1" ref="C41:C56">C40+$E$29/20</f>
        <v>0.215</v>
      </c>
      <c r="D41">
        <f aca="true" t="shared" si="2" ref="D41:D56">-(1/6*$E$8*C41^3*$D$32+1/2*$D$32*$E$7*C41^2)</f>
        <v>-0.007160991218890598</v>
      </c>
      <c r="F41">
        <f aca="true" t="shared" si="3" ref="F41:F56">F40+$E$30/20</f>
        <v>0.32999999999999996</v>
      </c>
      <c r="G41">
        <f aca="true" t="shared" si="4" ref="G41:G56">$G$39+$D$33*F41-1/2*$D$34*F41^2</f>
        <v>-1.0451468556239458</v>
      </c>
      <c r="L41">
        <f t="shared" si="0"/>
        <v>-0.007160991218890598</v>
      </c>
      <c r="M41">
        <f aca="true" t="shared" si="5" ref="M41:M56">M40-$M$39/20</f>
        <v>1.935</v>
      </c>
    </row>
    <row r="42" spans="3:13" ht="12.75">
      <c r="C42">
        <f t="shared" si="1"/>
        <v>0.3225</v>
      </c>
      <c r="D42">
        <f t="shared" si="2"/>
        <v>-0.017122180534672456</v>
      </c>
      <c r="F42">
        <f t="shared" si="3"/>
        <v>0.49499999999999994</v>
      </c>
      <c r="G42">
        <f t="shared" si="4"/>
        <v>-0.8455999806239458</v>
      </c>
      <c r="L42">
        <f t="shared" si="0"/>
        <v>-0.017122180534672456</v>
      </c>
      <c r="M42">
        <f t="shared" si="5"/>
        <v>1.8275000000000001</v>
      </c>
    </row>
    <row r="43" spans="3:13" ht="12.75">
      <c r="C43">
        <f t="shared" si="1"/>
        <v>0.43</v>
      </c>
      <c r="D43">
        <f t="shared" si="2"/>
        <v>-0.03223489924771744</v>
      </c>
      <c r="F43">
        <f t="shared" si="3"/>
        <v>0.6599999999999999</v>
      </c>
      <c r="G43">
        <f t="shared" si="4"/>
        <v>-0.672659355623946</v>
      </c>
      <c r="L43">
        <f t="shared" si="0"/>
        <v>-0.03223489924771744</v>
      </c>
      <c r="M43">
        <f t="shared" si="5"/>
        <v>1.7200000000000002</v>
      </c>
    </row>
    <row r="44" spans="3:13" ht="12.75">
      <c r="C44">
        <f t="shared" si="1"/>
        <v>0.5375</v>
      </c>
      <c r="D44">
        <f t="shared" si="2"/>
        <v>-0.05317244755280464</v>
      </c>
      <c r="F44">
        <f t="shared" si="3"/>
        <v>0.825</v>
      </c>
      <c r="G44">
        <f t="shared" si="4"/>
        <v>-0.5263249806239458</v>
      </c>
      <c r="L44">
        <f t="shared" si="0"/>
        <v>-0.05317244755280464</v>
      </c>
      <c r="M44">
        <f t="shared" si="5"/>
        <v>1.6125000000000003</v>
      </c>
    </row>
    <row r="45" spans="3:13" ht="12.75">
      <c r="C45">
        <f t="shared" si="1"/>
        <v>0.645</v>
      </c>
      <c r="D45">
        <f t="shared" si="2"/>
        <v>-0.08060812564471313</v>
      </c>
      <c r="F45">
        <f t="shared" si="3"/>
        <v>0.99</v>
      </c>
      <c r="G45">
        <f t="shared" si="4"/>
        <v>-0.40659685562394576</v>
      </c>
      <c r="L45">
        <f t="shared" si="0"/>
        <v>-0.08060812564471313</v>
      </c>
      <c r="M45">
        <f t="shared" si="5"/>
        <v>1.5050000000000003</v>
      </c>
    </row>
    <row r="46" spans="3:13" ht="12.75">
      <c r="C46">
        <f t="shared" si="1"/>
        <v>0.7525000000000001</v>
      </c>
      <c r="D46">
        <f t="shared" si="2"/>
        <v>-0.11521523371822198</v>
      </c>
      <c r="F46">
        <f t="shared" si="3"/>
        <v>1.155</v>
      </c>
      <c r="G46">
        <f t="shared" si="4"/>
        <v>-0.31347498062394585</v>
      </c>
      <c r="L46">
        <f t="shared" si="0"/>
        <v>-0.11521523371822198</v>
      </c>
      <c r="M46">
        <f t="shared" si="5"/>
        <v>1.3975000000000004</v>
      </c>
    </row>
    <row r="47" spans="3:13" ht="12.75">
      <c r="C47">
        <f t="shared" si="1"/>
        <v>0.8600000000000001</v>
      </c>
      <c r="D47">
        <f t="shared" si="2"/>
        <v>-0.15766707196811025</v>
      </c>
      <c r="F47">
        <f t="shared" si="3"/>
        <v>1.32</v>
      </c>
      <c r="G47">
        <f t="shared" si="4"/>
        <v>-0.2469593556239459</v>
      </c>
      <c r="L47">
        <f t="shared" si="0"/>
        <v>-0.15766707196811025</v>
      </c>
      <c r="M47">
        <f t="shared" si="5"/>
        <v>1.2900000000000005</v>
      </c>
    </row>
    <row r="48" spans="3:13" ht="12.75">
      <c r="C48">
        <f t="shared" si="1"/>
        <v>0.9675000000000001</v>
      </c>
      <c r="D48">
        <f t="shared" si="2"/>
        <v>-0.20863694058915705</v>
      </c>
      <c r="F48">
        <f t="shared" si="3"/>
        <v>1.485</v>
      </c>
      <c r="G48">
        <f t="shared" si="4"/>
        <v>-0.20704998062394608</v>
      </c>
      <c r="L48">
        <f t="shared" si="0"/>
        <v>-0.20863694058915705</v>
      </c>
      <c r="M48">
        <f t="shared" si="5"/>
        <v>1.1825000000000006</v>
      </c>
    </row>
    <row r="49" spans="3:13" ht="12.75">
      <c r="C49">
        <f t="shared" si="1"/>
        <v>1.0750000000000002</v>
      </c>
      <c r="D49">
        <f t="shared" si="2"/>
        <v>-0.26879813977614136</v>
      </c>
      <c r="F49">
        <f t="shared" si="3"/>
        <v>1.6500000000000001</v>
      </c>
      <c r="G49">
        <f t="shared" si="4"/>
        <v>-0.1937468556239459</v>
      </c>
      <c r="L49">
        <f t="shared" si="0"/>
        <v>-0.26879813977614136</v>
      </c>
      <c r="M49">
        <f t="shared" si="5"/>
        <v>1.0750000000000006</v>
      </c>
    </row>
    <row r="50" spans="3:13" ht="12.75">
      <c r="C50">
        <f t="shared" si="1"/>
        <v>1.1825</v>
      </c>
      <c r="D50">
        <f t="shared" si="2"/>
        <v>-0.3388239697238423</v>
      </c>
      <c r="F50">
        <f t="shared" si="3"/>
        <v>1.8150000000000002</v>
      </c>
      <c r="G50">
        <f t="shared" si="4"/>
        <v>-0.20704998062394586</v>
      </c>
      <c r="L50">
        <f t="shared" si="0"/>
        <v>-0.3388239697238423</v>
      </c>
      <c r="M50">
        <f t="shared" si="5"/>
        <v>0.9675000000000006</v>
      </c>
    </row>
    <row r="51" spans="3:13" ht="12.75">
      <c r="C51">
        <f t="shared" si="1"/>
        <v>1.29</v>
      </c>
      <c r="D51">
        <f t="shared" si="2"/>
        <v>-0.41938773062703893</v>
      </c>
      <c r="F51">
        <f t="shared" si="3"/>
        <v>1.9800000000000002</v>
      </c>
      <c r="G51">
        <f t="shared" si="4"/>
        <v>-0.24695935562394578</v>
      </c>
      <c r="L51">
        <f t="shared" si="0"/>
        <v>-0.41938773062703893</v>
      </c>
      <c r="M51">
        <f t="shared" si="5"/>
        <v>0.8600000000000005</v>
      </c>
    </row>
    <row r="52" spans="3:13" ht="12.75">
      <c r="C52">
        <f t="shared" si="1"/>
        <v>1.3975</v>
      </c>
      <c r="D52">
        <f t="shared" si="2"/>
        <v>-0.5111627226805102</v>
      </c>
      <c r="F52">
        <f t="shared" si="3"/>
        <v>2.145</v>
      </c>
      <c r="G52">
        <f t="shared" si="4"/>
        <v>-0.31347498062394585</v>
      </c>
      <c r="L52">
        <f t="shared" si="0"/>
        <v>-0.5111627226805102</v>
      </c>
      <c r="M52">
        <f t="shared" si="5"/>
        <v>0.7525000000000005</v>
      </c>
    </row>
    <row r="53" spans="3:13" ht="12.75">
      <c r="C53">
        <f t="shared" si="1"/>
        <v>1.505</v>
      </c>
      <c r="D53">
        <f t="shared" si="2"/>
        <v>-0.6148222460790356</v>
      </c>
      <c r="F53">
        <f t="shared" si="3"/>
        <v>2.31</v>
      </c>
      <c r="G53">
        <f t="shared" si="4"/>
        <v>-0.4065968556239459</v>
      </c>
      <c r="L53">
        <f t="shared" si="0"/>
        <v>-0.6148222460790356</v>
      </c>
      <c r="M53">
        <f t="shared" si="5"/>
        <v>0.6450000000000005</v>
      </c>
    </row>
    <row r="54" spans="3:13" ht="12.75">
      <c r="C54">
        <f t="shared" si="1"/>
        <v>1.6124999999999998</v>
      </c>
      <c r="D54">
        <f t="shared" si="2"/>
        <v>-0.7310396010173937</v>
      </c>
      <c r="F54">
        <f t="shared" si="3"/>
        <v>2.475</v>
      </c>
      <c r="G54">
        <f t="shared" si="4"/>
        <v>-0.5263249806239458</v>
      </c>
      <c r="L54">
        <f t="shared" si="0"/>
        <v>-0.7310396010173937</v>
      </c>
      <c r="M54">
        <f t="shared" si="5"/>
        <v>0.5375000000000004</v>
      </c>
    </row>
    <row r="55" spans="3:13" ht="12.75">
      <c r="C55">
        <f t="shared" si="1"/>
        <v>1.7199999999999998</v>
      </c>
      <c r="D55">
        <f t="shared" si="2"/>
        <v>-0.8604880876903639</v>
      </c>
      <c r="F55">
        <f t="shared" si="3"/>
        <v>2.64</v>
      </c>
      <c r="G55">
        <f t="shared" si="4"/>
        <v>-0.6726593556239462</v>
      </c>
      <c r="L55">
        <f t="shared" si="0"/>
        <v>-0.8604880876903639</v>
      </c>
      <c r="M55">
        <f t="shared" si="5"/>
        <v>0.43000000000000044</v>
      </c>
    </row>
    <row r="56" spans="3:13" ht="12.75">
      <c r="C56">
        <f t="shared" si="1"/>
        <v>1.8274999999999997</v>
      </c>
      <c r="D56">
        <f t="shared" si="2"/>
        <v>-1.003841006292725</v>
      </c>
      <c r="F56">
        <f t="shared" si="3"/>
        <v>2.805</v>
      </c>
      <c r="G56">
        <f t="shared" si="4"/>
        <v>-0.845599980623946</v>
      </c>
      <c r="L56">
        <f>D56*$M$37</f>
        <v>-1.003841006292725</v>
      </c>
      <c r="M56">
        <f t="shared" si="5"/>
        <v>0.32250000000000045</v>
      </c>
    </row>
    <row r="57" spans="3:13" ht="12.75">
      <c r="C57">
        <f>C56+$E$29/20</f>
        <v>1.9349999999999996</v>
      </c>
      <c r="D57">
        <f>-(1/6*$E$8*C57^3*$D$32+1/2*$D$32*$E$7*C57^2)</f>
        <v>-1.1617716570192562</v>
      </c>
      <c r="F57">
        <f>F56+$E$30/20</f>
        <v>2.97</v>
      </c>
      <c r="G57">
        <f>$G$39+$D$33*F57-1/2*$D$34*F57^2</f>
        <v>-1.0451468556239467</v>
      </c>
      <c r="L57">
        <f>D57*$M$37</f>
        <v>-1.1617716570192562</v>
      </c>
      <c r="M57">
        <f>M56-$M$39/20</f>
        <v>0.21500000000000047</v>
      </c>
    </row>
    <row r="58" spans="3:13" ht="12.75">
      <c r="C58">
        <f>C57+$E$29/20</f>
        <v>2.0424999999999995</v>
      </c>
      <c r="D58">
        <f>-(1/6*$E$8*C58^3*$D$32+1/2*$D$32*$E$7*C58^2)</f>
        <v>-1.3349533400647369</v>
      </c>
      <c r="F58">
        <f>F57+$E$30/20</f>
        <v>3.1350000000000002</v>
      </c>
      <c r="G58">
        <f>$G$39+$D$33*F58-1/2*$D$34*F58^2</f>
        <v>-1.2712999806239464</v>
      </c>
      <c r="L58">
        <f>D58*$M$37</f>
        <v>-1.3349533400647369</v>
      </c>
      <c r="M58">
        <f>M57-$M$39/20</f>
        <v>0.10750000000000047</v>
      </c>
    </row>
    <row r="59" spans="3:13" ht="12.75">
      <c r="C59">
        <f>C58+$E$29/20</f>
        <v>2.1499999999999995</v>
      </c>
      <c r="D59">
        <f>-(1/6*$E$8*C59^3*$D$32+1/2*$D$32*$E$7*C59^2)</f>
        <v>-1.5240593556239457</v>
      </c>
      <c r="F59">
        <f>F58+$E$30/20</f>
        <v>3.3000000000000003</v>
      </c>
      <c r="G59">
        <f>$G$39+$D$33*F59-1/2*$D$34*F59^2</f>
        <v>-1.5240593556239466</v>
      </c>
      <c r="L59">
        <f>D59*$M$37</f>
        <v>-1.5240593556239457</v>
      </c>
      <c r="M59">
        <f>M58-$M$39/20</f>
        <v>4.718447854656915E-16</v>
      </c>
    </row>
    <row r="60" spans="12:13" ht="12.75">
      <c r="L60">
        <v>0</v>
      </c>
      <c r="M60">
        <v>0</v>
      </c>
    </row>
    <row r="61" spans="12:14" ht="12.75">
      <c r="L61">
        <v>0</v>
      </c>
      <c r="N61">
        <v>0</v>
      </c>
    </row>
    <row r="62" spans="12:14" ht="12.75">
      <c r="L62">
        <f aca="true" t="shared" si="6" ref="L62:L82">F39</f>
        <v>0</v>
      </c>
      <c r="N62">
        <f aca="true" t="shared" si="7" ref="N62:N82">G39*$M$37</f>
        <v>-1.5240593556239457</v>
      </c>
    </row>
    <row r="63" spans="12:14" ht="12.75">
      <c r="L63">
        <f t="shared" si="6"/>
        <v>0.16499999999999998</v>
      </c>
      <c r="N63">
        <f t="shared" si="7"/>
        <v>-1.2712999806239458</v>
      </c>
    </row>
    <row r="64" spans="12:14" ht="12.75">
      <c r="L64">
        <f t="shared" si="6"/>
        <v>0.32999999999999996</v>
      </c>
      <c r="N64">
        <f t="shared" si="7"/>
        <v>-1.0451468556239458</v>
      </c>
    </row>
    <row r="65" spans="12:14" ht="12.75">
      <c r="L65">
        <f t="shared" si="6"/>
        <v>0.49499999999999994</v>
      </c>
      <c r="N65">
        <f t="shared" si="7"/>
        <v>-0.8455999806239458</v>
      </c>
    </row>
    <row r="66" spans="12:14" ht="12.75">
      <c r="L66">
        <f t="shared" si="6"/>
        <v>0.6599999999999999</v>
      </c>
      <c r="N66">
        <f t="shared" si="7"/>
        <v>-0.672659355623946</v>
      </c>
    </row>
    <row r="67" spans="12:14" ht="12.75">
      <c r="L67">
        <f t="shared" si="6"/>
        <v>0.825</v>
      </c>
      <c r="N67">
        <f t="shared" si="7"/>
        <v>-0.5263249806239458</v>
      </c>
    </row>
    <row r="68" spans="12:14" ht="12.75">
      <c r="L68">
        <f t="shared" si="6"/>
        <v>0.99</v>
      </c>
      <c r="N68">
        <f t="shared" si="7"/>
        <v>-0.40659685562394576</v>
      </c>
    </row>
    <row r="69" spans="12:14" ht="12.75">
      <c r="L69">
        <f t="shared" si="6"/>
        <v>1.155</v>
      </c>
      <c r="N69">
        <f t="shared" si="7"/>
        <v>-0.31347498062394585</v>
      </c>
    </row>
    <row r="70" spans="12:14" ht="12.75">
      <c r="L70">
        <f t="shared" si="6"/>
        <v>1.32</v>
      </c>
      <c r="N70">
        <f t="shared" si="7"/>
        <v>-0.2469593556239459</v>
      </c>
    </row>
    <row r="71" spans="12:14" ht="12.75">
      <c r="L71">
        <f t="shared" si="6"/>
        <v>1.485</v>
      </c>
      <c r="N71">
        <f t="shared" si="7"/>
        <v>-0.20704998062394608</v>
      </c>
    </row>
    <row r="72" spans="12:14" ht="12.75">
      <c r="L72">
        <f t="shared" si="6"/>
        <v>1.6500000000000001</v>
      </c>
      <c r="N72">
        <f t="shared" si="7"/>
        <v>-0.1937468556239459</v>
      </c>
    </row>
    <row r="73" spans="12:14" ht="12.75">
      <c r="L73">
        <f t="shared" si="6"/>
        <v>1.8150000000000002</v>
      </c>
      <c r="N73">
        <f t="shared" si="7"/>
        <v>-0.20704998062394586</v>
      </c>
    </row>
    <row r="74" spans="12:14" ht="12.75">
      <c r="L74">
        <f t="shared" si="6"/>
        <v>1.9800000000000002</v>
      </c>
      <c r="N74">
        <f t="shared" si="7"/>
        <v>-0.24695935562394578</v>
      </c>
    </row>
    <row r="75" spans="12:14" ht="12.75">
      <c r="L75">
        <f t="shared" si="6"/>
        <v>2.145</v>
      </c>
      <c r="N75">
        <f t="shared" si="7"/>
        <v>-0.31347498062394585</v>
      </c>
    </row>
    <row r="76" spans="12:14" ht="12.75">
      <c r="L76">
        <f t="shared" si="6"/>
        <v>2.31</v>
      </c>
      <c r="N76">
        <f t="shared" si="7"/>
        <v>-0.4065968556239459</v>
      </c>
    </row>
    <row r="77" spans="12:14" ht="12.75">
      <c r="L77">
        <f t="shared" si="6"/>
        <v>2.475</v>
      </c>
      <c r="N77">
        <f t="shared" si="7"/>
        <v>-0.5263249806239458</v>
      </c>
    </row>
    <row r="78" spans="12:14" ht="12.75">
      <c r="L78">
        <f t="shared" si="6"/>
        <v>2.64</v>
      </c>
      <c r="N78">
        <f t="shared" si="7"/>
        <v>-0.6726593556239462</v>
      </c>
    </row>
    <row r="79" spans="12:14" ht="12.75">
      <c r="L79">
        <f t="shared" si="6"/>
        <v>2.805</v>
      </c>
      <c r="N79">
        <f t="shared" si="7"/>
        <v>-0.845599980623946</v>
      </c>
    </row>
    <row r="80" spans="12:14" ht="12.75">
      <c r="L80">
        <f t="shared" si="6"/>
        <v>2.97</v>
      </c>
      <c r="N80">
        <f t="shared" si="7"/>
        <v>-1.0451468556239467</v>
      </c>
    </row>
    <row r="81" spans="12:14" ht="12.75">
      <c r="L81">
        <f t="shared" si="6"/>
        <v>3.1350000000000002</v>
      </c>
      <c r="N81">
        <f t="shared" si="7"/>
        <v>-1.2712999806239464</v>
      </c>
    </row>
    <row r="82" spans="12:14" ht="12.75">
      <c r="L82">
        <f t="shared" si="6"/>
        <v>3.3000000000000003</v>
      </c>
      <c r="N82">
        <f t="shared" si="7"/>
        <v>-1.5240593556239466</v>
      </c>
    </row>
    <row r="83" spans="12:14" ht="12.75">
      <c r="L83">
        <f>L82</f>
        <v>3.3000000000000003</v>
      </c>
      <c r="N83">
        <v>0</v>
      </c>
    </row>
    <row r="84" spans="12:15" ht="12.75">
      <c r="L84">
        <f aca="true" t="shared" si="8" ref="L84:L104">$E$30-L39*$M$37</f>
        <v>3.3</v>
      </c>
      <c r="O84">
        <f aca="true" t="shared" si="9" ref="O84:O104">M39</f>
        <v>2.15</v>
      </c>
    </row>
    <row r="85" spans="12:15" ht="12.75">
      <c r="L85">
        <f t="shared" si="8"/>
        <v>3.3016780311055927</v>
      </c>
      <c r="O85">
        <f t="shared" si="9"/>
        <v>2.0425</v>
      </c>
    </row>
    <row r="86" spans="12:15" ht="12.75">
      <c r="L86">
        <f t="shared" si="8"/>
        <v>3.3071609912188906</v>
      </c>
      <c r="O86">
        <f t="shared" si="9"/>
        <v>1.935</v>
      </c>
    </row>
    <row r="87" spans="12:15" ht="12.75">
      <c r="L87">
        <f t="shared" si="8"/>
        <v>3.3171221805346724</v>
      </c>
      <c r="O87">
        <f t="shared" si="9"/>
        <v>1.8275000000000001</v>
      </c>
    </row>
    <row r="88" spans="12:15" ht="12.75">
      <c r="L88">
        <f t="shared" si="8"/>
        <v>3.3322348992477173</v>
      </c>
      <c r="O88">
        <f t="shared" si="9"/>
        <v>1.7200000000000002</v>
      </c>
    </row>
    <row r="89" spans="12:15" ht="12.75">
      <c r="L89">
        <f t="shared" si="8"/>
        <v>3.3531724475528044</v>
      </c>
      <c r="O89">
        <f t="shared" si="9"/>
        <v>1.6125000000000003</v>
      </c>
    </row>
    <row r="90" spans="12:15" ht="12.75">
      <c r="L90">
        <f t="shared" si="8"/>
        <v>3.380608125644713</v>
      </c>
      <c r="O90">
        <f t="shared" si="9"/>
        <v>1.5050000000000003</v>
      </c>
    </row>
    <row r="91" spans="12:15" ht="12.75">
      <c r="L91">
        <f t="shared" si="8"/>
        <v>3.415215233718222</v>
      </c>
      <c r="O91">
        <f t="shared" si="9"/>
        <v>1.3975000000000004</v>
      </c>
    </row>
    <row r="92" spans="12:15" ht="12.75">
      <c r="L92">
        <f t="shared" si="8"/>
        <v>3.45766707196811</v>
      </c>
      <c r="O92">
        <f t="shared" si="9"/>
        <v>1.2900000000000005</v>
      </c>
    </row>
    <row r="93" spans="12:15" ht="12.75">
      <c r="L93">
        <f t="shared" si="8"/>
        <v>3.508636940589157</v>
      </c>
      <c r="O93">
        <f t="shared" si="9"/>
        <v>1.1825000000000006</v>
      </c>
    </row>
    <row r="94" spans="12:15" ht="12.75">
      <c r="L94">
        <f t="shared" si="8"/>
        <v>3.568798139776141</v>
      </c>
      <c r="O94">
        <f t="shared" si="9"/>
        <v>1.0750000000000006</v>
      </c>
    </row>
    <row r="95" spans="12:15" ht="12.75">
      <c r="L95">
        <f t="shared" si="8"/>
        <v>3.638823969723842</v>
      </c>
      <c r="O95">
        <f t="shared" si="9"/>
        <v>0.9675000000000006</v>
      </c>
    </row>
    <row r="96" spans="12:15" ht="12.75">
      <c r="L96">
        <f t="shared" si="8"/>
        <v>3.7193877306270386</v>
      </c>
      <c r="O96">
        <f t="shared" si="9"/>
        <v>0.8600000000000005</v>
      </c>
    </row>
    <row r="97" spans="12:15" ht="12.75">
      <c r="L97">
        <f t="shared" si="8"/>
        <v>3.81116272268051</v>
      </c>
      <c r="O97">
        <f t="shared" si="9"/>
        <v>0.7525000000000005</v>
      </c>
    </row>
    <row r="98" spans="12:15" ht="12.75">
      <c r="L98">
        <f t="shared" si="8"/>
        <v>3.9148222460790354</v>
      </c>
      <c r="O98">
        <f t="shared" si="9"/>
        <v>0.6450000000000005</v>
      </c>
    </row>
    <row r="99" spans="12:15" ht="12.75">
      <c r="L99">
        <f t="shared" si="8"/>
        <v>4.031039601017394</v>
      </c>
      <c r="O99">
        <f t="shared" si="9"/>
        <v>0.5375000000000004</v>
      </c>
    </row>
    <row r="100" spans="12:15" ht="12.75">
      <c r="L100">
        <f t="shared" si="8"/>
        <v>4.160488087690363</v>
      </c>
      <c r="O100">
        <f t="shared" si="9"/>
        <v>0.43000000000000044</v>
      </c>
    </row>
    <row r="101" spans="12:15" ht="12.75">
      <c r="L101">
        <f t="shared" si="8"/>
        <v>4.303841006292725</v>
      </c>
      <c r="O101">
        <f t="shared" si="9"/>
        <v>0.32250000000000045</v>
      </c>
    </row>
    <row r="102" spans="12:15" ht="12.75">
      <c r="L102">
        <f t="shared" si="8"/>
        <v>4.461771657019256</v>
      </c>
      <c r="O102">
        <f t="shared" si="9"/>
        <v>0.21500000000000047</v>
      </c>
    </row>
    <row r="103" spans="12:15" ht="12.75">
      <c r="L103">
        <f t="shared" si="8"/>
        <v>4.634953340064737</v>
      </c>
      <c r="O103">
        <f t="shared" si="9"/>
        <v>0.10750000000000047</v>
      </c>
    </row>
    <row r="104" spans="12:15" ht="12.75">
      <c r="L104">
        <f t="shared" si="8"/>
        <v>4.8240593556239455</v>
      </c>
      <c r="O104">
        <f t="shared" si="9"/>
        <v>4.718447854656915E-16</v>
      </c>
    </row>
    <row r="105" spans="12:15" ht="12.75">
      <c r="L105">
        <f>L108</f>
        <v>3.3</v>
      </c>
      <c r="O105">
        <v>0</v>
      </c>
    </row>
    <row r="106" spans="12:16" ht="12.75">
      <c r="L106">
        <f>0</f>
        <v>0</v>
      </c>
      <c r="P106">
        <f>O84</f>
        <v>2.15</v>
      </c>
    </row>
    <row r="107" spans="12:16" ht="12.75">
      <c r="L107">
        <f>0</f>
        <v>0</v>
      </c>
      <c r="P107">
        <f>0</f>
        <v>0</v>
      </c>
    </row>
    <row r="108" spans="12:16" ht="12.75">
      <c r="L108">
        <f>L84</f>
        <v>3.3</v>
      </c>
      <c r="P108">
        <f>0</f>
        <v>0</v>
      </c>
    </row>
    <row r="109" spans="12:16" ht="12.75">
      <c r="L109">
        <f>L108</f>
        <v>3.3</v>
      </c>
      <c r="P109">
        <f>P106</f>
        <v>2.15</v>
      </c>
    </row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Z60"/>
  <sheetViews>
    <sheetView showGridLines="0" zoomScalePageLayoutView="0" workbookViewId="0" topLeftCell="A1">
      <selection activeCell="L27" sqref="L27"/>
    </sheetView>
  </sheetViews>
  <sheetFormatPr defaultColWidth="9.125" defaultRowHeight="12.75"/>
  <cols>
    <col min="1" max="2" width="9.125" style="73" customWidth="1"/>
    <col min="3" max="3" width="7.50390625" style="73" customWidth="1"/>
    <col min="4" max="4" width="9.125" style="73" customWidth="1"/>
    <col min="5" max="5" width="2.50390625" style="73" customWidth="1"/>
    <col min="6" max="6" width="3.125" style="73" customWidth="1"/>
    <col min="7" max="7" width="2.625" style="73" customWidth="1"/>
    <col min="8" max="8" width="4.50390625" style="73" customWidth="1"/>
    <col min="9" max="9" width="9.125" style="73" customWidth="1"/>
    <col min="10" max="10" width="5.125" style="73" customWidth="1"/>
    <col min="11" max="11" width="4.625" style="73" customWidth="1"/>
    <col min="12" max="13" width="9.125" style="73" customWidth="1"/>
    <col min="14" max="14" width="5.875" style="73" customWidth="1"/>
    <col min="15" max="15" width="2.625" style="73" customWidth="1"/>
    <col min="16" max="16384" width="9.125" style="73" customWidth="1"/>
  </cols>
  <sheetData>
    <row r="2" spans="18:23" ht="12.75">
      <c r="R2" s="73" t="s">
        <v>6</v>
      </c>
      <c r="S2" s="73" t="s">
        <v>7</v>
      </c>
      <c r="T2" s="73" t="s">
        <v>8</v>
      </c>
      <c r="U2" s="73" t="s">
        <v>8</v>
      </c>
      <c r="V2" s="73" t="s">
        <v>9</v>
      </c>
      <c r="W2" s="73" t="s">
        <v>9</v>
      </c>
    </row>
    <row r="3" spans="1:19" ht="12.75">
      <c r="A3" s="73">
        <v>1</v>
      </c>
      <c r="B3" s="73" t="s">
        <v>278</v>
      </c>
      <c r="M3" s="74" t="str">
        <f>'入力'!B3</f>
        <v>水路幅</v>
      </c>
      <c r="N3" s="74">
        <f>'入力'!C3</f>
        <v>1</v>
      </c>
      <c r="O3" s="73" t="s">
        <v>85</v>
      </c>
      <c r="R3" s="73">
        <v>0</v>
      </c>
      <c r="S3" s="73">
        <f>T12</f>
        <v>0.30000000000000004</v>
      </c>
    </row>
    <row r="4" spans="1:19" ht="12.75">
      <c r="A4" s="73">
        <v>2</v>
      </c>
      <c r="B4" s="73" t="s">
        <v>279</v>
      </c>
      <c r="M4" s="74" t="str">
        <f>'入力'!B4</f>
        <v>水路高</v>
      </c>
      <c r="N4" s="74">
        <f>'入力'!C4</f>
        <v>0.2</v>
      </c>
      <c r="O4" s="73" t="s">
        <v>86</v>
      </c>
      <c r="R4" s="73">
        <f>R3</f>
        <v>0</v>
      </c>
      <c r="S4" s="73">
        <v>0</v>
      </c>
    </row>
    <row r="5" spans="1:19" ht="12.75">
      <c r="A5" s="75">
        <v>1</v>
      </c>
      <c r="B5" s="75" t="str">
        <f>IF(A5=1,B3,B4)</f>
        <v>分布荷重載荷</v>
      </c>
      <c r="C5" s="76"/>
      <c r="M5" s="74" t="str">
        <f>'入力'!B5</f>
        <v>壁厚</v>
      </c>
      <c r="N5" s="74">
        <f>'入力'!C5</f>
        <v>0.1</v>
      </c>
      <c r="O5" s="73" t="s">
        <v>86</v>
      </c>
      <c r="R5" s="73">
        <f>N5*2+N3</f>
        <v>1.2</v>
      </c>
      <c r="S5" s="73">
        <f>0</f>
        <v>0</v>
      </c>
    </row>
    <row r="6" spans="13:19" ht="12.75">
      <c r="M6" s="74" t="str">
        <f>'入力'!B6</f>
        <v>底版厚</v>
      </c>
      <c r="N6" s="74">
        <f>'入力'!C6</f>
        <v>0.1</v>
      </c>
      <c r="O6" s="73" t="s">
        <v>86</v>
      </c>
      <c r="R6" s="73">
        <f>R5</f>
        <v>1.2</v>
      </c>
      <c r="S6" s="73">
        <f>S3</f>
        <v>0.30000000000000004</v>
      </c>
    </row>
    <row r="7" spans="2:19" ht="12.75">
      <c r="B7" s="73" t="s">
        <v>280</v>
      </c>
      <c r="C7" s="73" t="s">
        <v>78</v>
      </c>
      <c r="G7" s="73" t="s">
        <v>281</v>
      </c>
      <c r="H7" s="73">
        <f>'入力'!D15</f>
        <v>30</v>
      </c>
      <c r="I7" s="73" t="s">
        <v>79</v>
      </c>
      <c r="J7" s="73">
        <f>H7*PI()/180</f>
        <v>0.5235987755982988</v>
      </c>
      <c r="K7" s="73" t="s">
        <v>80</v>
      </c>
      <c r="R7" s="73">
        <f>R6-'分布鉄筋'!D5</f>
        <v>1.0999999999999999</v>
      </c>
      <c r="S7" s="73">
        <f>S6</f>
        <v>0.30000000000000004</v>
      </c>
    </row>
    <row r="8" spans="1:19" ht="12.75">
      <c r="A8" s="73">
        <v>1</v>
      </c>
      <c r="B8" s="73" t="s">
        <v>282</v>
      </c>
      <c r="C8" s="73">
        <f>ROUND(TAN(PI()/4-J7/2)^2,3)</f>
        <v>0.333</v>
      </c>
      <c r="D8" s="73" t="s">
        <v>282</v>
      </c>
      <c r="M8" s="73" t="str">
        <f>'入力'!C8</f>
        <v>q=</v>
      </c>
      <c r="N8" s="73">
        <f>'入力'!D8</f>
        <v>10</v>
      </c>
      <c r="O8" s="73" t="s">
        <v>283</v>
      </c>
      <c r="R8" s="73">
        <f>R7</f>
        <v>1.0999999999999999</v>
      </c>
      <c r="S8" s="73">
        <f>'分布鉄筋'!D6</f>
        <v>0.1</v>
      </c>
    </row>
    <row r="9" spans="1:19" ht="12.75">
      <c r="A9" s="73">
        <v>2</v>
      </c>
      <c r="B9" s="73" t="s">
        <v>284</v>
      </c>
      <c r="C9" s="73">
        <v>0.5</v>
      </c>
      <c r="D9" s="73" t="s">
        <v>132</v>
      </c>
      <c r="M9" s="73" t="str">
        <f>'入力'!C9</f>
        <v>T=</v>
      </c>
      <c r="N9" s="73">
        <f>'入力'!D9</f>
        <v>50</v>
      </c>
      <c r="O9" s="73" t="s">
        <v>285</v>
      </c>
      <c r="R9" s="73">
        <f>R8-'分布鉄筋'!D3</f>
        <v>0.09999999999999987</v>
      </c>
      <c r="S9" s="73">
        <f>S8</f>
        <v>0.1</v>
      </c>
    </row>
    <row r="10" spans="1:19" ht="12.75">
      <c r="A10" s="73">
        <v>3</v>
      </c>
      <c r="B10" s="73" t="s">
        <v>286</v>
      </c>
      <c r="C10" s="73">
        <f>1-SIN(J7)</f>
        <v>0.5</v>
      </c>
      <c r="D10" s="73" t="s">
        <v>287</v>
      </c>
      <c r="M10" s="73" t="str">
        <f>'入力'!C10</f>
        <v>a=</v>
      </c>
      <c r="N10" s="73">
        <f>'入力'!D10</f>
        <v>0.2</v>
      </c>
      <c r="O10" s="73" t="s">
        <v>288</v>
      </c>
      <c r="R10" s="73">
        <f>R9</f>
        <v>0.09999999999999987</v>
      </c>
      <c r="S10" s="73">
        <f>S7</f>
        <v>0.30000000000000004</v>
      </c>
    </row>
    <row r="11" spans="1:19" ht="12.75">
      <c r="A11" s="75">
        <v>1</v>
      </c>
      <c r="B11" s="75" t="str">
        <f>IF($A11=1,B8,IF($A11=2,B9,B10))</f>
        <v>主働土圧</v>
      </c>
      <c r="C11" s="75">
        <f>IF($A11=1,C8,IF($A11=2,C9,C10))</f>
        <v>0.333</v>
      </c>
      <c r="D11" s="75" t="str">
        <f>IF($A11=1,D8,IF($A11=2,D9,D10))</f>
        <v>主働土圧</v>
      </c>
      <c r="M11" s="73" t="str">
        <f>'入力'!C11</f>
        <v>b=</v>
      </c>
      <c r="N11" s="73">
        <f>'入力'!D11</f>
        <v>0.5</v>
      </c>
      <c r="O11" s="73" t="s">
        <v>288</v>
      </c>
      <c r="R11" s="73">
        <f>R4</f>
        <v>0</v>
      </c>
      <c r="S11" s="73">
        <f>S10</f>
        <v>0.30000000000000004</v>
      </c>
    </row>
    <row r="12" spans="18:20" ht="12.75">
      <c r="R12" s="74">
        <f>-N3</f>
        <v>-1</v>
      </c>
      <c r="T12" s="73">
        <f>'分布鉄筋'!D4+'分布鉄筋'!D6</f>
        <v>0.30000000000000004</v>
      </c>
    </row>
    <row r="13" spans="4:20" ht="12.75">
      <c r="D13" s="73" t="s">
        <v>289</v>
      </c>
      <c r="F13" s="73" t="s">
        <v>290</v>
      </c>
      <c r="G13" s="73" t="s">
        <v>291</v>
      </c>
      <c r="H13" s="73" t="s">
        <v>292</v>
      </c>
      <c r="I13" s="73" t="s">
        <v>293</v>
      </c>
      <c r="K13" s="73" t="s">
        <v>294</v>
      </c>
      <c r="R13" s="73">
        <v>0</v>
      </c>
      <c r="T13" s="73">
        <f>T12</f>
        <v>0.30000000000000004</v>
      </c>
    </row>
    <row r="14" spans="1:21" ht="12.75">
      <c r="A14" s="73">
        <v>1</v>
      </c>
      <c r="B14" s="73" t="s">
        <v>295</v>
      </c>
      <c r="D14" s="73">
        <v>24.5</v>
      </c>
      <c r="F14" s="73">
        <f>I14/3</f>
        <v>7</v>
      </c>
      <c r="G14" s="73">
        <v>0</v>
      </c>
      <c r="H14" s="73">
        <f>I14/100+0.15</f>
        <v>0.36</v>
      </c>
      <c r="I14" s="73">
        <f>'入力'!E21</f>
        <v>21</v>
      </c>
      <c r="K14" s="73">
        <v>160</v>
      </c>
      <c r="R14" s="73">
        <f>R5</f>
        <v>1.2</v>
      </c>
      <c r="U14" s="73">
        <f>T13</f>
        <v>0.30000000000000004</v>
      </c>
    </row>
    <row r="15" spans="1:21" ht="12.75">
      <c r="A15" s="73">
        <v>2</v>
      </c>
      <c r="B15" s="73" t="s">
        <v>296</v>
      </c>
      <c r="D15" s="73">
        <v>23</v>
      </c>
      <c r="F15" s="73">
        <f>I15/4</f>
        <v>5.25</v>
      </c>
      <c r="G15" s="73">
        <f>I15/80</f>
        <v>0.2625</v>
      </c>
      <c r="H15" s="73">
        <f>I15/100+0.15</f>
        <v>0.36</v>
      </c>
      <c r="I15" s="73">
        <f>I14</f>
        <v>21</v>
      </c>
      <c r="K15" s="73" t="s">
        <v>297</v>
      </c>
      <c r="R15" s="77">
        <f>R14+N3</f>
        <v>2.2</v>
      </c>
      <c r="U15" s="73">
        <f>U14</f>
        <v>0.30000000000000004</v>
      </c>
    </row>
    <row r="16" spans="1:22" ht="12.75">
      <c r="A16" s="75">
        <v>1</v>
      </c>
      <c r="B16" s="75" t="str">
        <f>IF($A16=1,B14,B15)</f>
        <v>鉄筋コンクリート</v>
      </c>
      <c r="D16" s="75">
        <f>IF($A16=1,D14,D15)</f>
        <v>24.5</v>
      </c>
      <c r="E16" s="75"/>
      <c r="F16" s="75">
        <f>IF($A16=1,F14,F15)</f>
        <v>7</v>
      </c>
      <c r="G16" s="75">
        <f>IF($A16=1,G14,G15)</f>
        <v>0</v>
      </c>
      <c r="H16" s="75">
        <f>IF($A16=1,H14,H15)</f>
        <v>0.36</v>
      </c>
      <c r="I16" s="75">
        <f>IF($A16=1,I14,I15)</f>
        <v>21</v>
      </c>
      <c r="J16" s="75"/>
      <c r="K16" s="75">
        <f>IF($A16=1,K14,K15)</f>
        <v>160</v>
      </c>
      <c r="R16" s="73">
        <f>R12</f>
        <v>-1</v>
      </c>
      <c r="V16" s="73">
        <f>T12+'分布鉄筋'!E8/'分布鉄筋'!E11</f>
        <v>0.8263157894736842</v>
      </c>
    </row>
    <row r="17" spans="18:22" ht="12.75">
      <c r="R17" s="73">
        <f>R13</f>
        <v>0</v>
      </c>
      <c r="V17" s="73">
        <f>V16</f>
        <v>0.8263157894736842</v>
      </c>
    </row>
    <row r="18" spans="18:22" ht="12.75">
      <c r="R18" s="73">
        <f>R17</f>
        <v>0</v>
      </c>
      <c r="V18" s="73">
        <f>U14</f>
        <v>0.30000000000000004</v>
      </c>
    </row>
    <row r="19" spans="1:18" ht="12.75">
      <c r="A19" s="73">
        <v>1</v>
      </c>
      <c r="B19" s="73" t="s">
        <v>81</v>
      </c>
      <c r="C19" s="73">
        <v>160</v>
      </c>
      <c r="D19" s="73" t="s">
        <v>81</v>
      </c>
      <c r="R19" s="73">
        <f>R5</f>
        <v>1.2</v>
      </c>
    </row>
    <row r="20" spans="1:18" ht="12.75">
      <c r="A20" s="73">
        <v>2</v>
      </c>
      <c r="B20" s="73" t="s">
        <v>82</v>
      </c>
      <c r="C20" s="73">
        <v>160</v>
      </c>
      <c r="D20" s="73" t="s">
        <v>82</v>
      </c>
      <c r="R20" s="73">
        <f>R19</f>
        <v>1.2</v>
      </c>
    </row>
    <row r="21" spans="1:18" ht="12.75">
      <c r="A21" s="75">
        <v>1</v>
      </c>
      <c r="B21" s="75" t="str">
        <f>IF($A21=1,B19,B20)</f>
        <v>SD295A</v>
      </c>
      <c r="C21" s="75">
        <f>IF($A21=1,C19,C20)</f>
        <v>160</v>
      </c>
      <c r="D21" s="76" t="str">
        <f>IF($A21=1,D19,D20)</f>
        <v>SD295A</v>
      </c>
      <c r="E21" s="76"/>
      <c r="R21" s="73">
        <f>R15</f>
        <v>2.2</v>
      </c>
    </row>
    <row r="24" spans="2:8" ht="12.75">
      <c r="B24" s="73" t="s">
        <v>298</v>
      </c>
      <c r="H24" s="73" t="s">
        <v>87</v>
      </c>
    </row>
    <row r="25" spans="2:11" ht="12.75">
      <c r="B25" s="78" t="s">
        <v>299</v>
      </c>
      <c r="E25" s="73" t="s">
        <v>88</v>
      </c>
      <c r="F25" s="73">
        <f>'入力'!C26</f>
        <v>13</v>
      </c>
      <c r="G25" s="79" t="s">
        <v>89</v>
      </c>
      <c r="H25" s="73">
        <f>'入力'!D26</f>
        <v>250</v>
      </c>
      <c r="I25" s="73" t="s">
        <v>83</v>
      </c>
      <c r="J25" s="73">
        <f>'入力'!E26</f>
        <v>40</v>
      </c>
      <c r="K25" s="73" t="s">
        <v>83</v>
      </c>
    </row>
    <row r="26" spans="2:12" ht="12.75">
      <c r="B26" s="78" t="s">
        <v>300</v>
      </c>
      <c r="E26" s="73" t="s">
        <v>90</v>
      </c>
      <c r="F26" s="73">
        <f>'入力'!C27</f>
        <v>13</v>
      </c>
      <c r="G26" s="79" t="s">
        <v>91</v>
      </c>
      <c r="H26" s="73">
        <f>'入力'!D27</f>
        <v>250</v>
      </c>
      <c r="I26" s="73" t="s">
        <v>84</v>
      </c>
      <c r="J26" s="73">
        <f>'入力'!E27</f>
        <v>40</v>
      </c>
      <c r="K26" s="73" t="s">
        <v>84</v>
      </c>
      <c r="L26" s="73" t="str">
        <f>D26&amp;F26&amp;G26&amp;H26&amp;I26</f>
        <v>13@250mm</v>
      </c>
    </row>
    <row r="27" spans="2:11" ht="12.75">
      <c r="B27" s="78" t="s">
        <v>121</v>
      </c>
      <c r="E27" s="73" t="s">
        <v>90</v>
      </c>
      <c r="F27" s="73">
        <f>'入力'!C28</f>
        <v>13</v>
      </c>
      <c r="G27" s="79" t="s">
        <v>91</v>
      </c>
      <c r="H27" s="73">
        <f>'入力'!D28</f>
        <v>250</v>
      </c>
      <c r="I27" s="73" t="s">
        <v>84</v>
      </c>
      <c r="J27" s="73">
        <f>'入力'!E28</f>
        <v>40</v>
      </c>
      <c r="K27" s="73" t="s">
        <v>84</v>
      </c>
    </row>
    <row r="30" spans="3:4" ht="12.75">
      <c r="C30" s="73" t="s">
        <v>301</v>
      </c>
      <c r="D30" s="73" t="s">
        <v>302</v>
      </c>
    </row>
    <row r="31" spans="1:5" ht="12.75">
      <c r="A31" s="73">
        <v>1</v>
      </c>
      <c r="B31" s="73" t="s">
        <v>303</v>
      </c>
      <c r="C31" s="73">
        <v>1</v>
      </c>
      <c r="D31" s="73">
        <v>1</v>
      </c>
      <c r="E31" s="73">
        <f>(C31-1)*2+D31</f>
        <v>1</v>
      </c>
    </row>
    <row r="32" spans="1:5" ht="12.75">
      <c r="A32" s="73">
        <v>2</v>
      </c>
      <c r="B32" s="73" t="s">
        <v>304</v>
      </c>
      <c r="C32" s="73">
        <v>1</v>
      </c>
      <c r="D32" s="73">
        <v>2</v>
      </c>
      <c r="E32" s="73">
        <f>(C32-1)*2+D32</f>
        <v>2</v>
      </c>
    </row>
    <row r="33" spans="1:5" ht="12.75">
      <c r="A33" s="73">
        <v>3</v>
      </c>
      <c r="B33" s="73" t="s">
        <v>305</v>
      </c>
      <c r="C33" s="73">
        <v>2</v>
      </c>
      <c r="D33" s="73">
        <v>1</v>
      </c>
      <c r="E33" s="73">
        <f>(C33-1)*2+D33</f>
        <v>3</v>
      </c>
    </row>
    <row r="34" spans="1:5" ht="12.75">
      <c r="A34" s="73">
        <v>4</v>
      </c>
      <c r="B34" s="73" t="s">
        <v>306</v>
      </c>
      <c r="C34" s="73">
        <v>2</v>
      </c>
      <c r="D34" s="73">
        <v>2</v>
      </c>
      <c r="E34" s="73">
        <f>(C34-1)*2+D34</f>
        <v>4</v>
      </c>
    </row>
    <row r="35" spans="1:25" ht="12.75">
      <c r="A35" s="80"/>
      <c r="B35" s="80"/>
      <c r="C35" s="80">
        <f>A5</f>
        <v>1</v>
      </c>
      <c r="D35" s="80">
        <f>A16</f>
        <v>1</v>
      </c>
      <c r="E35" s="80">
        <f>(C35-1)*2+D35</f>
        <v>1</v>
      </c>
      <c r="P35" s="73" t="s">
        <v>307</v>
      </c>
      <c r="U35" s="73">
        <f>E35</f>
        <v>1</v>
      </c>
      <c r="V35" s="73">
        <v>1</v>
      </c>
      <c r="W35" s="73">
        <v>2</v>
      </c>
      <c r="X35" s="73">
        <v>3</v>
      </c>
      <c r="Y35" s="73">
        <v>4</v>
      </c>
    </row>
    <row r="36" spans="16:25" ht="12.75">
      <c r="P36" s="81"/>
      <c r="Q36" s="82"/>
      <c r="R36" s="83"/>
      <c r="S36" s="84" t="s">
        <v>261</v>
      </c>
      <c r="T36" s="84" t="s">
        <v>308</v>
      </c>
      <c r="U36" s="85" t="s">
        <v>309</v>
      </c>
      <c r="V36" s="73" t="s">
        <v>142</v>
      </c>
      <c r="W36" s="73" t="s">
        <v>304</v>
      </c>
      <c r="X36" s="73" t="s">
        <v>310</v>
      </c>
      <c r="Y36" s="73" t="s">
        <v>311</v>
      </c>
    </row>
    <row r="37" spans="16:25" ht="12.75">
      <c r="P37" s="105" t="s">
        <v>312</v>
      </c>
      <c r="Q37" s="107" t="s">
        <v>313</v>
      </c>
      <c r="R37" s="84" t="s">
        <v>314</v>
      </c>
      <c r="S37" s="84">
        <f>HLOOKUP($U$35,$U$35:$Y$45,3)</f>
        <v>0.2</v>
      </c>
      <c r="T37" s="84">
        <f>F16</f>
        <v>7</v>
      </c>
      <c r="U37" s="84"/>
      <c r="V37" s="73">
        <f>'分布鉄筋'!D157</f>
        <v>0.2</v>
      </c>
      <c r="W37" s="73">
        <f>'分布無筋'!D136</f>
        <v>0.07</v>
      </c>
      <c r="X37" s="73">
        <f>'T荷重鉄筋'!D194</f>
        <v>4.59</v>
      </c>
      <c r="Y37" s="73">
        <f>'T荷重無筋'!D175</f>
        <v>1.69</v>
      </c>
    </row>
    <row r="38" spans="16:25" ht="12.75">
      <c r="P38" s="106"/>
      <c r="Q38" s="108"/>
      <c r="R38" s="86" t="s">
        <v>315</v>
      </c>
      <c r="S38" s="84" t="str">
        <f>HLOOKUP($U$35,$U$35:$Y$45,4)</f>
        <v>***</v>
      </c>
      <c r="T38" s="84">
        <f>-G16</f>
        <v>0</v>
      </c>
      <c r="U38" s="84"/>
      <c r="V38" s="87" t="s">
        <v>316</v>
      </c>
      <c r="W38" s="73">
        <f>'分布無筋'!D141</f>
        <v>-0.07</v>
      </c>
      <c r="X38" s="88" t="s">
        <v>316</v>
      </c>
      <c r="Y38" s="73">
        <f>'T荷重無筋'!D180</f>
        <v>-1.69</v>
      </c>
    </row>
    <row r="39" spans="16:25" ht="12.75">
      <c r="P39" s="106"/>
      <c r="Q39" s="86" t="s">
        <v>317</v>
      </c>
      <c r="R39" s="86" t="s">
        <v>315</v>
      </c>
      <c r="S39" s="84">
        <f>HLOOKUP($U$35,$U$35:$Y$45,5)</f>
        <v>4.6</v>
      </c>
      <c r="T39" s="84">
        <f>K16</f>
        <v>160</v>
      </c>
      <c r="U39" s="84"/>
      <c r="V39" s="73">
        <f>'分布鉄筋'!D162</f>
        <v>4.6</v>
      </c>
      <c r="W39" s="73" t="s">
        <v>316</v>
      </c>
      <c r="X39" s="73">
        <f>'T荷重鉄筋'!D199</f>
        <v>106.5</v>
      </c>
      <c r="Y39" s="73" t="s">
        <v>316</v>
      </c>
    </row>
    <row r="40" spans="16:25" ht="12.75">
      <c r="P40" s="105" t="s">
        <v>264</v>
      </c>
      <c r="Q40" s="107" t="s">
        <v>318</v>
      </c>
      <c r="R40" s="84" t="s">
        <v>314</v>
      </c>
      <c r="S40" s="84">
        <f>HLOOKUP($U$35,$U$35:$Y$45,6)</f>
        <v>0.2</v>
      </c>
      <c r="T40" s="84">
        <f>T37</f>
        <v>7</v>
      </c>
      <c r="U40" s="84"/>
      <c r="V40" s="73">
        <f>'分布鉄筋'!D185</f>
        <v>0.2</v>
      </c>
      <c r="W40" s="73">
        <f>'分布無筋'!D153</f>
        <v>0.07</v>
      </c>
      <c r="X40" s="73">
        <f>'T荷重鉄筋'!D224</f>
        <v>4.59</v>
      </c>
      <c r="Y40" s="73">
        <f>'T荷重無筋'!D192</f>
        <v>1.69</v>
      </c>
    </row>
    <row r="41" spans="16:25" ht="12.75">
      <c r="P41" s="106"/>
      <c r="Q41" s="108"/>
      <c r="R41" s="86" t="s">
        <v>315</v>
      </c>
      <c r="S41" s="84" t="str">
        <f>HLOOKUP($U$35,$U$35:$Y$45,7)</f>
        <v>***</v>
      </c>
      <c r="T41" s="84">
        <f>T38</f>
        <v>0</v>
      </c>
      <c r="U41" s="84"/>
      <c r="V41" s="87" t="s">
        <v>316</v>
      </c>
      <c r="W41" s="73">
        <f>'分布無筋'!D158</f>
        <v>-0.07</v>
      </c>
      <c r="X41" s="73" t="s">
        <v>316</v>
      </c>
      <c r="Y41" s="73">
        <f>'T荷重無筋'!D197</f>
        <v>-1.69</v>
      </c>
    </row>
    <row r="42" spans="16:25" ht="12.75">
      <c r="P42" s="106"/>
      <c r="Q42" s="86" t="s">
        <v>317</v>
      </c>
      <c r="R42" s="86" t="s">
        <v>315</v>
      </c>
      <c r="S42" s="84">
        <f>HLOOKUP($U$35,$U$35:$Y$45,8)</f>
        <v>4.6</v>
      </c>
      <c r="T42" s="84">
        <f>T39</f>
        <v>160</v>
      </c>
      <c r="U42" s="84"/>
      <c r="V42" s="73">
        <f>'分布鉄筋'!D190</f>
        <v>4.6</v>
      </c>
      <c r="W42" s="73" t="s">
        <v>316</v>
      </c>
      <c r="X42" s="73">
        <f>'T荷重鉄筋'!D229</f>
        <v>106.5</v>
      </c>
      <c r="Y42" s="73" t="s">
        <v>316</v>
      </c>
    </row>
    <row r="43" spans="16:25" ht="12.75">
      <c r="P43" s="105" t="s">
        <v>319</v>
      </c>
      <c r="Q43" s="107" t="s">
        <v>318</v>
      </c>
      <c r="R43" s="84" t="s">
        <v>314</v>
      </c>
      <c r="S43" s="84">
        <f>HLOOKUP($U$35,$U$35:$Y$45,9)</f>
        <v>0.08</v>
      </c>
      <c r="T43" s="84">
        <f>T37</f>
        <v>7</v>
      </c>
      <c r="U43" s="84"/>
      <c r="V43" s="73">
        <f>'分布鉄筋'!D212</f>
        <v>0.08</v>
      </c>
      <c r="W43" s="73">
        <f>'分布無筋'!D170</f>
        <v>0.02</v>
      </c>
      <c r="X43" s="73">
        <f>'T荷重鉄筋'!D253</f>
        <v>4.31</v>
      </c>
      <c r="Y43" s="73">
        <f>'T荷重無筋'!D210</f>
        <v>1.59</v>
      </c>
    </row>
    <row r="44" spans="16:25" ht="12.75">
      <c r="P44" s="106"/>
      <c r="Q44" s="108"/>
      <c r="R44" s="86" t="s">
        <v>315</v>
      </c>
      <c r="S44" s="84" t="str">
        <f>HLOOKUP($U$35,$U$35:$Y$45,10)</f>
        <v>***</v>
      </c>
      <c r="T44" s="84">
        <f>T38</f>
        <v>0</v>
      </c>
      <c r="U44" s="84"/>
      <c r="V44" s="87" t="s">
        <v>316</v>
      </c>
      <c r="W44" s="73">
        <f>'分布無筋'!D175</f>
        <v>-0.02</v>
      </c>
      <c r="X44" s="73" t="s">
        <v>316</v>
      </c>
      <c r="Y44" s="73">
        <f>'T荷重無筋'!D215</f>
        <v>-1.59</v>
      </c>
    </row>
    <row r="45" spans="16:25" ht="12.75">
      <c r="P45" s="106"/>
      <c r="Q45" s="86" t="s">
        <v>317</v>
      </c>
      <c r="R45" s="86" t="s">
        <v>315</v>
      </c>
      <c r="S45" s="84">
        <f>HLOOKUP($U$35,$U$35:$Y$45,11)</f>
        <v>1.8</v>
      </c>
      <c r="T45" s="84">
        <f>T42</f>
        <v>160</v>
      </c>
      <c r="U45" s="84"/>
      <c r="V45" s="73">
        <f>'分布鉄筋'!D217</f>
        <v>1.8</v>
      </c>
      <c r="W45" s="73" t="s">
        <v>316</v>
      </c>
      <c r="X45" s="73">
        <f>'T荷重鉄筋'!D258</f>
        <v>100.1</v>
      </c>
      <c r="Y45" s="73" t="s">
        <v>316</v>
      </c>
    </row>
    <row r="48" spans="17:26" ht="12.75">
      <c r="Q48" s="73" t="str">
        <f>'分布鉄筋'!E157</f>
        <v>N/mm2</v>
      </c>
      <c r="R48" s="73" t="str">
        <f>'分布鉄筋'!F157</f>
        <v>&lt;</v>
      </c>
      <c r="S48" s="73" t="str">
        <f>'分布鉄筋'!G157</f>
        <v>σca=</v>
      </c>
      <c r="T48" s="73">
        <f>'分布鉄筋'!H157</f>
        <v>7</v>
      </c>
      <c r="W48" s="73" t="str">
        <f>'T荷重鉄筋'!E194</f>
        <v>N/mm2</v>
      </c>
      <c r="X48" s="73" t="str">
        <f>'T荷重鉄筋'!F194</f>
        <v>&lt;</v>
      </c>
      <c r="Y48" s="73" t="str">
        <f>'T荷重鉄筋'!G194</f>
        <v>σca=</v>
      </c>
      <c r="Z48" s="73">
        <f>'T荷重鉄筋'!H194</f>
        <v>7</v>
      </c>
    </row>
    <row r="49" spans="17:26" ht="12.75">
      <c r="Q49" s="73" t="str">
        <f>'分布鉄筋'!E162</f>
        <v>N/mm2</v>
      </c>
      <c r="R49" s="73" t="str">
        <f>'分布鉄筋'!F162</f>
        <v>&lt;</v>
      </c>
      <c r="S49" s="73" t="str">
        <f>'分布鉄筋'!G162</f>
        <v>σsa=</v>
      </c>
      <c r="T49" s="73">
        <f>'分布鉄筋'!H162</f>
        <v>160</v>
      </c>
      <c r="W49" s="73" t="str">
        <f>'T荷重鉄筋'!E199</f>
        <v>N/mm2</v>
      </c>
      <c r="X49" s="73" t="str">
        <f>'T荷重鉄筋'!F199</f>
        <v>&lt;</v>
      </c>
      <c r="Y49" s="73" t="str">
        <f>'T荷重鉄筋'!G199</f>
        <v>σsa=</v>
      </c>
      <c r="Z49" s="73">
        <f>'T荷重鉄筋'!H199</f>
        <v>160</v>
      </c>
    </row>
    <row r="50" spans="17:26" ht="12.75">
      <c r="Q50" s="73" t="str">
        <f>'分布鉄筋'!E185</f>
        <v>N/mm2</v>
      </c>
      <c r="R50" s="73" t="str">
        <f>'分布鉄筋'!F185</f>
        <v>&lt;</v>
      </c>
      <c r="S50" s="73" t="str">
        <f>'分布鉄筋'!G185</f>
        <v>σca=</v>
      </c>
      <c r="T50" s="73">
        <f>'分布鉄筋'!H185</f>
        <v>7</v>
      </c>
      <c r="W50" s="73" t="str">
        <f>'T荷重鉄筋'!E224</f>
        <v>N/mm2</v>
      </c>
      <c r="X50" s="73" t="str">
        <f>'T荷重鉄筋'!F224</f>
        <v>&lt;</v>
      </c>
      <c r="Y50" s="73" t="str">
        <f>'T荷重鉄筋'!G224</f>
        <v>σca=</v>
      </c>
      <c r="Z50" s="73">
        <f>'T荷重鉄筋'!H224</f>
        <v>7</v>
      </c>
    </row>
    <row r="51" spans="17:26" ht="12.75">
      <c r="Q51" s="73" t="str">
        <f>'分布鉄筋'!E190</f>
        <v>N/mm2</v>
      </c>
      <c r="R51" s="73" t="str">
        <f>'分布鉄筋'!F190</f>
        <v>&lt;</v>
      </c>
      <c r="S51" s="73" t="str">
        <f>'分布鉄筋'!G190</f>
        <v>σsa=</v>
      </c>
      <c r="T51" s="73">
        <f>'分布鉄筋'!H190</f>
        <v>160</v>
      </c>
      <c r="W51" s="73" t="str">
        <f>'T荷重鉄筋'!E229</f>
        <v>N/mm2</v>
      </c>
      <c r="X51" s="73" t="str">
        <f>'T荷重鉄筋'!F229</f>
        <v>&lt;</v>
      </c>
      <c r="Y51" s="73" t="str">
        <f>'T荷重鉄筋'!G229</f>
        <v>σsa=</v>
      </c>
      <c r="Z51" s="73">
        <f>'T荷重鉄筋'!H229</f>
        <v>160</v>
      </c>
    </row>
    <row r="52" spans="17:26" ht="12.75">
      <c r="Q52" s="73" t="str">
        <f>'分布鉄筋'!E212</f>
        <v>N/mm2</v>
      </c>
      <c r="R52" s="73" t="str">
        <f>'分布鉄筋'!F212</f>
        <v>&lt;</v>
      </c>
      <c r="S52" s="73" t="str">
        <f>'分布鉄筋'!G212</f>
        <v>σca=</v>
      </c>
      <c r="T52" s="73">
        <f>'分布鉄筋'!H212</f>
        <v>7</v>
      </c>
      <c r="W52" s="73" t="str">
        <f>'T荷重鉄筋'!E253</f>
        <v>N/mm2</v>
      </c>
      <c r="X52" s="73" t="str">
        <f>'T荷重鉄筋'!F253</f>
        <v>&lt;</v>
      </c>
      <c r="Y52" s="73" t="str">
        <f>'T荷重鉄筋'!G253</f>
        <v>σca=</v>
      </c>
      <c r="Z52" s="73">
        <f>'T荷重鉄筋'!H253</f>
        <v>7</v>
      </c>
    </row>
    <row r="53" spans="17:26" ht="12.75">
      <c r="Q53" s="73" t="str">
        <f>'分布鉄筋'!E217</f>
        <v>N/mm2</v>
      </c>
      <c r="R53" s="73" t="str">
        <f>'分布鉄筋'!F217</f>
        <v>&lt;</v>
      </c>
      <c r="S53" s="73" t="str">
        <f>'分布鉄筋'!G217</f>
        <v>σsa=</v>
      </c>
      <c r="T53" s="73">
        <f>'分布鉄筋'!H217</f>
        <v>160</v>
      </c>
      <c r="W53" s="73" t="str">
        <f>'T荷重鉄筋'!E258</f>
        <v>N/mm2</v>
      </c>
      <c r="X53" s="73" t="str">
        <f>'T荷重鉄筋'!F258</f>
        <v>&lt;</v>
      </c>
      <c r="Y53" s="73" t="str">
        <f>'T荷重鉄筋'!G258</f>
        <v>σsa=</v>
      </c>
      <c r="Z53" s="73">
        <f>'T荷重鉄筋'!H258</f>
        <v>160</v>
      </c>
    </row>
    <row r="55" spans="17:26" ht="12.75">
      <c r="Q55" s="73" t="str">
        <f>'分布無筋'!E136</f>
        <v>N/mm2</v>
      </c>
      <c r="R55" s="73" t="str">
        <f>'分布無筋'!F136</f>
        <v>&lt;</v>
      </c>
      <c r="S55" s="73" t="str">
        <f>'分布無筋'!G136</f>
        <v>σca=</v>
      </c>
      <c r="T55" s="73">
        <f>'分布無筋'!H136</f>
        <v>7</v>
      </c>
      <c r="W55" s="73" t="str">
        <f>'T荷重無筋'!E175</f>
        <v>N/mm2</v>
      </c>
      <c r="X55" s="73" t="str">
        <f>'T荷重無筋'!F175</f>
        <v>&lt;</v>
      </c>
      <c r="Y55" s="73" t="str">
        <f>'T荷重無筋'!G175</f>
        <v>σca=</v>
      </c>
      <c r="Z55" s="73">
        <f>'T荷重無筋'!H175</f>
        <v>7</v>
      </c>
    </row>
    <row r="56" spans="17:26" ht="12.75">
      <c r="Q56" s="73" t="str">
        <f>'分布無筋'!E141</f>
        <v>N/mm2</v>
      </c>
      <c r="R56" s="73" t="str">
        <f>'分布無筋'!F141</f>
        <v>&lt;</v>
      </c>
      <c r="S56" s="73" t="str">
        <f>'分布無筋'!G141</f>
        <v>σsa=</v>
      </c>
      <c r="T56" s="73">
        <f>'分布無筋'!H141</f>
        <v>0</v>
      </c>
      <c r="W56" s="73" t="str">
        <f>'T荷重無筋'!E180</f>
        <v>N/mm2</v>
      </c>
      <c r="X56" s="73" t="str">
        <f>'T荷重無筋'!F180</f>
        <v>&lt;</v>
      </c>
      <c r="Y56" s="73" t="str">
        <f>'T荷重無筋'!G180</f>
        <v>σsa=</v>
      </c>
      <c r="Z56" s="73">
        <f>'T荷重無筋'!H180</f>
        <v>0</v>
      </c>
    </row>
    <row r="57" spans="17:26" ht="12.75">
      <c r="Q57" s="73" t="str">
        <f>'分布無筋'!E153</f>
        <v>N/mm2</v>
      </c>
      <c r="R57" s="73" t="str">
        <f>'分布無筋'!F153</f>
        <v>&lt;</v>
      </c>
      <c r="S57" s="73" t="str">
        <f>'分布無筋'!G153</f>
        <v>σca=</v>
      </c>
      <c r="T57" s="73">
        <f>'分布無筋'!H153</f>
        <v>7</v>
      </c>
      <c r="W57" s="73" t="str">
        <f>'T荷重無筋'!E192</f>
        <v>N/mm2</v>
      </c>
      <c r="X57" s="73" t="str">
        <f>'T荷重無筋'!F192</f>
        <v>&lt;</v>
      </c>
      <c r="Y57" s="73" t="str">
        <f>'T荷重無筋'!G192</f>
        <v>σca=</v>
      </c>
      <c r="Z57" s="73">
        <f>'T荷重無筋'!H192</f>
        <v>7</v>
      </c>
    </row>
    <row r="58" spans="17:26" ht="12.75">
      <c r="Q58" s="73" t="str">
        <f>'分布無筋'!E158</f>
        <v>N/mm2</v>
      </c>
      <c r="R58" s="73" t="str">
        <f>'分布無筋'!F158</f>
        <v>&lt;</v>
      </c>
      <c r="S58" s="73" t="str">
        <f>'分布無筋'!G158</f>
        <v>σsa=</v>
      </c>
      <c r="T58" s="73">
        <f>'分布無筋'!H158</f>
        <v>0</v>
      </c>
      <c r="W58" s="73" t="str">
        <f>'T荷重無筋'!E197</f>
        <v>N/mm2</v>
      </c>
      <c r="X58" s="73" t="str">
        <f>'T荷重無筋'!F197</f>
        <v>&lt;</v>
      </c>
      <c r="Y58" s="73" t="str">
        <f>'T荷重無筋'!G197</f>
        <v>σsa=</v>
      </c>
      <c r="Z58" s="73">
        <f>'T荷重無筋'!H197</f>
        <v>0</v>
      </c>
    </row>
    <row r="59" spans="17:26" ht="12.75">
      <c r="Q59" s="73" t="str">
        <f>'分布無筋'!E170</f>
        <v>N/mm2</v>
      </c>
      <c r="R59" s="73" t="str">
        <f>'分布無筋'!F170</f>
        <v>&lt;</v>
      </c>
      <c r="S59" s="73" t="str">
        <f>'分布無筋'!G170</f>
        <v>σca=</v>
      </c>
      <c r="T59" s="73">
        <f>'分布無筋'!H170</f>
        <v>7</v>
      </c>
      <c r="W59" s="73" t="str">
        <f>'T荷重無筋'!E210</f>
        <v>N/mm2</v>
      </c>
      <c r="X59" s="73" t="str">
        <f>'T荷重無筋'!F210</f>
        <v>&lt;</v>
      </c>
      <c r="Y59" s="73" t="str">
        <f>'T荷重無筋'!G210</f>
        <v>σca=</v>
      </c>
      <c r="Z59" s="73">
        <f>'T荷重無筋'!H210</f>
        <v>7</v>
      </c>
    </row>
    <row r="60" spans="17:26" ht="12.75">
      <c r="Q60" s="73" t="str">
        <f>'分布無筋'!E175</f>
        <v>N/mm2</v>
      </c>
      <c r="R60" s="73" t="str">
        <f>'分布無筋'!F175</f>
        <v>&lt;</v>
      </c>
      <c r="S60" s="73" t="str">
        <f>'分布無筋'!G175</f>
        <v>σsa=</v>
      </c>
      <c r="T60" s="73">
        <f>'分布無筋'!H175</f>
        <v>0</v>
      </c>
      <c r="W60" s="73" t="str">
        <f>'T荷重無筋'!E215</f>
        <v>N/mm2</v>
      </c>
      <c r="X60" s="73" t="str">
        <f>'T荷重無筋'!F215</f>
        <v>&lt;</v>
      </c>
      <c r="Y60" s="73" t="str">
        <f>'T荷重無筋'!G215</f>
        <v>σsa=</v>
      </c>
      <c r="Z60" s="73">
        <f>'T荷重無筋'!H215</f>
        <v>0</v>
      </c>
    </row>
  </sheetData>
  <sheetProtection/>
  <mergeCells count="6">
    <mergeCell ref="P43:P45"/>
    <mergeCell ref="Q43:Q44"/>
    <mergeCell ref="P37:P39"/>
    <mergeCell ref="Q37:Q38"/>
    <mergeCell ref="P40:P42"/>
    <mergeCell ref="Q40:Q41"/>
  </mergeCells>
  <conditionalFormatting sqref="S37:S45">
    <cfRule type="cellIs" priority="1" dxfId="10" operator="greaterThan" stopIfTrue="1">
      <formula>$F$31</formula>
    </cfRule>
  </conditionalFormatting>
  <printOptions/>
  <pageMargins left="0.75" right="0.75" top="1" bottom="1" header="0.512" footer="0.512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Owner</cp:lastModifiedBy>
  <cp:lastPrinted>2003-12-14T00:50:24Z</cp:lastPrinted>
  <dcterms:created xsi:type="dcterms:W3CDTF">1998-07-03T22:37:41Z</dcterms:created>
  <dcterms:modified xsi:type="dcterms:W3CDTF">2014-02-17T10:47:12Z</dcterms:modified>
  <cp:category/>
  <cp:version/>
  <cp:contentType/>
  <cp:contentStatus/>
</cp:coreProperties>
</file>