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48" yWindow="65524" windowWidth="9312" windowHeight="9120" tabRatio="602" activeTab="0"/>
  </bookViews>
  <sheets>
    <sheet name="入力" sheetId="1" r:id="rId1"/>
    <sheet name="データ" sheetId="2" state="hidden" r:id="rId2"/>
    <sheet name="計算" sheetId="3" r:id="rId3"/>
  </sheets>
  <definedNames>
    <definedName name="_xlnm.Print_Area" localSheetId="2">'計算'!$A$1:$I$826</definedName>
    <definedName name="_xlnm.Print_Area" localSheetId="0">'入力'!$A$1:$W$40</definedName>
    <definedName name="TABLE" localSheetId="1">'データ'!$J$23:$W$29</definedName>
  </definedNames>
  <calcPr fullCalcOnLoad="1"/>
</workbook>
</file>

<file path=xl/comments1.xml><?xml version="1.0" encoding="utf-8"?>
<comments xmlns="http://schemas.openxmlformats.org/spreadsheetml/2006/main">
  <authors>
    <author>DT-121</author>
  </authors>
  <commentList>
    <comment ref="D8" authorId="0">
      <text>
        <r>
          <rPr>
            <sz val="7"/>
            <rFont val="ＭＳ Ｐゴシック"/>
            <family val="3"/>
          </rPr>
          <t xml:space="preserve">活荷重を「任意に設定」を選択すると，入力値が計算に反映されます。
</t>
        </r>
      </text>
    </comment>
    <comment ref="D14" authorId="0">
      <text>
        <r>
          <rPr>
            <b/>
            <sz val="7"/>
            <rFont val="ＭＳ Ｐゴシック"/>
            <family val="3"/>
          </rPr>
          <t>地下水位が「任意に設定」を選択すると，入力値が計算書に反映されます。</t>
        </r>
        <r>
          <rPr>
            <sz val="7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<sst xmlns="http://schemas.openxmlformats.org/spreadsheetml/2006/main" count="996" uniqueCount="472">
  <si>
    <t>せん断抵抗角　φ=</t>
  </si>
  <si>
    <t>材質</t>
  </si>
  <si>
    <t>１．設計条件</t>
  </si>
  <si>
    <t>水路内幅</t>
  </si>
  <si>
    <t>Bo=</t>
  </si>
  <si>
    <t>m</t>
  </si>
  <si>
    <t>水路内高</t>
  </si>
  <si>
    <t>Ho=</t>
  </si>
  <si>
    <t>壁天端厚</t>
  </si>
  <si>
    <t>m</t>
  </si>
  <si>
    <t>壁外勾配</t>
  </si>
  <si>
    <t>1:n=1:</t>
  </si>
  <si>
    <t>活荷重</t>
  </si>
  <si>
    <t>q=</t>
  </si>
  <si>
    <r>
      <t>kN/m</t>
    </r>
    <r>
      <rPr>
        <vertAlign val="superscript"/>
        <sz val="10.5"/>
        <rFont val="ＭＳ 明朝"/>
        <family val="1"/>
      </rPr>
      <t>2</t>
    </r>
  </si>
  <si>
    <t>盛土形状</t>
  </si>
  <si>
    <t>盛土高</t>
  </si>
  <si>
    <t>Hb=</t>
  </si>
  <si>
    <t>m</t>
  </si>
  <si>
    <t>小段幅</t>
  </si>
  <si>
    <t>Bb=</t>
  </si>
  <si>
    <t>m</t>
  </si>
  <si>
    <t>盛土勾配</t>
  </si>
  <si>
    <t>1:n=1:</t>
  </si>
  <si>
    <t>土質定数</t>
  </si>
  <si>
    <t>単位体積重量　γ=</t>
  </si>
  <si>
    <r>
      <t>kN/m</t>
    </r>
    <r>
      <rPr>
        <vertAlign val="superscript"/>
        <sz val="10.5"/>
        <rFont val="ＭＳ 明朝"/>
        <family val="1"/>
      </rPr>
      <t>3</t>
    </r>
  </si>
  <si>
    <t>度</t>
  </si>
  <si>
    <t>使用材料</t>
  </si>
  <si>
    <t>σck=</t>
  </si>
  <si>
    <r>
      <t>N/mm</t>
    </r>
    <r>
      <rPr>
        <vertAlign val="superscript"/>
        <sz val="10.5"/>
        <rFont val="ＭＳ 明朝"/>
        <family val="1"/>
      </rPr>
      <t>２</t>
    </r>
  </si>
  <si>
    <t>鉄筋</t>
  </si>
  <si>
    <t>材質</t>
  </si>
  <si>
    <t>鉄筋径</t>
  </si>
  <si>
    <t>水路寸法</t>
  </si>
  <si>
    <t>SD295A</t>
  </si>
  <si>
    <t>SD345</t>
  </si>
  <si>
    <t>D6</t>
  </si>
  <si>
    <t>D10</t>
  </si>
  <si>
    <t>D13</t>
  </si>
  <si>
    <t>D16</t>
  </si>
  <si>
    <t>D19</t>
  </si>
  <si>
    <t>D22</t>
  </si>
  <si>
    <t>直径</t>
  </si>
  <si>
    <t>断面積</t>
  </si>
  <si>
    <t>許容応力</t>
  </si>
  <si>
    <t>m</t>
  </si>
  <si>
    <r>
      <t>1:</t>
    </r>
    <r>
      <rPr>
        <sz val="11"/>
        <rFont val="ＭＳ 明朝"/>
        <family val="1"/>
      </rPr>
      <t>m</t>
    </r>
    <r>
      <rPr>
        <sz val="11"/>
        <rFont val="ＭＳ 明朝"/>
        <family val="1"/>
      </rPr>
      <t>=1:</t>
    </r>
  </si>
  <si>
    <t>単位体積重量　γ=</t>
  </si>
  <si>
    <t>kN/m3</t>
  </si>
  <si>
    <t>せん断抵抗角　φ=</t>
  </si>
  <si>
    <t>度</t>
  </si>
  <si>
    <t>主働土圧係数</t>
  </si>
  <si>
    <t>浮力</t>
  </si>
  <si>
    <t>土圧の鉛直成分を無視</t>
  </si>
  <si>
    <t>土圧の鉛直成分を考慮</t>
  </si>
  <si>
    <t>H=</t>
  </si>
  <si>
    <t>hwu=</t>
  </si>
  <si>
    <t>B=</t>
  </si>
  <si>
    <t>Coulombの土圧公式による。</t>
  </si>
  <si>
    <t>載荷重</t>
  </si>
  <si>
    <t>２．３荷重の計算</t>
  </si>
  <si>
    <t>kN/m2</t>
  </si>
  <si>
    <t>q0=</t>
  </si>
  <si>
    <t>kN/m3</t>
  </si>
  <si>
    <t>kN/m</t>
  </si>
  <si>
    <t>x</t>
  </si>
  <si>
    <t>縮尺</t>
  </si>
  <si>
    <t>水路寸法</t>
  </si>
  <si>
    <t>水路内幅</t>
  </si>
  <si>
    <t>水路内高</t>
  </si>
  <si>
    <t>壁天端厚</t>
  </si>
  <si>
    <t>底版厚さ</t>
  </si>
  <si>
    <t>tf=</t>
  </si>
  <si>
    <t>m</t>
  </si>
  <si>
    <t>壁外勾配</t>
  </si>
  <si>
    <t>底版幅B=</t>
  </si>
  <si>
    <t>盛土高</t>
  </si>
  <si>
    <t>小段幅</t>
  </si>
  <si>
    <t>盛土勾配</t>
  </si>
  <si>
    <t>土質定数</t>
  </si>
  <si>
    <t>単位体積重量　γ=</t>
  </si>
  <si>
    <t>浮力</t>
  </si>
  <si>
    <t>水路天端から地下水面までの深さ</t>
  </si>
  <si>
    <r>
      <t>hw</t>
    </r>
    <r>
      <rPr>
        <sz val="11"/>
        <rFont val="ＭＳ 明朝"/>
        <family val="1"/>
      </rPr>
      <t>u=</t>
    </r>
  </si>
  <si>
    <t>使用材料</t>
  </si>
  <si>
    <t>ｺﾝｸﾘｰﾄ設計基準強度</t>
  </si>
  <si>
    <t>適用設計基準</t>
  </si>
  <si>
    <t>農林水産省農村振興局：土地改良事業計画設計基準</t>
  </si>
  <si>
    <t>設計「水路工」，平成１３年２月</t>
  </si>
  <si>
    <t>２．部材の断面計算</t>
  </si>
  <si>
    <t>２．１フレーム寸法</t>
  </si>
  <si>
    <t>H=</t>
  </si>
  <si>
    <t>B=</t>
  </si>
  <si>
    <t>２．２照査ケースと荷重の組み合わせ</t>
  </si>
  <si>
    <t>（１）自重</t>
  </si>
  <si>
    <t>側壁自重</t>
  </si>
  <si>
    <t>Pw=</t>
  </si>
  <si>
    <t>底版自重</t>
  </si>
  <si>
    <t>w=</t>
  </si>
  <si>
    <t>（２）主働土圧</t>
  </si>
  <si>
    <t>ａ）換算載荷重</t>
  </si>
  <si>
    <t>①盛土による換算載荷重</t>
  </si>
  <si>
    <r>
      <t>H</t>
    </r>
    <r>
      <rPr>
        <i/>
        <vertAlign val="subscript"/>
        <sz val="11"/>
        <rFont val="ＭＳ 明朝"/>
        <family val="1"/>
      </rPr>
      <t>b</t>
    </r>
    <r>
      <rPr>
        <sz val="11"/>
        <rFont val="ＭＳ 明朝"/>
        <family val="1"/>
      </rPr>
      <t>=</t>
    </r>
  </si>
  <si>
    <r>
      <t>B</t>
    </r>
    <r>
      <rPr>
        <i/>
        <vertAlign val="subscript"/>
        <sz val="11"/>
        <rFont val="ＭＳ 明朝"/>
        <family val="1"/>
      </rPr>
      <t>b</t>
    </r>
    <r>
      <rPr>
        <sz val="11"/>
        <rFont val="ＭＳ 明朝"/>
        <family val="1"/>
      </rPr>
      <t>=</t>
    </r>
  </si>
  <si>
    <r>
      <t>1:</t>
    </r>
    <r>
      <rPr>
        <i/>
        <sz val="11"/>
        <rFont val="ＭＳ 明朝"/>
        <family val="1"/>
      </rPr>
      <t>m</t>
    </r>
    <r>
      <rPr>
        <sz val="11"/>
        <rFont val="ＭＳ 明朝"/>
        <family val="1"/>
      </rPr>
      <t>=1:</t>
    </r>
  </si>
  <si>
    <r>
      <t>H</t>
    </r>
    <r>
      <rPr>
        <sz val="11"/>
        <rFont val="ＭＳ 明朝"/>
        <family val="1"/>
      </rPr>
      <t>=</t>
    </r>
  </si>
  <si>
    <r>
      <t>X/H</t>
    </r>
    <r>
      <rPr>
        <sz val="11"/>
        <rFont val="ＭＳ 明朝"/>
        <family val="1"/>
      </rPr>
      <t>=</t>
    </r>
  </si>
  <si>
    <t>X=</t>
  </si>
  <si>
    <t>qw=</t>
  </si>
  <si>
    <t>②活荷重による換算載荷重</t>
  </si>
  <si>
    <t>xq=</t>
  </si>
  <si>
    <r>
      <t>H+H</t>
    </r>
    <r>
      <rPr>
        <i/>
        <vertAlign val="subscript"/>
        <sz val="11"/>
        <rFont val="ＭＳ 明朝"/>
        <family val="1"/>
      </rPr>
      <t>b</t>
    </r>
    <r>
      <rPr>
        <i/>
        <sz val="11"/>
        <rFont val="ＭＳ 明朝"/>
        <family val="1"/>
      </rPr>
      <t>=</t>
    </r>
  </si>
  <si>
    <t>m</t>
  </si>
  <si>
    <t>X</t>
  </si>
  <si>
    <t>X/H=</t>
  </si>
  <si>
    <t>qq=</t>
  </si>
  <si>
    <t>ｂ）主働土圧係数</t>
  </si>
  <si>
    <t>計算条件</t>
  </si>
  <si>
    <t>rad</t>
  </si>
  <si>
    <t>壁面摩擦角　δ=</t>
  </si>
  <si>
    <t>rad</t>
  </si>
  <si>
    <t>盛土傾斜角　β=</t>
  </si>
  <si>
    <r>
      <t>度(水平に換算している</t>
    </r>
    <r>
      <rPr>
        <sz val="11"/>
        <rFont val="ＭＳ 明朝"/>
        <family val="1"/>
      </rPr>
      <t>)</t>
    </r>
  </si>
  <si>
    <t>壁面傾斜角　α=</t>
  </si>
  <si>
    <r>
      <t>tan</t>
    </r>
    <r>
      <rPr>
        <vertAlign val="superscript"/>
        <sz val="11"/>
        <rFont val="ＭＳ 明朝"/>
        <family val="1"/>
      </rPr>
      <t>-1</t>
    </r>
    <r>
      <rPr>
        <sz val="11"/>
        <rFont val="ＭＳ 明朝"/>
        <family val="1"/>
      </rPr>
      <t>n=</t>
    </r>
  </si>
  <si>
    <t>α=</t>
  </si>
  <si>
    <t>主働土圧係数</t>
  </si>
  <si>
    <t>ｃ）CASE-１の場合の土圧強度</t>
  </si>
  <si>
    <t>計算条件</t>
  </si>
  <si>
    <t>土圧作用高　H=</t>
  </si>
  <si>
    <t>H=</t>
  </si>
  <si>
    <t>(地下水位より上)</t>
  </si>
  <si>
    <t>γ'=</t>
  </si>
  <si>
    <t>(地下水位より下)</t>
  </si>
  <si>
    <t>水位</t>
  </si>
  <si>
    <t>hwu=</t>
  </si>
  <si>
    <t>hwl=</t>
  </si>
  <si>
    <t>載荷重</t>
  </si>
  <si>
    <r>
      <t>q</t>
    </r>
    <r>
      <rPr>
        <sz val="11"/>
        <rFont val="ＭＳ 明朝"/>
        <family val="1"/>
      </rPr>
      <t>0=</t>
    </r>
  </si>
  <si>
    <t>土圧強度</t>
  </si>
  <si>
    <t>z=0</t>
  </si>
  <si>
    <t>p0=</t>
  </si>
  <si>
    <t>z=hwu</t>
  </si>
  <si>
    <t>p1=</t>
  </si>
  <si>
    <t>z=H</t>
  </si>
  <si>
    <t>p2=</t>
  </si>
  <si>
    <t>水平土圧強度</t>
  </si>
  <si>
    <r>
      <t>p</t>
    </r>
    <r>
      <rPr>
        <vertAlign val="subscript"/>
        <sz val="11"/>
        <rFont val="ＭＳ 明朝"/>
        <family val="1"/>
      </rPr>
      <t>h0</t>
    </r>
    <r>
      <rPr>
        <sz val="11"/>
        <rFont val="ＭＳ 明朝"/>
        <family val="1"/>
      </rPr>
      <t>=p</t>
    </r>
    <r>
      <rPr>
        <vertAlign val="subscript"/>
        <sz val="11"/>
        <rFont val="ＭＳ 明朝"/>
        <family val="1"/>
      </rPr>
      <t>0</t>
    </r>
    <r>
      <rPr>
        <sz val="11"/>
        <rFont val="ＭＳ 明朝"/>
        <family val="1"/>
      </rPr>
      <t>cos(α+δ)=</t>
    </r>
  </si>
  <si>
    <r>
      <t>p</t>
    </r>
    <r>
      <rPr>
        <vertAlign val="subscript"/>
        <sz val="11"/>
        <rFont val="ＭＳ 明朝"/>
        <family val="1"/>
      </rPr>
      <t>h1</t>
    </r>
    <r>
      <rPr>
        <sz val="11"/>
        <rFont val="ＭＳ 明朝"/>
        <family val="1"/>
      </rPr>
      <t>=p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cos(α+δ)=</t>
    </r>
  </si>
  <si>
    <r>
      <t>p</t>
    </r>
    <r>
      <rPr>
        <vertAlign val="subscript"/>
        <sz val="11"/>
        <rFont val="ＭＳ 明朝"/>
        <family val="1"/>
      </rPr>
      <t>h2</t>
    </r>
    <r>
      <rPr>
        <sz val="11"/>
        <rFont val="ＭＳ 明朝"/>
        <family val="1"/>
      </rPr>
      <t>=p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cos(α+δ)=</t>
    </r>
  </si>
  <si>
    <t>土圧合力</t>
  </si>
  <si>
    <t>水平成分</t>
  </si>
  <si>
    <t>鉛直成分</t>
  </si>
  <si>
    <r>
      <t>ｄ）</t>
    </r>
    <r>
      <rPr>
        <sz val="11"/>
        <rFont val="ＭＳ 明朝"/>
        <family val="1"/>
      </rPr>
      <t>CASE-２の場合の土圧強度</t>
    </r>
  </si>
  <si>
    <t>（３）静水圧</t>
  </si>
  <si>
    <r>
      <t>ａ）</t>
    </r>
    <r>
      <rPr>
        <sz val="11"/>
        <rFont val="ＭＳ 明朝"/>
        <family val="1"/>
      </rPr>
      <t>CASE-１の場合の静水圧</t>
    </r>
  </si>
  <si>
    <t>①壁に作用する外水圧</t>
  </si>
  <si>
    <t>水の単位体積重量</t>
  </si>
  <si>
    <r>
      <t>γw</t>
    </r>
    <r>
      <rPr>
        <sz val="11"/>
        <rFont val="ＭＳ 明朝"/>
        <family val="1"/>
      </rPr>
      <t>o=</t>
    </r>
  </si>
  <si>
    <t>kN/m3</t>
  </si>
  <si>
    <t>静水圧</t>
  </si>
  <si>
    <t>Pw=</t>
  </si>
  <si>
    <t>作用位置</t>
  </si>
  <si>
    <t>yw=</t>
  </si>
  <si>
    <t>ｂ）CASE-２の場合の静水圧</t>
  </si>
  <si>
    <t>①壁に作用する内水圧</t>
  </si>
  <si>
    <r>
      <t>γw</t>
    </r>
    <r>
      <rPr>
        <sz val="11"/>
        <rFont val="ＭＳ 明朝"/>
        <family val="1"/>
      </rPr>
      <t>i=</t>
    </r>
  </si>
  <si>
    <t>②底版に作用する内水重</t>
  </si>
  <si>
    <t>内水重</t>
  </si>
  <si>
    <t>pw=</t>
  </si>
  <si>
    <t>（４）浮力</t>
  </si>
  <si>
    <t>u=</t>
  </si>
  <si>
    <t>（５）地盤反力</t>
  </si>
  <si>
    <t>ａ）CASE-１</t>
  </si>
  <si>
    <t>側壁自重</t>
  </si>
  <si>
    <t>kN/m2</t>
  </si>
  <si>
    <t>底版自重</t>
  </si>
  <si>
    <t>kN/m2</t>
  </si>
  <si>
    <t>主働土圧</t>
  </si>
  <si>
    <t>kN/m2</t>
  </si>
  <si>
    <t>内水重</t>
  </si>
  <si>
    <t>kN/m2</t>
  </si>
  <si>
    <t>浮力</t>
  </si>
  <si>
    <t>kN/m2</t>
  </si>
  <si>
    <t>地盤反力</t>
  </si>
  <si>
    <t>qd=</t>
  </si>
  <si>
    <t>kN/m2</t>
  </si>
  <si>
    <t>ｂ）CASE-２</t>
  </si>
  <si>
    <t>２．４断面力の計算</t>
  </si>
  <si>
    <t>（１）計算式</t>
  </si>
  <si>
    <t>ａ）側壁の断面力</t>
  </si>
  <si>
    <t>ｂ）底版の断面力</t>
  </si>
  <si>
    <t>換算載荷重</t>
  </si>
  <si>
    <t>q0=</t>
  </si>
  <si>
    <t>kN/m2</t>
  </si>
  <si>
    <t>単位体積重量</t>
  </si>
  <si>
    <t>土砂</t>
  </si>
  <si>
    <t>地下水より上</t>
  </si>
  <si>
    <t>γ=</t>
  </si>
  <si>
    <t>kN/m3</t>
  </si>
  <si>
    <t>地下水より下</t>
  </si>
  <si>
    <t>水</t>
  </si>
  <si>
    <t>内水</t>
  </si>
  <si>
    <t>γwi=</t>
  </si>
  <si>
    <t>kN/m3</t>
  </si>
  <si>
    <t>外水</t>
  </si>
  <si>
    <r>
      <t>γw</t>
    </r>
    <r>
      <rPr>
        <sz val="11"/>
        <rFont val="ＭＳ 明朝"/>
        <family val="1"/>
      </rPr>
      <t>o=</t>
    </r>
  </si>
  <si>
    <t>kN/m3</t>
  </si>
  <si>
    <t>水平土圧係数</t>
  </si>
  <si>
    <r>
      <t>KAH=K</t>
    </r>
    <r>
      <rPr>
        <sz val="11"/>
        <rFont val="ＭＳ 明朝"/>
        <family val="1"/>
      </rPr>
      <t>Acos(α+δ)=</t>
    </r>
  </si>
  <si>
    <t>任意点の断面力</t>
  </si>
  <si>
    <r>
      <t>z</t>
    </r>
    <r>
      <rPr>
        <sz val="11"/>
        <rFont val="ＭＳ 明朝"/>
        <family val="1"/>
      </rPr>
      <t>(m)</t>
    </r>
  </si>
  <si>
    <r>
      <t>z</t>
    </r>
    <r>
      <rPr>
        <sz val="11"/>
        <rFont val="ＭＳ 明朝"/>
        <family val="1"/>
      </rPr>
      <t>'(m)</t>
    </r>
  </si>
  <si>
    <r>
      <t>pz</t>
    </r>
    <r>
      <rPr>
        <sz val="11"/>
        <rFont val="ＭＳ 明朝"/>
        <family val="1"/>
      </rPr>
      <t>(kN/m2)</t>
    </r>
  </si>
  <si>
    <r>
      <t>Sz</t>
    </r>
    <r>
      <rPr>
        <sz val="11"/>
        <rFont val="ＭＳ 明朝"/>
        <family val="1"/>
      </rPr>
      <t>(kN/m)</t>
    </r>
  </si>
  <si>
    <r>
      <t>M</t>
    </r>
    <r>
      <rPr>
        <sz val="11"/>
        <rFont val="ＭＳ 明朝"/>
        <family val="1"/>
      </rPr>
      <t>z(kNm/m)</t>
    </r>
  </si>
  <si>
    <t>縮尺</t>
  </si>
  <si>
    <t>せん断力</t>
  </si>
  <si>
    <t>曲げモーメント</t>
  </si>
  <si>
    <t>x</t>
  </si>
  <si>
    <t>フレーム</t>
  </si>
  <si>
    <t>側壁</t>
  </si>
  <si>
    <t>底面</t>
  </si>
  <si>
    <t>中心線</t>
  </si>
  <si>
    <t>ｂ）底版の断面力</t>
  </si>
  <si>
    <t>底版幅</t>
  </si>
  <si>
    <t>B=</t>
  </si>
  <si>
    <t>地盤反力</t>
  </si>
  <si>
    <t>qw=</t>
  </si>
  <si>
    <t>Σq=</t>
  </si>
  <si>
    <t>kN/m</t>
  </si>
  <si>
    <t>鉛直土圧</t>
  </si>
  <si>
    <t>PAV=</t>
  </si>
  <si>
    <t>kN/m</t>
  </si>
  <si>
    <t>x(m)</t>
  </si>
  <si>
    <r>
      <t>S</t>
    </r>
    <r>
      <rPr>
        <sz val="11"/>
        <rFont val="ＭＳ 明朝"/>
        <family val="1"/>
      </rPr>
      <t>x(kN/m)</t>
    </r>
  </si>
  <si>
    <t>Mx(kNm/m)</t>
  </si>
  <si>
    <t>ｃ）せん断力図と曲げモーメント図</t>
  </si>
  <si>
    <t>ａ）側壁の断面力</t>
  </si>
  <si>
    <t>単位体積重量</t>
  </si>
  <si>
    <t>せん断力</t>
  </si>
  <si>
    <t>x</t>
  </si>
  <si>
    <t>フレーム</t>
  </si>
  <si>
    <t>側壁</t>
  </si>
  <si>
    <t>底面</t>
  </si>
  <si>
    <t>中心線</t>
  </si>
  <si>
    <t>２．５応力度</t>
  </si>
  <si>
    <t>（１）CASE-1</t>
  </si>
  <si>
    <t>曲げモーメント</t>
  </si>
  <si>
    <t>kNm</t>
  </si>
  <si>
    <t>有効幅</t>
  </si>
  <si>
    <t>mm</t>
  </si>
  <si>
    <t>鉄筋中心かぶり</t>
  </si>
  <si>
    <t>mm</t>
  </si>
  <si>
    <t>有効高</t>
  </si>
  <si>
    <t>鉄筋径</t>
  </si>
  <si>
    <t>鉄筋間隔</t>
  </si>
  <si>
    <t>鉄筋量</t>
  </si>
  <si>
    <r>
      <t>mm</t>
    </r>
    <r>
      <rPr>
        <vertAlign val="superscript"/>
        <sz val="10.5"/>
        <rFont val="ＭＳ 明朝"/>
        <family val="1"/>
      </rPr>
      <t>2</t>
    </r>
  </si>
  <si>
    <t>コンクリートの曲げ圧縮応力度</t>
  </si>
  <si>
    <r>
      <t>N/mm</t>
    </r>
    <r>
      <rPr>
        <vertAlign val="superscript"/>
        <sz val="11"/>
        <rFont val="ＭＳ 明朝"/>
        <family val="1"/>
      </rPr>
      <t>2</t>
    </r>
  </si>
  <si>
    <r>
      <t>σ</t>
    </r>
    <r>
      <rPr>
        <i/>
        <vertAlign val="subscript"/>
        <sz val="11"/>
        <rFont val="ＭＳ 明朝"/>
        <family val="1"/>
      </rPr>
      <t>ca</t>
    </r>
    <r>
      <rPr>
        <i/>
        <sz val="11"/>
        <rFont val="ＭＳ 明朝"/>
        <family val="1"/>
      </rPr>
      <t>=</t>
    </r>
  </si>
  <si>
    <t>鉄筋の曲げ引張応力度</t>
  </si>
  <si>
    <r>
      <t>N/mm</t>
    </r>
    <r>
      <rPr>
        <vertAlign val="superscript"/>
        <sz val="11"/>
        <rFont val="ＭＳ 明朝"/>
        <family val="1"/>
      </rPr>
      <t>2</t>
    </r>
  </si>
  <si>
    <r>
      <t>σ</t>
    </r>
    <r>
      <rPr>
        <i/>
        <vertAlign val="subscript"/>
        <sz val="11"/>
        <rFont val="ＭＳ 明朝"/>
        <family val="1"/>
      </rPr>
      <t>sa</t>
    </r>
    <r>
      <rPr>
        <i/>
        <sz val="11"/>
        <rFont val="ＭＳ 明朝"/>
        <family val="1"/>
      </rPr>
      <t>=</t>
    </r>
  </si>
  <si>
    <t>せん断力</t>
  </si>
  <si>
    <t>S=</t>
  </si>
  <si>
    <t>kN</t>
  </si>
  <si>
    <t>部材厚</t>
  </si>
  <si>
    <t>mm</t>
  </si>
  <si>
    <t>ａ）側壁基部</t>
  </si>
  <si>
    <t>コンクリートの平均せん断応力度</t>
  </si>
  <si>
    <r>
      <t>τ</t>
    </r>
    <r>
      <rPr>
        <i/>
        <vertAlign val="subscript"/>
        <sz val="11"/>
        <rFont val="ＭＳ 明朝"/>
        <family val="1"/>
      </rPr>
      <t>ca</t>
    </r>
    <r>
      <rPr>
        <i/>
        <sz val="11"/>
        <rFont val="ＭＳ 明朝"/>
        <family val="1"/>
      </rPr>
      <t>=</t>
    </r>
  </si>
  <si>
    <t>ｂ）底版端部</t>
  </si>
  <si>
    <t>ｃ）底版中央</t>
  </si>
  <si>
    <t>（２）CASE-２</t>
  </si>
  <si>
    <t>min=</t>
  </si>
  <si>
    <r>
      <t>m</t>
    </r>
    <r>
      <rPr>
        <sz val="11"/>
        <rFont val="ＭＳ 明朝"/>
        <family val="1"/>
      </rPr>
      <t>a</t>
    </r>
    <r>
      <rPr>
        <sz val="11"/>
        <rFont val="ＭＳ 明朝"/>
        <family val="1"/>
      </rPr>
      <t>x=</t>
    </r>
  </si>
  <si>
    <t>３．浮力による浮き上がりに対する照査</t>
  </si>
  <si>
    <t>３．１荷重</t>
  </si>
  <si>
    <t>自重</t>
  </si>
  <si>
    <t>（１）自重</t>
  </si>
  <si>
    <t>水路内高</t>
  </si>
  <si>
    <t>水路内幅</t>
  </si>
  <si>
    <t>Ho=</t>
  </si>
  <si>
    <t>Bo=</t>
  </si>
  <si>
    <t>壁基部厚</t>
  </si>
  <si>
    <t>壁天端厚</t>
  </si>
  <si>
    <r>
      <t>t</t>
    </r>
    <r>
      <rPr>
        <sz val="11"/>
        <rFont val="ＭＳ 明朝"/>
        <family val="1"/>
      </rPr>
      <t>f</t>
    </r>
    <r>
      <rPr>
        <sz val="11"/>
        <rFont val="ＭＳ 明朝"/>
        <family val="1"/>
      </rPr>
      <t>=</t>
    </r>
  </si>
  <si>
    <t>底版厚</t>
  </si>
  <si>
    <t>底版全幅</t>
  </si>
  <si>
    <t>水路全高</t>
  </si>
  <si>
    <t>（２）主働土圧の鉛直成分</t>
  </si>
  <si>
    <t>主働土圧係数の鉛直成分</t>
  </si>
  <si>
    <t>KA=</t>
  </si>
  <si>
    <t>（３）浮力</t>
  </si>
  <si>
    <t>３．２浮き上がりに対する安全率</t>
  </si>
  <si>
    <t>活荷重</t>
  </si>
  <si>
    <t>Ｔ－２５</t>
  </si>
  <si>
    <t>Ｔ－１４</t>
  </si>
  <si>
    <t>Ｔ－１０</t>
  </si>
  <si>
    <t>計算結果</t>
  </si>
  <si>
    <t>応力度</t>
  </si>
  <si>
    <t>内水無し</t>
  </si>
  <si>
    <t>側壁基部</t>
  </si>
  <si>
    <t>底版端部</t>
  </si>
  <si>
    <t>底版中央</t>
  </si>
  <si>
    <t>内水満杯</t>
  </si>
  <si>
    <t>ｺﾝｸﾘｰﾄ</t>
  </si>
  <si>
    <t>鉄筋</t>
  </si>
  <si>
    <t>せん断</t>
  </si>
  <si>
    <t>許容応力度</t>
  </si>
  <si>
    <t>判定</t>
  </si>
  <si>
    <t>マクロのセキュリティが「高」に設定されていると印刷できません。</t>
  </si>
  <si>
    <t>メニューバーの「ツール」→「マクロ」→「セキュリティの設定」</t>
  </si>
  <si>
    <t>でセキュリティを「中」または「低」に設定し，一旦，Excelを終了し</t>
  </si>
  <si>
    <t>再度ファイルを開けば，印刷が可能になります。</t>
  </si>
  <si>
    <t>断面力縮尺</t>
  </si>
  <si>
    <t>内水無しの状態</t>
  </si>
  <si>
    <t>内水満杯の状態</t>
  </si>
  <si>
    <t>せん断力図</t>
  </si>
  <si>
    <t>曲げモーメント図</t>
  </si>
  <si>
    <r>
      <t>（２）CASE-1</t>
    </r>
    <r>
      <rPr>
        <sz val="11"/>
        <rFont val="ＭＳ 明朝"/>
        <family val="1"/>
      </rPr>
      <t>(内水が無い状態)</t>
    </r>
  </si>
  <si>
    <t>間隔(mm)</t>
  </si>
  <si>
    <t>なし</t>
  </si>
  <si>
    <t>鉄筋径</t>
  </si>
  <si>
    <t>かぶり(mm)</t>
  </si>
  <si>
    <t>側壁・底版下側</t>
  </si>
  <si>
    <t>底版上側</t>
  </si>
  <si>
    <t>間隔(mm)</t>
  </si>
  <si>
    <t>かぶり(mm)</t>
  </si>
  <si>
    <t>地下水位</t>
  </si>
  <si>
    <t>地下水</t>
  </si>
  <si>
    <t>考慮しない</t>
  </si>
  <si>
    <t>任意に設定</t>
  </si>
  <si>
    <t>q=</t>
  </si>
  <si>
    <t>任意に設定</t>
  </si>
  <si>
    <t>q</t>
  </si>
  <si>
    <t>S</t>
  </si>
  <si>
    <t>y</t>
  </si>
  <si>
    <t>M</t>
  </si>
  <si>
    <t>h</t>
  </si>
  <si>
    <t>側壁外・底版下</t>
  </si>
  <si>
    <t>側壁内・底版上</t>
  </si>
  <si>
    <t>As</t>
  </si>
  <si>
    <t>側壁外と底版下の鉄筋</t>
  </si>
  <si>
    <t>側壁内と底版上の鉄筋</t>
  </si>
  <si>
    <t>側溝</t>
  </si>
  <si>
    <t>左地盤線</t>
  </si>
  <si>
    <t>右地盤線</t>
  </si>
  <si>
    <t>左水位</t>
  </si>
  <si>
    <t>右水位</t>
  </si>
  <si>
    <t>群集荷重+大型車</t>
  </si>
  <si>
    <t>群集荷重+小型車</t>
  </si>
  <si>
    <t>載荷重</t>
  </si>
  <si>
    <t>ｺﾝｸﾘｰﾄ基準強度</t>
  </si>
  <si>
    <t>土圧の鉛直成分は1/2とする。</t>
  </si>
  <si>
    <t>Mmax=</t>
  </si>
  <si>
    <r>
      <t>M</t>
    </r>
    <r>
      <rPr>
        <sz val="11"/>
        <rFont val="ＭＳ 明朝"/>
        <family val="1"/>
      </rPr>
      <t>m</t>
    </r>
    <r>
      <rPr>
        <sz val="11"/>
        <rFont val="ＭＳ 明朝"/>
        <family val="1"/>
      </rPr>
      <t>in=</t>
    </r>
  </si>
  <si>
    <t>M=</t>
  </si>
  <si>
    <t>Smax=</t>
  </si>
  <si>
    <t>Smin=</t>
  </si>
  <si>
    <t>SR235</t>
  </si>
  <si>
    <t>φ2.6</t>
  </si>
  <si>
    <t>φ3.2</t>
  </si>
  <si>
    <t>φ4</t>
  </si>
  <si>
    <t>φ5</t>
  </si>
  <si>
    <t>φ6</t>
  </si>
  <si>
    <r>
      <t>N/mm</t>
    </r>
    <r>
      <rPr>
        <vertAlign val="superscript"/>
        <sz val="10.5"/>
        <rFont val="ＭＳ 明朝"/>
        <family val="1"/>
      </rPr>
      <t>２</t>
    </r>
  </si>
  <si>
    <t>tf=</t>
  </si>
  <si>
    <r>
      <t>t</t>
    </r>
    <r>
      <rPr>
        <sz val="11"/>
        <rFont val="ＭＳ 明朝"/>
        <family val="1"/>
      </rPr>
      <t>o</t>
    </r>
    <r>
      <rPr>
        <sz val="11"/>
        <rFont val="ＭＳ 明朝"/>
        <family val="1"/>
      </rPr>
      <t>=</t>
    </r>
  </si>
  <si>
    <t>水路内水位</t>
  </si>
  <si>
    <t>m</t>
  </si>
  <si>
    <t>水路内水位</t>
  </si>
  <si>
    <t>hwi=</t>
  </si>
  <si>
    <t>hwi=</t>
  </si>
  <si>
    <r>
      <t>t</t>
    </r>
    <r>
      <rPr>
        <sz val="11"/>
        <rFont val="ＭＳ 明朝"/>
        <family val="1"/>
      </rPr>
      <t>o</t>
    </r>
    <r>
      <rPr>
        <sz val="11"/>
        <rFont val="ＭＳ 明朝"/>
        <family val="1"/>
      </rPr>
      <t>=</t>
    </r>
  </si>
  <si>
    <t>to=</t>
  </si>
  <si>
    <t>tu=</t>
  </si>
  <si>
    <t>tf=</t>
  </si>
  <si>
    <t>hi=</t>
  </si>
  <si>
    <t>水位</t>
  </si>
  <si>
    <r>
      <t>（３）CASE-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(内水が有る状態)</t>
    </r>
  </si>
  <si>
    <t>地下水位</t>
  </si>
  <si>
    <t>内水位</t>
  </si>
  <si>
    <r>
      <t>h</t>
    </r>
    <r>
      <rPr>
        <sz val="11"/>
        <rFont val="ＭＳ 明朝"/>
        <family val="1"/>
      </rPr>
      <t>i</t>
    </r>
    <r>
      <rPr>
        <sz val="11"/>
        <rFont val="ＭＳ 明朝"/>
        <family val="1"/>
      </rPr>
      <t>u=</t>
    </r>
  </si>
  <si>
    <r>
      <t>h</t>
    </r>
    <r>
      <rPr>
        <sz val="11"/>
        <rFont val="ＭＳ 明朝"/>
        <family val="1"/>
      </rPr>
      <t>i</t>
    </r>
    <r>
      <rPr>
        <sz val="11"/>
        <rFont val="ＭＳ 明朝"/>
        <family val="1"/>
      </rPr>
      <t>l=</t>
    </r>
  </si>
  <si>
    <t>M=</t>
  </si>
  <si>
    <t>S=</t>
  </si>
  <si>
    <t>h=</t>
  </si>
  <si>
    <t>b=</t>
  </si>
  <si>
    <t>w=</t>
  </si>
  <si>
    <t>d=</t>
  </si>
  <si>
    <t>pich=</t>
  </si>
  <si>
    <t>As=</t>
  </si>
  <si>
    <t>ヤング係数比</t>
  </si>
  <si>
    <t>n=</t>
  </si>
  <si>
    <t>鉄筋比</t>
  </si>
  <si>
    <t>As</t>
  </si>
  <si>
    <t>bd</t>
  </si>
  <si>
    <t>係数</t>
  </si>
  <si>
    <t>b・d</t>
  </si>
  <si>
    <t>np=</t>
  </si>
  <si>
    <t>2M</t>
  </si>
  <si>
    <t>kjbd^2</t>
  </si>
  <si>
    <t>σc=</t>
  </si>
  <si>
    <t>σs=</t>
  </si>
  <si>
    <t>AsJd</t>
  </si>
  <si>
    <t>τcm=</t>
  </si>
  <si>
    <t>M=</t>
  </si>
  <si>
    <t>S=</t>
  </si>
  <si>
    <t>h=</t>
  </si>
  <si>
    <t>b=</t>
  </si>
  <si>
    <t>w=</t>
  </si>
  <si>
    <t>d=</t>
  </si>
  <si>
    <t>pich=</t>
  </si>
  <si>
    <t>As=</t>
  </si>
  <si>
    <r>
      <t>t</t>
    </r>
    <r>
      <rPr>
        <sz val="11"/>
        <rFont val="ＭＳ 明朝"/>
        <family val="1"/>
      </rPr>
      <t>o</t>
    </r>
    <r>
      <rPr>
        <sz val="11"/>
        <rFont val="ＭＳ 明朝"/>
        <family val="1"/>
      </rPr>
      <t>=</t>
    </r>
  </si>
  <si>
    <r>
      <t>t</t>
    </r>
    <r>
      <rPr>
        <sz val="11"/>
        <rFont val="ＭＳ 明朝"/>
        <family val="1"/>
      </rPr>
      <t>u</t>
    </r>
    <r>
      <rPr>
        <sz val="11"/>
        <rFont val="ＭＳ 明朝"/>
        <family val="1"/>
      </rPr>
      <t>=</t>
    </r>
  </si>
  <si>
    <t>W=</t>
  </si>
  <si>
    <t>土圧合力の鉛直成分</t>
  </si>
  <si>
    <t>PAV=1/2{(pv0+pv1)hwu+(pv1+pv2)hwl}</t>
  </si>
  <si>
    <r>
      <t>W+1/2・(2</t>
    </r>
    <r>
      <rPr>
        <sz val="11"/>
        <rFont val="ＭＳ 明朝"/>
        <family val="1"/>
      </rPr>
      <t>PAV)</t>
    </r>
  </si>
  <si>
    <t>U</t>
  </si>
  <si>
    <t>D25</t>
  </si>
  <si>
    <t>D25</t>
  </si>
  <si>
    <t>D29</t>
  </si>
  <si>
    <t>D29</t>
  </si>
  <si>
    <t>D32</t>
  </si>
  <si>
    <t>D32</t>
  </si>
  <si>
    <t>D22</t>
  </si>
  <si>
    <t>D22</t>
  </si>
  <si>
    <t>サイズ</t>
  </si>
  <si>
    <t>D6</t>
  </si>
  <si>
    <t>D10</t>
  </si>
  <si>
    <t>D13</t>
  </si>
  <si>
    <t>D16</t>
  </si>
  <si>
    <t>D19</t>
  </si>
  <si>
    <t>D35</t>
  </si>
  <si>
    <t>D38</t>
  </si>
  <si>
    <t>D41</t>
  </si>
  <si>
    <t>単位質量</t>
  </si>
  <si>
    <t>(kg/m)</t>
  </si>
  <si>
    <t>公称直径</t>
  </si>
  <si>
    <t>(mm)</t>
  </si>
  <si>
    <t>公称断面積</t>
  </si>
  <si>
    <r>
      <t>(cm</t>
    </r>
    <r>
      <rPr>
        <b/>
        <vertAlign val="superscript"/>
        <sz val="10"/>
        <rFont val="ＭＳ 明朝"/>
        <family val="1"/>
      </rPr>
      <t>2</t>
    </r>
    <r>
      <rPr>
        <b/>
        <sz val="10"/>
        <rFont val="ＭＳ 明朝"/>
        <family val="1"/>
      </rPr>
      <t>)</t>
    </r>
  </si>
  <si>
    <t>(cm2)</t>
  </si>
  <si>
    <t>mm2</t>
  </si>
  <si>
    <t>tw=</t>
  </si>
  <si>
    <t>壁基部厚</t>
  </si>
  <si>
    <t>土地改良水路</t>
  </si>
  <si>
    <t>浮力の安全率</t>
  </si>
  <si>
    <t>Fs=</t>
  </si>
  <si>
    <t>Ver.20078.21</t>
  </si>
  <si>
    <t>2007.8.21</t>
  </si>
  <si>
    <t>修正内容</t>
  </si>
  <si>
    <t>標準(Ho/2)</t>
  </si>
  <si>
    <t>標準水位をH/2からHo/2に変更した。</t>
  </si>
  <si>
    <t>浮上り防止コンクリート</t>
  </si>
  <si>
    <t>tc=</t>
  </si>
  <si>
    <t>浮き上がり防止コンクリートtc=</t>
  </si>
  <si>
    <t>tc=</t>
  </si>
  <si>
    <r>
      <t>γc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=</t>
    </r>
  </si>
  <si>
    <r>
      <t>γc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=</t>
    </r>
  </si>
  <si>
    <t>土圧作用高　TH=</t>
  </si>
  <si>
    <r>
      <t>z=</t>
    </r>
    <r>
      <rPr>
        <sz val="11"/>
        <rFont val="ＭＳ 明朝"/>
        <family val="1"/>
      </rPr>
      <t>T</t>
    </r>
    <r>
      <rPr>
        <sz val="11"/>
        <rFont val="ＭＳ 明朝"/>
        <family val="1"/>
      </rPr>
      <t>H</t>
    </r>
  </si>
  <si>
    <r>
      <t>U={B(</t>
    </r>
    <r>
      <rPr>
        <sz val="11"/>
        <rFont val="ＭＳ 明朝"/>
        <family val="1"/>
      </rPr>
      <t>T</t>
    </r>
    <r>
      <rPr>
        <sz val="11"/>
        <rFont val="ＭＳ 明朝"/>
        <family val="1"/>
      </rPr>
      <t>H</t>
    </r>
    <r>
      <rPr>
        <sz val="11"/>
        <rFont val="ＭＳ 明朝"/>
        <family val="1"/>
      </rPr>
      <t>-hwu)-n(Ho-hwu)}γw</t>
    </r>
  </si>
  <si>
    <t>浮上り防止</t>
  </si>
  <si>
    <t>底面の下に浮上り防止コンクリート付け足して計算ができるようにした。</t>
  </si>
  <si>
    <t>浮力に対する必要安全率を任意に入力できるようにした。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</si>
</sst>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0.000_);[Red]\(0.000\)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3"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0.5"/>
      <name val="Times New Roman"/>
      <family val="1"/>
    </font>
    <font>
      <sz val="10.5"/>
      <name val="ＭＳ 明朝"/>
      <family val="1"/>
    </font>
    <font>
      <vertAlign val="superscript"/>
      <sz val="10.5"/>
      <name val="ＭＳ 明朝"/>
      <family val="1"/>
    </font>
    <font>
      <i/>
      <sz val="11"/>
      <name val="ＭＳ 明朝"/>
      <family val="1"/>
    </font>
    <font>
      <i/>
      <vertAlign val="subscript"/>
      <sz val="11"/>
      <name val="ＭＳ 明朝"/>
      <family val="1"/>
    </font>
    <font>
      <sz val="6"/>
      <name val="ＭＳ Ｐゴシック"/>
      <family val="3"/>
    </font>
    <font>
      <vertAlign val="superscript"/>
      <sz val="11"/>
      <name val="ＭＳ 明朝"/>
      <family val="1"/>
    </font>
    <font>
      <vertAlign val="subscript"/>
      <sz val="11"/>
      <name val="ＭＳ 明朝"/>
      <family val="1"/>
    </font>
    <font>
      <sz val="7"/>
      <name val="ＭＳ Ｐゴシック"/>
      <family val="3"/>
    </font>
    <font>
      <b/>
      <sz val="7"/>
      <name val="ＭＳ Ｐゴシック"/>
      <family val="3"/>
    </font>
    <font>
      <b/>
      <sz val="11"/>
      <name val="ＭＳ 明朝"/>
      <family val="1"/>
    </font>
    <font>
      <u val="single"/>
      <sz val="14.4"/>
      <color indexed="12"/>
      <name val="ＭＳ 明朝"/>
      <family val="1"/>
    </font>
    <font>
      <sz val="14"/>
      <color indexed="61"/>
      <name val="ＭＳ Ｐゴシック"/>
      <family val="3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vertAlign val="superscript"/>
      <sz val="10"/>
      <name val="ＭＳ 明朝"/>
      <family val="1"/>
    </font>
    <font>
      <b/>
      <sz val="11"/>
      <color indexed="9"/>
      <name val="ＭＳ 明朝"/>
      <family val="1"/>
    </font>
    <font>
      <sz val="9"/>
      <color indexed="9"/>
      <name val="ＭＳ 明朝"/>
      <family val="1"/>
    </font>
    <font>
      <sz val="9"/>
      <name val="ＭＳ 明朝"/>
      <family val="1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9.25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right"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4" fillId="35" borderId="0" xfId="0" applyFont="1" applyFill="1" applyAlignment="1">
      <alignment horizontal="right"/>
    </xf>
    <xf numFmtId="0" fontId="4" fillId="35" borderId="0" xfId="0" applyFont="1" applyFill="1" applyAlignment="1">
      <alignment horizontal="center"/>
    </xf>
    <xf numFmtId="0" fontId="0" fillId="35" borderId="10" xfId="0" applyFont="1" applyFill="1" applyBorder="1" applyAlignment="1">
      <alignment/>
    </xf>
    <xf numFmtId="2" fontId="0" fillId="35" borderId="10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19" xfId="0" applyFont="1" applyBorder="1" applyAlignment="1">
      <alignment horizontal="center" shrinkToFit="1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5" borderId="10" xfId="0" applyFont="1" applyFill="1" applyBorder="1" applyAlignment="1">
      <alignment horizontal="center" shrinkToFit="1"/>
    </xf>
    <xf numFmtId="0" fontId="0" fillId="35" borderId="10" xfId="0" applyFont="1" applyFill="1" applyBorder="1" applyAlignment="1">
      <alignment shrinkToFi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shrinkToFit="1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76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shrinkToFi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center"/>
    </xf>
    <xf numFmtId="0" fontId="17" fillId="0" borderId="15" xfId="0" applyFont="1" applyBorder="1" applyAlignment="1">
      <alignment wrapText="1"/>
    </xf>
    <xf numFmtId="0" fontId="0" fillId="0" borderId="12" xfId="0" applyBorder="1" applyAlignment="1">
      <alignment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shrinkToFit="1"/>
    </xf>
    <xf numFmtId="180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35" borderId="0" xfId="0" applyFill="1" applyAlignment="1">
      <alignment/>
    </xf>
    <xf numFmtId="0" fontId="13" fillId="35" borderId="0" xfId="0" applyFont="1" applyFill="1" applyAlignment="1">
      <alignment/>
    </xf>
    <xf numFmtId="0" fontId="0" fillId="35" borderId="0" xfId="0" applyFill="1" applyAlignment="1">
      <alignment shrinkToFit="1"/>
    </xf>
    <xf numFmtId="49" fontId="15" fillId="35" borderId="0" xfId="0" applyNumberFormat="1" applyFont="1" applyFill="1" applyBorder="1" applyAlignment="1">
      <alignment/>
    </xf>
    <xf numFmtId="0" fontId="20" fillId="3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6" borderId="0" xfId="0" applyFont="1" applyFill="1" applyAlignment="1">
      <alignment horizontal="center" vertical="center" shrinkToFit="1"/>
    </xf>
    <xf numFmtId="0" fontId="22" fillId="0" borderId="0" xfId="0" applyFont="1" applyAlignment="1">
      <alignment horizontal="center" shrinkToFit="1"/>
    </xf>
    <xf numFmtId="0" fontId="0" fillId="35" borderId="24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15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4" fillId="35" borderId="0" xfId="0" applyFont="1" applyFill="1" applyAlignment="1">
      <alignment shrinkToFit="1"/>
    </xf>
    <xf numFmtId="0" fontId="0" fillId="0" borderId="0" xfId="0" applyAlignment="1">
      <alignment shrinkToFit="1"/>
    </xf>
    <xf numFmtId="0" fontId="0" fillId="35" borderId="10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8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7" fillId="0" borderId="15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495"/>
          <c:w val="0.9145"/>
          <c:h val="0.84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'計算'!$R$420</c:f>
              <c:strCache>
                <c:ptCount val="1"/>
                <c:pt idx="0">
                  <c:v>フレーム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'計算'!$Q$421:$Q$473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0.045766666666666664</c:v>
                </c:pt>
                <c:pt idx="6">
                  <c:v>0.1037</c:v>
                </c:pt>
                <c:pt idx="7">
                  <c:v>0.1738</c:v>
                </c:pt>
                <c:pt idx="8">
                  <c:v>0.25603333333333333</c:v>
                </c:pt>
                <c:pt idx="9">
                  <c:v>0.3504333333333333</c:v>
                </c:pt>
                <c:pt idx="10">
                  <c:v>0.4824</c:v>
                </c:pt>
                <c:pt idx="11">
                  <c:v>0.6492</c:v>
                </c:pt>
                <c:pt idx="12">
                  <c:v>0.8508333333333333</c:v>
                </c:pt>
                <c:pt idx="13">
                  <c:v>1.0873333333333333</c:v>
                </c:pt>
                <c:pt idx="14">
                  <c:v>1.3586666666666667</c:v>
                </c:pt>
                <c:pt idx="15">
                  <c:v>0</c:v>
                </c:pt>
                <c:pt idx="16">
                  <c:v>0</c:v>
                </c:pt>
                <c:pt idx="17">
                  <c:v>0.12</c:v>
                </c:pt>
                <c:pt idx="18">
                  <c:v>0.24</c:v>
                </c:pt>
                <c:pt idx="19">
                  <c:v>0.36</c:v>
                </c:pt>
                <c:pt idx="20">
                  <c:v>0.48</c:v>
                </c:pt>
                <c:pt idx="21">
                  <c:v>0.6</c:v>
                </c:pt>
                <c:pt idx="22">
                  <c:v>0.72</c:v>
                </c:pt>
                <c:pt idx="23">
                  <c:v>0.84</c:v>
                </c:pt>
                <c:pt idx="24">
                  <c:v>0.96</c:v>
                </c:pt>
                <c:pt idx="25">
                  <c:v>1.08</c:v>
                </c:pt>
                <c:pt idx="26">
                  <c:v>1.2000000000000002</c:v>
                </c:pt>
                <c:pt idx="27">
                  <c:v>2.4</c:v>
                </c:pt>
                <c:pt idx="28">
                  <c:v>2.4054666666666664</c:v>
                </c:pt>
                <c:pt idx="29">
                  <c:v>2.4238999999999997</c:v>
                </c:pt>
                <c:pt idx="30">
                  <c:v>2.458333333333333</c:v>
                </c:pt>
                <c:pt idx="31">
                  <c:v>2.5118</c:v>
                </c:pt>
                <c:pt idx="32">
                  <c:v>2.5873666666666666</c:v>
                </c:pt>
                <c:pt idx="33">
                  <c:v>2.7052</c:v>
                </c:pt>
                <c:pt idx="34">
                  <c:v>2.8656333333333333</c:v>
                </c:pt>
                <c:pt idx="35">
                  <c:v>3.0785666666666667</c:v>
                </c:pt>
                <c:pt idx="36">
                  <c:v>3.353933333333333</c:v>
                </c:pt>
                <c:pt idx="37">
                  <c:v>3.7016333333333336</c:v>
                </c:pt>
                <c:pt idx="38">
                  <c:v>2.4</c:v>
                </c:pt>
                <c:pt idx="39">
                  <c:v>2.4</c:v>
                </c:pt>
                <c:pt idx="40">
                  <c:v>2.4</c:v>
                </c:pt>
                <c:pt idx="41">
                  <c:v>2.28</c:v>
                </c:pt>
                <c:pt idx="42">
                  <c:v>2.16</c:v>
                </c:pt>
                <c:pt idx="43">
                  <c:v>2.04</c:v>
                </c:pt>
                <c:pt idx="44">
                  <c:v>1.92</c:v>
                </c:pt>
                <c:pt idx="45">
                  <c:v>1.7999999999999998</c:v>
                </c:pt>
                <c:pt idx="46">
                  <c:v>1.68</c:v>
                </c:pt>
                <c:pt idx="47">
                  <c:v>1.56</c:v>
                </c:pt>
                <c:pt idx="48">
                  <c:v>1.44</c:v>
                </c:pt>
                <c:pt idx="49">
                  <c:v>1.3199999999999998</c:v>
                </c:pt>
                <c:pt idx="50">
                  <c:v>1.1999999999999997</c:v>
                </c:pt>
                <c:pt idx="51">
                  <c:v>1.2</c:v>
                </c:pt>
                <c:pt idx="52">
                  <c:v>1.2</c:v>
                </c:pt>
              </c:numCache>
            </c:numRef>
          </c:xVal>
          <c:yVal>
            <c:numRef>
              <c:f>'計算'!$R$421:$R$473</c:f>
              <c:numCache>
                <c:ptCount val="53"/>
                <c:pt idx="0">
                  <c:v>2.675</c:v>
                </c:pt>
                <c:pt idx="1">
                  <c:v>0</c:v>
                </c:pt>
                <c:pt idx="2">
                  <c:v>0</c:v>
                </c:pt>
                <c:pt idx="3">
                  <c:v>2.675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'計算'!$S$420</c:f>
              <c:strCache>
                <c:ptCount val="1"/>
                <c:pt idx="0">
                  <c:v>側壁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'計算'!$Q$421:$Q$473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0.045766666666666664</c:v>
                </c:pt>
                <c:pt idx="6">
                  <c:v>0.1037</c:v>
                </c:pt>
                <c:pt idx="7">
                  <c:v>0.1738</c:v>
                </c:pt>
                <c:pt idx="8">
                  <c:v>0.25603333333333333</c:v>
                </c:pt>
                <c:pt idx="9">
                  <c:v>0.3504333333333333</c:v>
                </c:pt>
                <c:pt idx="10">
                  <c:v>0.4824</c:v>
                </c:pt>
                <c:pt idx="11">
                  <c:v>0.6492</c:v>
                </c:pt>
                <c:pt idx="12">
                  <c:v>0.8508333333333333</c:v>
                </c:pt>
                <c:pt idx="13">
                  <c:v>1.0873333333333333</c:v>
                </c:pt>
                <c:pt idx="14">
                  <c:v>1.3586666666666667</c:v>
                </c:pt>
                <c:pt idx="15">
                  <c:v>0</c:v>
                </c:pt>
                <c:pt idx="16">
                  <c:v>0</c:v>
                </c:pt>
                <c:pt idx="17">
                  <c:v>0.12</c:v>
                </c:pt>
                <c:pt idx="18">
                  <c:v>0.24</c:v>
                </c:pt>
                <c:pt idx="19">
                  <c:v>0.36</c:v>
                </c:pt>
                <c:pt idx="20">
                  <c:v>0.48</c:v>
                </c:pt>
                <c:pt idx="21">
                  <c:v>0.6</c:v>
                </c:pt>
                <c:pt idx="22">
                  <c:v>0.72</c:v>
                </c:pt>
                <c:pt idx="23">
                  <c:v>0.84</c:v>
                </c:pt>
                <c:pt idx="24">
                  <c:v>0.96</c:v>
                </c:pt>
                <c:pt idx="25">
                  <c:v>1.08</c:v>
                </c:pt>
                <c:pt idx="26">
                  <c:v>1.2000000000000002</c:v>
                </c:pt>
                <c:pt idx="27">
                  <c:v>2.4</c:v>
                </c:pt>
                <c:pt idx="28">
                  <c:v>2.4054666666666664</c:v>
                </c:pt>
                <c:pt idx="29">
                  <c:v>2.4238999999999997</c:v>
                </c:pt>
                <c:pt idx="30">
                  <c:v>2.458333333333333</c:v>
                </c:pt>
                <c:pt idx="31">
                  <c:v>2.5118</c:v>
                </c:pt>
                <c:pt idx="32">
                  <c:v>2.5873666666666666</c:v>
                </c:pt>
                <c:pt idx="33">
                  <c:v>2.7052</c:v>
                </c:pt>
                <c:pt idx="34">
                  <c:v>2.8656333333333333</c:v>
                </c:pt>
                <c:pt idx="35">
                  <c:v>3.0785666666666667</c:v>
                </c:pt>
                <c:pt idx="36">
                  <c:v>3.353933333333333</c:v>
                </c:pt>
                <c:pt idx="37">
                  <c:v>3.7016333333333336</c:v>
                </c:pt>
                <c:pt idx="38">
                  <c:v>2.4</c:v>
                </c:pt>
                <c:pt idx="39">
                  <c:v>2.4</c:v>
                </c:pt>
                <c:pt idx="40">
                  <c:v>2.4</c:v>
                </c:pt>
                <c:pt idx="41">
                  <c:v>2.28</c:v>
                </c:pt>
                <c:pt idx="42">
                  <c:v>2.16</c:v>
                </c:pt>
                <c:pt idx="43">
                  <c:v>2.04</c:v>
                </c:pt>
                <c:pt idx="44">
                  <c:v>1.92</c:v>
                </c:pt>
                <c:pt idx="45">
                  <c:v>1.7999999999999998</c:v>
                </c:pt>
                <c:pt idx="46">
                  <c:v>1.68</c:v>
                </c:pt>
                <c:pt idx="47">
                  <c:v>1.56</c:v>
                </c:pt>
                <c:pt idx="48">
                  <c:v>1.44</c:v>
                </c:pt>
                <c:pt idx="49">
                  <c:v>1.3199999999999998</c:v>
                </c:pt>
                <c:pt idx="50">
                  <c:v>1.1999999999999997</c:v>
                </c:pt>
                <c:pt idx="51">
                  <c:v>1.2</c:v>
                </c:pt>
                <c:pt idx="52">
                  <c:v>1.2</c:v>
                </c:pt>
              </c:numCache>
            </c:numRef>
          </c:xVal>
          <c:yVal>
            <c:numRef>
              <c:f>'計算'!$S$421:$S$473</c:f>
              <c:numCache>
                <c:ptCount val="53"/>
                <c:pt idx="4">
                  <c:v>2.675</c:v>
                </c:pt>
                <c:pt idx="5">
                  <c:v>2.425</c:v>
                </c:pt>
                <c:pt idx="6">
                  <c:v>2.175</c:v>
                </c:pt>
                <c:pt idx="7">
                  <c:v>1.9249999999999998</c:v>
                </c:pt>
                <c:pt idx="8">
                  <c:v>1.6749999999999998</c:v>
                </c:pt>
                <c:pt idx="9">
                  <c:v>1.4249999999999998</c:v>
                </c:pt>
                <c:pt idx="10">
                  <c:v>1.14</c:v>
                </c:pt>
                <c:pt idx="11">
                  <c:v>0.855</c:v>
                </c:pt>
                <c:pt idx="12">
                  <c:v>0.5699999999999998</c:v>
                </c:pt>
                <c:pt idx="13">
                  <c:v>0.2849999999999997</c:v>
                </c:pt>
                <c:pt idx="1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'計算'!$T$417</c:f>
              <c:strCache>
                <c:ptCount val="1"/>
                <c:pt idx="0">
                  <c:v>底面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'計算'!$Q$421:$Q$473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0.045766666666666664</c:v>
                </c:pt>
                <c:pt idx="6">
                  <c:v>0.1037</c:v>
                </c:pt>
                <c:pt idx="7">
                  <c:v>0.1738</c:v>
                </c:pt>
                <c:pt idx="8">
                  <c:v>0.25603333333333333</c:v>
                </c:pt>
                <c:pt idx="9">
                  <c:v>0.3504333333333333</c:v>
                </c:pt>
                <c:pt idx="10">
                  <c:v>0.4824</c:v>
                </c:pt>
                <c:pt idx="11">
                  <c:v>0.6492</c:v>
                </c:pt>
                <c:pt idx="12">
                  <c:v>0.8508333333333333</c:v>
                </c:pt>
                <c:pt idx="13">
                  <c:v>1.0873333333333333</c:v>
                </c:pt>
                <c:pt idx="14">
                  <c:v>1.3586666666666667</c:v>
                </c:pt>
                <c:pt idx="15">
                  <c:v>0</c:v>
                </c:pt>
                <c:pt idx="16">
                  <c:v>0</c:v>
                </c:pt>
                <c:pt idx="17">
                  <c:v>0.12</c:v>
                </c:pt>
                <c:pt idx="18">
                  <c:v>0.24</c:v>
                </c:pt>
                <c:pt idx="19">
                  <c:v>0.36</c:v>
                </c:pt>
                <c:pt idx="20">
                  <c:v>0.48</c:v>
                </c:pt>
                <c:pt idx="21">
                  <c:v>0.6</c:v>
                </c:pt>
                <c:pt idx="22">
                  <c:v>0.72</c:v>
                </c:pt>
                <c:pt idx="23">
                  <c:v>0.84</c:v>
                </c:pt>
                <c:pt idx="24">
                  <c:v>0.96</c:v>
                </c:pt>
                <c:pt idx="25">
                  <c:v>1.08</c:v>
                </c:pt>
                <c:pt idx="26">
                  <c:v>1.2000000000000002</c:v>
                </c:pt>
                <c:pt idx="27">
                  <c:v>2.4</c:v>
                </c:pt>
                <c:pt idx="28">
                  <c:v>2.4054666666666664</c:v>
                </c:pt>
                <c:pt idx="29">
                  <c:v>2.4238999999999997</c:v>
                </c:pt>
                <c:pt idx="30">
                  <c:v>2.458333333333333</c:v>
                </c:pt>
                <c:pt idx="31">
                  <c:v>2.5118</c:v>
                </c:pt>
                <c:pt idx="32">
                  <c:v>2.5873666666666666</c:v>
                </c:pt>
                <c:pt idx="33">
                  <c:v>2.7052</c:v>
                </c:pt>
                <c:pt idx="34">
                  <c:v>2.8656333333333333</c:v>
                </c:pt>
                <c:pt idx="35">
                  <c:v>3.0785666666666667</c:v>
                </c:pt>
                <c:pt idx="36">
                  <c:v>3.353933333333333</c:v>
                </c:pt>
                <c:pt idx="37">
                  <c:v>3.7016333333333336</c:v>
                </c:pt>
                <c:pt idx="38">
                  <c:v>2.4</c:v>
                </c:pt>
                <c:pt idx="39">
                  <c:v>2.4</c:v>
                </c:pt>
                <c:pt idx="40">
                  <c:v>2.4</c:v>
                </c:pt>
                <c:pt idx="41">
                  <c:v>2.28</c:v>
                </c:pt>
                <c:pt idx="42">
                  <c:v>2.16</c:v>
                </c:pt>
                <c:pt idx="43">
                  <c:v>2.04</c:v>
                </c:pt>
                <c:pt idx="44">
                  <c:v>1.92</c:v>
                </c:pt>
                <c:pt idx="45">
                  <c:v>1.7999999999999998</c:v>
                </c:pt>
                <c:pt idx="46">
                  <c:v>1.68</c:v>
                </c:pt>
                <c:pt idx="47">
                  <c:v>1.56</c:v>
                </c:pt>
                <c:pt idx="48">
                  <c:v>1.44</c:v>
                </c:pt>
                <c:pt idx="49">
                  <c:v>1.3199999999999998</c:v>
                </c:pt>
                <c:pt idx="50">
                  <c:v>1.1999999999999997</c:v>
                </c:pt>
                <c:pt idx="51">
                  <c:v>1.2</c:v>
                </c:pt>
                <c:pt idx="52">
                  <c:v>1.2</c:v>
                </c:pt>
              </c:numCache>
            </c:numRef>
          </c:xVal>
          <c:yVal>
            <c:numRef>
              <c:f>'計算'!$T$418:$T$470</c:f>
              <c:numCache>
                <c:ptCount val="53"/>
                <c:pt idx="15">
                  <c:v>0</c:v>
                </c:pt>
                <c:pt idx="16">
                  <c:v>-1.1135666666666666</c:v>
                </c:pt>
                <c:pt idx="17">
                  <c:v>-1.0022</c:v>
                </c:pt>
                <c:pt idx="18">
                  <c:v>-0.8908666666666666</c:v>
                </c:pt>
                <c:pt idx="19">
                  <c:v>-0.7795000000000001</c:v>
                </c:pt>
                <c:pt idx="20">
                  <c:v>-0.6681333333333334</c:v>
                </c:pt>
                <c:pt idx="21">
                  <c:v>-0.5568000000000001</c:v>
                </c:pt>
                <c:pt idx="22">
                  <c:v>-0.4454333333333333</c:v>
                </c:pt>
                <c:pt idx="23">
                  <c:v>-0.3340666666666667</c:v>
                </c:pt>
                <c:pt idx="24">
                  <c:v>-0.22273333333333334</c:v>
                </c:pt>
                <c:pt idx="25">
                  <c:v>-0.11136666666666667</c:v>
                </c:pt>
                <c:pt idx="2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'計算'!$U$421</c:f>
              <c:strCache>
                <c:ptCount val="1"/>
                <c:pt idx="0">
                  <c:v>側壁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'計算'!$Q$421:$Q$473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0.045766666666666664</c:v>
                </c:pt>
                <c:pt idx="6">
                  <c:v>0.1037</c:v>
                </c:pt>
                <c:pt idx="7">
                  <c:v>0.1738</c:v>
                </c:pt>
                <c:pt idx="8">
                  <c:v>0.25603333333333333</c:v>
                </c:pt>
                <c:pt idx="9">
                  <c:v>0.3504333333333333</c:v>
                </c:pt>
                <c:pt idx="10">
                  <c:v>0.4824</c:v>
                </c:pt>
                <c:pt idx="11">
                  <c:v>0.6492</c:v>
                </c:pt>
                <c:pt idx="12">
                  <c:v>0.8508333333333333</c:v>
                </c:pt>
                <c:pt idx="13">
                  <c:v>1.0873333333333333</c:v>
                </c:pt>
                <c:pt idx="14">
                  <c:v>1.3586666666666667</c:v>
                </c:pt>
                <c:pt idx="15">
                  <c:v>0</c:v>
                </c:pt>
                <c:pt idx="16">
                  <c:v>0</c:v>
                </c:pt>
                <c:pt idx="17">
                  <c:v>0.12</c:v>
                </c:pt>
                <c:pt idx="18">
                  <c:v>0.24</c:v>
                </c:pt>
                <c:pt idx="19">
                  <c:v>0.36</c:v>
                </c:pt>
                <c:pt idx="20">
                  <c:v>0.48</c:v>
                </c:pt>
                <c:pt idx="21">
                  <c:v>0.6</c:v>
                </c:pt>
                <c:pt idx="22">
                  <c:v>0.72</c:v>
                </c:pt>
                <c:pt idx="23">
                  <c:v>0.84</c:v>
                </c:pt>
                <c:pt idx="24">
                  <c:v>0.96</c:v>
                </c:pt>
                <c:pt idx="25">
                  <c:v>1.08</c:v>
                </c:pt>
                <c:pt idx="26">
                  <c:v>1.2000000000000002</c:v>
                </c:pt>
                <c:pt idx="27">
                  <c:v>2.4</c:v>
                </c:pt>
                <c:pt idx="28">
                  <c:v>2.4054666666666664</c:v>
                </c:pt>
                <c:pt idx="29">
                  <c:v>2.4238999999999997</c:v>
                </c:pt>
                <c:pt idx="30">
                  <c:v>2.458333333333333</c:v>
                </c:pt>
                <c:pt idx="31">
                  <c:v>2.5118</c:v>
                </c:pt>
                <c:pt idx="32">
                  <c:v>2.5873666666666666</c:v>
                </c:pt>
                <c:pt idx="33">
                  <c:v>2.7052</c:v>
                </c:pt>
                <c:pt idx="34">
                  <c:v>2.8656333333333333</c:v>
                </c:pt>
                <c:pt idx="35">
                  <c:v>3.0785666666666667</c:v>
                </c:pt>
                <c:pt idx="36">
                  <c:v>3.353933333333333</c:v>
                </c:pt>
                <c:pt idx="37">
                  <c:v>3.7016333333333336</c:v>
                </c:pt>
                <c:pt idx="38">
                  <c:v>2.4</c:v>
                </c:pt>
                <c:pt idx="39">
                  <c:v>2.4</c:v>
                </c:pt>
                <c:pt idx="40">
                  <c:v>2.4</c:v>
                </c:pt>
                <c:pt idx="41">
                  <c:v>2.28</c:v>
                </c:pt>
                <c:pt idx="42">
                  <c:v>2.16</c:v>
                </c:pt>
                <c:pt idx="43">
                  <c:v>2.04</c:v>
                </c:pt>
                <c:pt idx="44">
                  <c:v>1.92</c:v>
                </c:pt>
                <c:pt idx="45">
                  <c:v>1.7999999999999998</c:v>
                </c:pt>
                <c:pt idx="46">
                  <c:v>1.68</c:v>
                </c:pt>
                <c:pt idx="47">
                  <c:v>1.56</c:v>
                </c:pt>
                <c:pt idx="48">
                  <c:v>1.44</c:v>
                </c:pt>
                <c:pt idx="49">
                  <c:v>1.3199999999999998</c:v>
                </c:pt>
                <c:pt idx="50">
                  <c:v>1.1999999999999997</c:v>
                </c:pt>
                <c:pt idx="51">
                  <c:v>1.2</c:v>
                </c:pt>
                <c:pt idx="52">
                  <c:v>1.2</c:v>
                </c:pt>
              </c:numCache>
            </c:numRef>
          </c:xVal>
          <c:yVal>
            <c:numRef>
              <c:f>'計算'!$U$422:$U$474</c:f>
              <c:numCache>
                <c:ptCount val="53"/>
                <c:pt idx="27">
                  <c:v>2.675</c:v>
                </c:pt>
                <c:pt idx="28">
                  <c:v>2.425</c:v>
                </c:pt>
                <c:pt idx="29">
                  <c:v>2.175</c:v>
                </c:pt>
                <c:pt idx="30">
                  <c:v>1.9249999999999998</c:v>
                </c:pt>
                <c:pt idx="31">
                  <c:v>1.6749999999999998</c:v>
                </c:pt>
                <c:pt idx="32">
                  <c:v>1.4249999999999998</c:v>
                </c:pt>
                <c:pt idx="33">
                  <c:v>1.14</c:v>
                </c:pt>
                <c:pt idx="34">
                  <c:v>0.855</c:v>
                </c:pt>
                <c:pt idx="35">
                  <c:v>0.5699999999999998</c:v>
                </c:pt>
                <c:pt idx="36">
                  <c:v>0.2849999999999997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'計算'!$V$421</c:f>
              <c:strCache>
                <c:ptCount val="1"/>
                <c:pt idx="0">
                  <c:v>底面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'計算'!$Q$421:$Q$473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0.045766666666666664</c:v>
                </c:pt>
                <c:pt idx="6">
                  <c:v>0.1037</c:v>
                </c:pt>
                <c:pt idx="7">
                  <c:v>0.1738</c:v>
                </c:pt>
                <c:pt idx="8">
                  <c:v>0.25603333333333333</c:v>
                </c:pt>
                <c:pt idx="9">
                  <c:v>0.3504333333333333</c:v>
                </c:pt>
                <c:pt idx="10">
                  <c:v>0.4824</c:v>
                </c:pt>
                <c:pt idx="11">
                  <c:v>0.6492</c:v>
                </c:pt>
                <c:pt idx="12">
                  <c:v>0.8508333333333333</c:v>
                </c:pt>
                <c:pt idx="13">
                  <c:v>1.0873333333333333</c:v>
                </c:pt>
                <c:pt idx="14">
                  <c:v>1.3586666666666667</c:v>
                </c:pt>
                <c:pt idx="15">
                  <c:v>0</c:v>
                </c:pt>
                <c:pt idx="16">
                  <c:v>0</c:v>
                </c:pt>
                <c:pt idx="17">
                  <c:v>0.12</c:v>
                </c:pt>
                <c:pt idx="18">
                  <c:v>0.24</c:v>
                </c:pt>
                <c:pt idx="19">
                  <c:v>0.36</c:v>
                </c:pt>
                <c:pt idx="20">
                  <c:v>0.48</c:v>
                </c:pt>
                <c:pt idx="21">
                  <c:v>0.6</c:v>
                </c:pt>
                <c:pt idx="22">
                  <c:v>0.72</c:v>
                </c:pt>
                <c:pt idx="23">
                  <c:v>0.84</c:v>
                </c:pt>
                <c:pt idx="24">
                  <c:v>0.96</c:v>
                </c:pt>
                <c:pt idx="25">
                  <c:v>1.08</c:v>
                </c:pt>
                <c:pt idx="26">
                  <c:v>1.2000000000000002</c:v>
                </c:pt>
                <c:pt idx="27">
                  <c:v>2.4</c:v>
                </c:pt>
                <c:pt idx="28">
                  <c:v>2.4054666666666664</c:v>
                </c:pt>
                <c:pt idx="29">
                  <c:v>2.4238999999999997</c:v>
                </c:pt>
                <c:pt idx="30">
                  <c:v>2.458333333333333</c:v>
                </c:pt>
                <c:pt idx="31">
                  <c:v>2.5118</c:v>
                </c:pt>
                <c:pt idx="32">
                  <c:v>2.5873666666666666</c:v>
                </c:pt>
                <c:pt idx="33">
                  <c:v>2.7052</c:v>
                </c:pt>
                <c:pt idx="34">
                  <c:v>2.8656333333333333</c:v>
                </c:pt>
                <c:pt idx="35">
                  <c:v>3.0785666666666667</c:v>
                </c:pt>
                <c:pt idx="36">
                  <c:v>3.353933333333333</c:v>
                </c:pt>
                <c:pt idx="37">
                  <c:v>3.7016333333333336</c:v>
                </c:pt>
                <c:pt idx="38">
                  <c:v>2.4</c:v>
                </c:pt>
                <c:pt idx="39">
                  <c:v>2.4</c:v>
                </c:pt>
                <c:pt idx="40">
                  <c:v>2.4</c:v>
                </c:pt>
                <c:pt idx="41">
                  <c:v>2.28</c:v>
                </c:pt>
                <c:pt idx="42">
                  <c:v>2.16</c:v>
                </c:pt>
                <c:pt idx="43">
                  <c:v>2.04</c:v>
                </c:pt>
                <c:pt idx="44">
                  <c:v>1.92</c:v>
                </c:pt>
                <c:pt idx="45">
                  <c:v>1.7999999999999998</c:v>
                </c:pt>
                <c:pt idx="46">
                  <c:v>1.68</c:v>
                </c:pt>
                <c:pt idx="47">
                  <c:v>1.56</c:v>
                </c:pt>
                <c:pt idx="48">
                  <c:v>1.44</c:v>
                </c:pt>
                <c:pt idx="49">
                  <c:v>1.3199999999999998</c:v>
                </c:pt>
                <c:pt idx="50">
                  <c:v>1.1999999999999997</c:v>
                </c:pt>
                <c:pt idx="51">
                  <c:v>1.2</c:v>
                </c:pt>
                <c:pt idx="52">
                  <c:v>1.2</c:v>
                </c:pt>
              </c:numCache>
            </c:numRef>
          </c:xVal>
          <c:yVal>
            <c:numRef>
              <c:f>'計算'!$V$422:$V$474</c:f>
              <c:numCache>
                <c:ptCount val="53"/>
                <c:pt idx="39">
                  <c:v>0</c:v>
                </c:pt>
                <c:pt idx="40">
                  <c:v>-1.3016333333333334</c:v>
                </c:pt>
                <c:pt idx="41">
                  <c:v>-1.1747</c:v>
                </c:pt>
                <c:pt idx="42">
                  <c:v>-1.0611</c:v>
                </c:pt>
                <c:pt idx="43">
                  <c:v>-0.9608666666666666</c:v>
                </c:pt>
                <c:pt idx="44">
                  <c:v>-0.8740333333333333</c:v>
                </c:pt>
                <c:pt idx="45">
                  <c:v>-0.8005333333333333</c:v>
                </c:pt>
                <c:pt idx="46">
                  <c:v>-0.7404</c:v>
                </c:pt>
                <c:pt idx="47">
                  <c:v>-0.6936333333333333</c:v>
                </c:pt>
                <c:pt idx="48">
                  <c:v>-0.6602</c:v>
                </c:pt>
                <c:pt idx="49">
                  <c:v>-0.6401666666666667</c:v>
                </c:pt>
                <c:pt idx="50">
                  <c:v>-0.6335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'計算'!$W$421</c:f>
              <c:strCache>
                <c:ptCount val="1"/>
                <c:pt idx="0">
                  <c:v>中心線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'計算'!$Q$421:$Q$473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0.045766666666666664</c:v>
                </c:pt>
                <c:pt idx="6">
                  <c:v>0.1037</c:v>
                </c:pt>
                <c:pt idx="7">
                  <c:v>0.1738</c:v>
                </c:pt>
                <c:pt idx="8">
                  <c:v>0.25603333333333333</c:v>
                </c:pt>
                <c:pt idx="9">
                  <c:v>0.3504333333333333</c:v>
                </c:pt>
                <c:pt idx="10">
                  <c:v>0.4824</c:v>
                </c:pt>
                <c:pt idx="11">
                  <c:v>0.6492</c:v>
                </c:pt>
                <c:pt idx="12">
                  <c:v>0.8508333333333333</c:v>
                </c:pt>
                <c:pt idx="13">
                  <c:v>1.0873333333333333</c:v>
                </c:pt>
                <c:pt idx="14">
                  <c:v>1.3586666666666667</c:v>
                </c:pt>
                <c:pt idx="15">
                  <c:v>0</c:v>
                </c:pt>
                <c:pt idx="16">
                  <c:v>0</c:v>
                </c:pt>
                <c:pt idx="17">
                  <c:v>0.12</c:v>
                </c:pt>
                <c:pt idx="18">
                  <c:v>0.24</c:v>
                </c:pt>
                <c:pt idx="19">
                  <c:v>0.36</c:v>
                </c:pt>
                <c:pt idx="20">
                  <c:v>0.48</c:v>
                </c:pt>
                <c:pt idx="21">
                  <c:v>0.6</c:v>
                </c:pt>
                <c:pt idx="22">
                  <c:v>0.72</c:v>
                </c:pt>
                <c:pt idx="23">
                  <c:v>0.84</c:v>
                </c:pt>
                <c:pt idx="24">
                  <c:v>0.96</c:v>
                </c:pt>
                <c:pt idx="25">
                  <c:v>1.08</c:v>
                </c:pt>
                <c:pt idx="26">
                  <c:v>1.2000000000000002</c:v>
                </c:pt>
                <c:pt idx="27">
                  <c:v>2.4</c:v>
                </c:pt>
                <c:pt idx="28">
                  <c:v>2.4054666666666664</c:v>
                </c:pt>
                <c:pt idx="29">
                  <c:v>2.4238999999999997</c:v>
                </c:pt>
                <c:pt idx="30">
                  <c:v>2.458333333333333</c:v>
                </c:pt>
                <c:pt idx="31">
                  <c:v>2.5118</c:v>
                </c:pt>
                <c:pt idx="32">
                  <c:v>2.5873666666666666</c:v>
                </c:pt>
                <c:pt idx="33">
                  <c:v>2.7052</c:v>
                </c:pt>
                <c:pt idx="34">
                  <c:v>2.8656333333333333</c:v>
                </c:pt>
                <c:pt idx="35">
                  <c:v>3.0785666666666667</c:v>
                </c:pt>
                <c:pt idx="36">
                  <c:v>3.353933333333333</c:v>
                </c:pt>
                <c:pt idx="37">
                  <c:v>3.7016333333333336</c:v>
                </c:pt>
                <c:pt idx="38">
                  <c:v>2.4</c:v>
                </c:pt>
                <c:pt idx="39">
                  <c:v>2.4</c:v>
                </c:pt>
                <c:pt idx="40">
                  <c:v>2.4</c:v>
                </c:pt>
                <c:pt idx="41">
                  <c:v>2.28</c:v>
                </c:pt>
                <c:pt idx="42">
                  <c:v>2.16</c:v>
                </c:pt>
                <c:pt idx="43">
                  <c:v>2.04</c:v>
                </c:pt>
                <c:pt idx="44">
                  <c:v>1.92</c:v>
                </c:pt>
                <c:pt idx="45">
                  <c:v>1.7999999999999998</c:v>
                </c:pt>
                <c:pt idx="46">
                  <c:v>1.68</c:v>
                </c:pt>
                <c:pt idx="47">
                  <c:v>1.56</c:v>
                </c:pt>
                <c:pt idx="48">
                  <c:v>1.44</c:v>
                </c:pt>
                <c:pt idx="49">
                  <c:v>1.3199999999999998</c:v>
                </c:pt>
                <c:pt idx="50">
                  <c:v>1.1999999999999997</c:v>
                </c:pt>
                <c:pt idx="51">
                  <c:v>1.2</c:v>
                </c:pt>
                <c:pt idx="52">
                  <c:v>1.2</c:v>
                </c:pt>
              </c:numCache>
            </c:numRef>
          </c:xVal>
          <c:yVal>
            <c:numRef>
              <c:f>'計算'!$W$422:$W$474</c:f>
              <c:numCache>
                <c:ptCount val="53"/>
                <c:pt idx="51">
                  <c:v>3.2099999999999995</c:v>
                </c:pt>
                <c:pt idx="52">
                  <c:v>-1.3016333333333334</c:v>
                </c:pt>
              </c:numCache>
            </c:numRef>
          </c:yVal>
          <c:smooth val="0"/>
        </c:ser>
        <c:axId val="65167041"/>
        <c:axId val="49632458"/>
      </c:scatterChart>
      <c:valAx>
        <c:axId val="65167041"/>
        <c:scaling>
          <c:orientation val="minMax"/>
        </c:scaling>
        <c:axPos val="b"/>
        <c:delete val="1"/>
        <c:majorTickMark val="out"/>
        <c:minorTickMark val="none"/>
        <c:tickLblPos val="nextTo"/>
        <c:crossAx val="49632458"/>
        <c:crosses val="autoZero"/>
        <c:crossBetween val="midCat"/>
        <c:dispUnits/>
      </c:valAx>
      <c:valAx>
        <c:axId val="49632458"/>
        <c:scaling>
          <c:orientation val="minMax"/>
        </c:scaling>
        <c:axPos val="l"/>
        <c:delete val="1"/>
        <c:majorTickMark val="out"/>
        <c:minorTickMark val="none"/>
        <c:tickLblPos val="nextTo"/>
        <c:crossAx val="651670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1"/>
          <c:w val="0.87275"/>
          <c:h val="0.9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'計算'!$R$510</c:f>
              <c:strCache>
                <c:ptCount val="1"/>
                <c:pt idx="0">
                  <c:v>フレーム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'計算'!$Q$511:$Q$564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0.0365</c:v>
                </c:pt>
                <c:pt idx="6">
                  <c:v>0.07003333333333334</c:v>
                </c:pt>
                <c:pt idx="7">
                  <c:v>0.09413333333333333</c:v>
                </c:pt>
                <c:pt idx="8">
                  <c:v>0.10876666666666666</c:v>
                </c:pt>
                <c:pt idx="9">
                  <c:v>0.11396666666666667</c:v>
                </c:pt>
                <c:pt idx="10">
                  <c:v>0.10966666666666666</c:v>
                </c:pt>
                <c:pt idx="11">
                  <c:v>0.0959</c:v>
                </c:pt>
                <c:pt idx="12">
                  <c:v>0.0727</c:v>
                </c:pt>
                <c:pt idx="13">
                  <c:v>0.04003333333333334</c:v>
                </c:pt>
                <c:pt idx="14">
                  <c:v>-0.0021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0.12</c:v>
                </c:pt>
                <c:pt idx="19">
                  <c:v>0.24</c:v>
                </c:pt>
                <c:pt idx="20">
                  <c:v>0.36</c:v>
                </c:pt>
                <c:pt idx="21">
                  <c:v>0.48</c:v>
                </c:pt>
                <c:pt idx="22">
                  <c:v>0.6</c:v>
                </c:pt>
                <c:pt idx="23">
                  <c:v>0.72</c:v>
                </c:pt>
                <c:pt idx="24">
                  <c:v>0.84</c:v>
                </c:pt>
                <c:pt idx="25">
                  <c:v>0.96</c:v>
                </c:pt>
                <c:pt idx="26">
                  <c:v>1.08</c:v>
                </c:pt>
                <c:pt idx="27">
                  <c:v>1.2000000000000002</c:v>
                </c:pt>
                <c:pt idx="28">
                  <c:v>2.4</c:v>
                </c:pt>
                <c:pt idx="29">
                  <c:v>2.4046666666666665</c:v>
                </c:pt>
                <c:pt idx="30">
                  <c:v>2.4191</c:v>
                </c:pt>
                <c:pt idx="31">
                  <c:v>2.4413</c:v>
                </c:pt>
                <c:pt idx="32">
                  <c:v>2.4686333333333335</c:v>
                </c:pt>
                <c:pt idx="33">
                  <c:v>2.4986333333333333</c:v>
                </c:pt>
                <c:pt idx="34">
                  <c:v>2.5287666666666664</c:v>
                </c:pt>
                <c:pt idx="35">
                  <c:v>2.5564666666666667</c:v>
                </c:pt>
                <c:pt idx="36">
                  <c:v>2.5792333333333333</c:v>
                </c:pt>
                <c:pt idx="37">
                  <c:v>2.5945</c:v>
                </c:pt>
                <c:pt idx="38">
                  <c:v>2.5998</c:v>
                </c:pt>
                <c:pt idx="39">
                  <c:v>2.4</c:v>
                </c:pt>
                <c:pt idx="40">
                  <c:v>2.4</c:v>
                </c:pt>
                <c:pt idx="41">
                  <c:v>2.4</c:v>
                </c:pt>
                <c:pt idx="42">
                  <c:v>2.28</c:v>
                </c:pt>
                <c:pt idx="43">
                  <c:v>2.16</c:v>
                </c:pt>
                <c:pt idx="44">
                  <c:v>2.04</c:v>
                </c:pt>
                <c:pt idx="45">
                  <c:v>1.92</c:v>
                </c:pt>
                <c:pt idx="46">
                  <c:v>1.7999999999999998</c:v>
                </c:pt>
                <c:pt idx="47">
                  <c:v>1.68</c:v>
                </c:pt>
                <c:pt idx="48">
                  <c:v>1.56</c:v>
                </c:pt>
                <c:pt idx="49">
                  <c:v>1.44</c:v>
                </c:pt>
                <c:pt idx="50">
                  <c:v>1.3199999999999998</c:v>
                </c:pt>
                <c:pt idx="51">
                  <c:v>1.1999999999999997</c:v>
                </c:pt>
                <c:pt idx="52">
                  <c:v>1.2</c:v>
                </c:pt>
                <c:pt idx="53">
                  <c:v>1.2</c:v>
                </c:pt>
              </c:numCache>
            </c:numRef>
          </c:xVal>
          <c:yVal>
            <c:numRef>
              <c:f>'計算'!$R$511:$R$564</c:f>
              <c:numCache>
                <c:ptCount val="54"/>
                <c:pt idx="0">
                  <c:v>2.675</c:v>
                </c:pt>
                <c:pt idx="1">
                  <c:v>0</c:v>
                </c:pt>
                <c:pt idx="2">
                  <c:v>0</c:v>
                </c:pt>
                <c:pt idx="3">
                  <c:v>2.675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'計算'!$S$510</c:f>
              <c:strCache>
                <c:ptCount val="1"/>
                <c:pt idx="0">
                  <c:v>側壁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'計算'!$Q$511:$Q$564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0.0365</c:v>
                </c:pt>
                <c:pt idx="6">
                  <c:v>0.07003333333333334</c:v>
                </c:pt>
                <c:pt idx="7">
                  <c:v>0.09413333333333333</c:v>
                </c:pt>
                <c:pt idx="8">
                  <c:v>0.10876666666666666</c:v>
                </c:pt>
                <c:pt idx="9">
                  <c:v>0.11396666666666667</c:v>
                </c:pt>
                <c:pt idx="10">
                  <c:v>0.10966666666666666</c:v>
                </c:pt>
                <c:pt idx="11">
                  <c:v>0.0959</c:v>
                </c:pt>
                <c:pt idx="12">
                  <c:v>0.0727</c:v>
                </c:pt>
                <c:pt idx="13">
                  <c:v>0.04003333333333334</c:v>
                </c:pt>
                <c:pt idx="14">
                  <c:v>-0.0021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0.12</c:v>
                </c:pt>
                <c:pt idx="19">
                  <c:v>0.24</c:v>
                </c:pt>
                <c:pt idx="20">
                  <c:v>0.36</c:v>
                </c:pt>
                <c:pt idx="21">
                  <c:v>0.48</c:v>
                </c:pt>
                <c:pt idx="22">
                  <c:v>0.6</c:v>
                </c:pt>
                <c:pt idx="23">
                  <c:v>0.72</c:v>
                </c:pt>
                <c:pt idx="24">
                  <c:v>0.84</c:v>
                </c:pt>
                <c:pt idx="25">
                  <c:v>0.96</c:v>
                </c:pt>
                <c:pt idx="26">
                  <c:v>1.08</c:v>
                </c:pt>
                <c:pt idx="27">
                  <c:v>1.2000000000000002</c:v>
                </c:pt>
                <c:pt idx="28">
                  <c:v>2.4</c:v>
                </c:pt>
                <c:pt idx="29">
                  <c:v>2.4046666666666665</c:v>
                </c:pt>
                <c:pt idx="30">
                  <c:v>2.4191</c:v>
                </c:pt>
                <c:pt idx="31">
                  <c:v>2.4413</c:v>
                </c:pt>
                <c:pt idx="32">
                  <c:v>2.4686333333333335</c:v>
                </c:pt>
                <c:pt idx="33">
                  <c:v>2.4986333333333333</c:v>
                </c:pt>
                <c:pt idx="34">
                  <c:v>2.5287666666666664</c:v>
                </c:pt>
                <c:pt idx="35">
                  <c:v>2.5564666666666667</c:v>
                </c:pt>
                <c:pt idx="36">
                  <c:v>2.5792333333333333</c:v>
                </c:pt>
                <c:pt idx="37">
                  <c:v>2.5945</c:v>
                </c:pt>
                <c:pt idx="38">
                  <c:v>2.5998</c:v>
                </c:pt>
                <c:pt idx="39">
                  <c:v>2.4</c:v>
                </c:pt>
                <c:pt idx="40">
                  <c:v>2.4</c:v>
                </c:pt>
                <c:pt idx="41">
                  <c:v>2.4</c:v>
                </c:pt>
                <c:pt idx="42">
                  <c:v>2.28</c:v>
                </c:pt>
                <c:pt idx="43">
                  <c:v>2.16</c:v>
                </c:pt>
                <c:pt idx="44">
                  <c:v>2.04</c:v>
                </c:pt>
                <c:pt idx="45">
                  <c:v>1.92</c:v>
                </c:pt>
                <c:pt idx="46">
                  <c:v>1.7999999999999998</c:v>
                </c:pt>
                <c:pt idx="47">
                  <c:v>1.68</c:v>
                </c:pt>
                <c:pt idx="48">
                  <c:v>1.56</c:v>
                </c:pt>
                <c:pt idx="49">
                  <c:v>1.44</c:v>
                </c:pt>
                <c:pt idx="50">
                  <c:v>1.3199999999999998</c:v>
                </c:pt>
                <c:pt idx="51">
                  <c:v>1.1999999999999997</c:v>
                </c:pt>
                <c:pt idx="52">
                  <c:v>1.2</c:v>
                </c:pt>
                <c:pt idx="53">
                  <c:v>1.2</c:v>
                </c:pt>
              </c:numCache>
            </c:numRef>
          </c:xVal>
          <c:yVal>
            <c:numRef>
              <c:f>'計算'!$S$511:$S$564</c:f>
              <c:numCache>
                <c:ptCount val="54"/>
                <c:pt idx="4">
                  <c:v>2.675</c:v>
                </c:pt>
                <c:pt idx="5">
                  <c:v>2.4074999999999998</c:v>
                </c:pt>
                <c:pt idx="6">
                  <c:v>2.1399999999999997</c:v>
                </c:pt>
                <c:pt idx="7">
                  <c:v>1.8725</c:v>
                </c:pt>
                <c:pt idx="8">
                  <c:v>1.605</c:v>
                </c:pt>
                <c:pt idx="9">
                  <c:v>1.3375</c:v>
                </c:pt>
                <c:pt idx="10">
                  <c:v>1.0699999999999998</c:v>
                </c:pt>
                <c:pt idx="11">
                  <c:v>0.8024999999999998</c:v>
                </c:pt>
                <c:pt idx="12">
                  <c:v>0.5349999999999997</c:v>
                </c:pt>
                <c:pt idx="13">
                  <c:v>0.2674999999999996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'計算'!$T$507</c:f>
              <c:strCache>
                <c:ptCount val="1"/>
                <c:pt idx="0">
                  <c:v>底面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'計算'!$Q$511:$Q$564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0.0365</c:v>
                </c:pt>
                <c:pt idx="6">
                  <c:v>0.07003333333333334</c:v>
                </c:pt>
                <c:pt idx="7">
                  <c:v>0.09413333333333333</c:v>
                </c:pt>
                <c:pt idx="8">
                  <c:v>0.10876666666666666</c:v>
                </c:pt>
                <c:pt idx="9">
                  <c:v>0.11396666666666667</c:v>
                </c:pt>
                <c:pt idx="10">
                  <c:v>0.10966666666666666</c:v>
                </c:pt>
                <c:pt idx="11">
                  <c:v>0.0959</c:v>
                </c:pt>
                <c:pt idx="12">
                  <c:v>0.0727</c:v>
                </c:pt>
                <c:pt idx="13">
                  <c:v>0.04003333333333334</c:v>
                </c:pt>
                <c:pt idx="14">
                  <c:v>-0.0021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0.12</c:v>
                </c:pt>
                <c:pt idx="19">
                  <c:v>0.24</c:v>
                </c:pt>
                <c:pt idx="20">
                  <c:v>0.36</c:v>
                </c:pt>
                <c:pt idx="21">
                  <c:v>0.48</c:v>
                </c:pt>
                <c:pt idx="22">
                  <c:v>0.6</c:v>
                </c:pt>
                <c:pt idx="23">
                  <c:v>0.72</c:v>
                </c:pt>
                <c:pt idx="24">
                  <c:v>0.84</c:v>
                </c:pt>
                <c:pt idx="25">
                  <c:v>0.96</c:v>
                </c:pt>
                <c:pt idx="26">
                  <c:v>1.08</c:v>
                </c:pt>
                <c:pt idx="27">
                  <c:v>1.2000000000000002</c:v>
                </c:pt>
                <c:pt idx="28">
                  <c:v>2.4</c:v>
                </c:pt>
                <c:pt idx="29">
                  <c:v>2.4046666666666665</c:v>
                </c:pt>
                <c:pt idx="30">
                  <c:v>2.4191</c:v>
                </c:pt>
                <c:pt idx="31">
                  <c:v>2.4413</c:v>
                </c:pt>
                <c:pt idx="32">
                  <c:v>2.4686333333333335</c:v>
                </c:pt>
                <c:pt idx="33">
                  <c:v>2.4986333333333333</c:v>
                </c:pt>
                <c:pt idx="34">
                  <c:v>2.5287666666666664</c:v>
                </c:pt>
                <c:pt idx="35">
                  <c:v>2.5564666666666667</c:v>
                </c:pt>
                <c:pt idx="36">
                  <c:v>2.5792333333333333</c:v>
                </c:pt>
                <c:pt idx="37">
                  <c:v>2.5945</c:v>
                </c:pt>
                <c:pt idx="38">
                  <c:v>2.5998</c:v>
                </c:pt>
                <c:pt idx="39">
                  <c:v>2.4</c:v>
                </c:pt>
                <c:pt idx="40">
                  <c:v>2.4</c:v>
                </c:pt>
                <c:pt idx="41">
                  <c:v>2.4</c:v>
                </c:pt>
                <c:pt idx="42">
                  <c:v>2.28</c:v>
                </c:pt>
                <c:pt idx="43">
                  <c:v>2.16</c:v>
                </c:pt>
                <c:pt idx="44">
                  <c:v>2.04</c:v>
                </c:pt>
                <c:pt idx="45">
                  <c:v>1.92</c:v>
                </c:pt>
                <c:pt idx="46">
                  <c:v>1.7999999999999998</c:v>
                </c:pt>
                <c:pt idx="47">
                  <c:v>1.68</c:v>
                </c:pt>
                <c:pt idx="48">
                  <c:v>1.56</c:v>
                </c:pt>
                <c:pt idx="49">
                  <c:v>1.44</c:v>
                </c:pt>
                <c:pt idx="50">
                  <c:v>1.3199999999999998</c:v>
                </c:pt>
                <c:pt idx="51">
                  <c:v>1.1999999999999997</c:v>
                </c:pt>
                <c:pt idx="52">
                  <c:v>1.2</c:v>
                </c:pt>
                <c:pt idx="53">
                  <c:v>1.2</c:v>
                </c:pt>
              </c:numCache>
            </c:numRef>
          </c:xVal>
          <c:yVal>
            <c:numRef>
              <c:f>'計算'!$T$508:$T$561</c:f>
              <c:numCache>
                <c:ptCount val="54"/>
                <c:pt idx="16">
                  <c:v>0</c:v>
                </c:pt>
                <c:pt idx="17">
                  <c:v>-1.0997666666666668</c:v>
                </c:pt>
                <c:pt idx="18">
                  <c:v>-0.9898</c:v>
                </c:pt>
                <c:pt idx="19">
                  <c:v>-0.8797999999999999</c:v>
                </c:pt>
                <c:pt idx="20">
                  <c:v>-0.7698333333333333</c:v>
                </c:pt>
                <c:pt idx="21">
                  <c:v>-0.6598666666666666</c:v>
                </c:pt>
                <c:pt idx="22">
                  <c:v>-0.5498999999999999</c:v>
                </c:pt>
                <c:pt idx="23">
                  <c:v>-0.43989999999999996</c:v>
                </c:pt>
                <c:pt idx="24">
                  <c:v>-0.3299333333333333</c:v>
                </c:pt>
                <c:pt idx="25">
                  <c:v>-0.21996666666666667</c:v>
                </c:pt>
                <c:pt idx="26">
                  <c:v>-0.10996666666666667</c:v>
                </c:pt>
                <c:pt idx="2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'計算'!$U$511</c:f>
              <c:strCache>
                <c:ptCount val="1"/>
                <c:pt idx="0">
                  <c:v>側壁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'計算'!$Q$511:$Q$564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0.0365</c:v>
                </c:pt>
                <c:pt idx="6">
                  <c:v>0.07003333333333334</c:v>
                </c:pt>
                <c:pt idx="7">
                  <c:v>0.09413333333333333</c:v>
                </c:pt>
                <c:pt idx="8">
                  <c:v>0.10876666666666666</c:v>
                </c:pt>
                <c:pt idx="9">
                  <c:v>0.11396666666666667</c:v>
                </c:pt>
                <c:pt idx="10">
                  <c:v>0.10966666666666666</c:v>
                </c:pt>
                <c:pt idx="11">
                  <c:v>0.0959</c:v>
                </c:pt>
                <c:pt idx="12">
                  <c:v>0.0727</c:v>
                </c:pt>
                <c:pt idx="13">
                  <c:v>0.04003333333333334</c:v>
                </c:pt>
                <c:pt idx="14">
                  <c:v>-0.0021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0.12</c:v>
                </c:pt>
                <c:pt idx="19">
                  <c:v>0.24</c:v>
                </c:pt>
                <c:pt idx="20">
                  <c:v>0.36</c:v>
                </c:pt>
                <c:pt idx="21">
                  <c:v>0.48</c:v>
                </c:pt>
                <c:pt idx="22">
                  <c:v>0.6</c:v>
                </c:pt>
                <c:pt idx="23">
                  <c:v>0.72</c:v>
                </c:pt>
                <c:pt idx="24">
                  <c:v>0.84</c:v>
                </c:pt>
                <c:pt idx="25">
                  <c:v>0.96</c:v>
                </c:pt>
                <c:pt idx="26">
                  <c:v>1.08</c:v>
                </c:pt>
                <c:pt idx="27">
                  <c:v>1.2000000000000002</c:v>
                </c:pt>
                <c:pt idx="28">
                  <c:v>2.4</c:v>
                </c:pt>
                <c:pt idx="29">
                  <c:v>2.4046666666666665</c:v>
                </c:pt>
                <c:pt idx="30">
                  <c:v>2.4191</c:v>
                </c:pt>
                <c:pt idx="31">
                  <c:v>2.4413</c:v>
                </c:pt>
                <c:pt idx="32">
                  <c:v>2.4686333333333335</c:v>
                </c:pt>
                <c:pt idx="33">
                  <c:v>2.4986333333333333</c:v>
                </c:pt>
                <c:pt idx="34">
                  <c:v>2.5287666666666664</c:v>
                </c:pt>
                <c:pt idx="35">
                  <c:v>2.5564666666666667</c:v>
                </c:pt>
                <c:pt idx="36">
                  <c:v>2.5792333333333333</c:v>
                </c:pt>
                <c:pt idx="37">
                  <c:v>2.5945</c:v>
                </c:pt>
                <c:pt idx="38">
                  <c:v>2.5998</c:v>
                </c:pt>
                <c:pt idx="39">
                  <c:v>2.4</c:v>
                </c:pt>
                <c:pt idx="40">
                  <c:v>2.4</c:v>
                </c:pt>
                <c:pt idx="41">
                  <c:v>2.4</c:v>
                </c:pt>
                <c:pt idx="42">
                  <c:v>2.28</c:v>
                </c:pt>
                <c:pt idx="43">
                  <c:v>2.16</c:v>
                </c:pt>
                <c:pt idx="44">
                  <c:v>2.04</c:v>
                </c:pt>
                <c:pt idx="45">
                  <c:v>1.92</c:v>
                </c:pt>
                <c:pt idx="46">
                  <c:v>1.7999999999999998</c:v>
                </c:pt>
                <c:pt idx="47">
                  <c:v>1.68</c:v>
                </c:pt>
                <c:pt idx="48">
                  <c:v>1.56</c:v>
                </c:pt>
                <c:pt idx="49">
                  <c:v>1.44</c:v>
                </c:pt>
                <c:pt idx="50">
                  <c:v>1.3199999999999998</c:v>
                </c:pt>
                <c:pt idx="51">
                  <c:v>1.1999999999999997</c:v>
                </c:pt>
                <c:pt idx="52">
                  <c:v>1.2</c:v>
                </c:pt>
                <c:pt idx="53">
                  <c:v>1.2</c:v>
                </c:pt>
              </c:numCache>
            </c:numRef>
          </c:xVal>
          <c:yVal>
            <c:numRef>
              <c:f>'計算'!$U$512:$U$565</c:f>
              <c:numCache>
                <c:ptCount val="54"/>
                <c:pt idx="28">
                  <c:v>2.675</c:v>
                </c:pt>
                <c:pt idx="29">
                  <c:v>2.4074999999999998</c:v>
                </c:pt>
                <c:pt idx="30">
                  <c:v>2.1399999999999997</c:v>
                </c:pt>
                <c:pt idx="31">
                  <c:v>1.8725</c:v>
                </c:pt>
                <c:pt idx="32">
                  <c:v>1.605</c:v>
                </c:pt>
                <c:pt idx="33">
                  <c:v>1.3375</c:v>
                </c:pt>
                <c:pt idx="34">
                  <c:v>1.0699999999999998</c:v>
                </c:pt>
                <c:pt idx="35">
                  <c:v>0.8024999999999998</c:v>
                </c:pt>
                <c:pt idx="36">
                  <c:v>0.5349999999999997</c:v>
                </c:pt>
                <c:pt idx="37">
                  <c:v>0.2674999999999996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'計算'!$V$511</c:f>
              <c:strCache>
                <c:ptCount val="1"/>
                <c:pt idx="0">
                  <c:v>底面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'計算'!$Q$511:$Q$564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0.0365</c:v>
                </c:pt>
                <c:pt idx="6">
                  <c:v>0.07003333333333334</c:v>
                </c:pt>
                <c:pt idx="7">
                  <c:v>0.09413333333333333</c:v>
                </c:pt>
                <c:pt idx="8">
                  <c:v>0.10876666666666666</c:v>
                </c:pt>
                <c:pt idx="9">
                  <c:v>0.11396666666666667</c:v>
                </c:pt>
                <c:pt idx="10">
                  <c:v>0.10966666666666666</c:v>
                </c:pt>
                <c:pt idx="11">
                  <c:v>0.0959</c:v>
                </c:pt>
                <c:pt idx="12">
                  <c:v>0.0727</c:v>
                </c:pt>
                <c:pt idx="13">
                  <c:v>0.04003333333333334</c:v>
                </c:pt>
                <c:pt idx="14">
                  <c:v>-0.0021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0.12</c:v>
                </c:pt>
                <c:pt idx="19">
                  <c:v>0.24</c:v>
                </c:pt>
                <c:pt idx="20">
                  <c:v>0.36</c:v>
                </c:pt>
                <c:pt idx="21">
                  <c:v>0.48</c:v>
                </c:pt>
                <c:pt idx="22">
                  <c:v>0.6</c:v>
                </c:pt>
                <c:pt idx="23">
                  <c:v>0.72</c:v>
                </c:pt>
                <c:pt idx="24">
                  <c:v>0.84</c:v>
                </c:pt>
                <c:pt idx="25">
                  <c:v>0.96</c:v>
                </c:pt>
                <c:pt idx="26">
                  <c:v>1.08</c:v>
                </c:pt>
                <c:pt idx="27">
                  <c:v>1.2000000000000002</c:v>
                </c:pt>
                <c:pt idx="28">
                  <c:v>2.4</c:v>
                </c:pt>
                <c:pt idx="29">
                  <c:v>2.4046666666666665</c:v>
                </c:pt>
                <c:pt idx="30">
                  <c:v>2.4191</c:v>
                </c:pt>
                <c:pt idx="31">
                  <c:v>2.4413</c:v>
                </c:pt>
                <c:pt idx="32">
                  <c:v>2.4686333333333335</c:v>
                </c:pt>
                <c:pt idx="33">
                  <c:v>2.4986333333333333</c:v>
                </c:pt>
                <c:pt idx="34">
                  <c:v>2.5287666666666664</c:v>
                </c:pt>
                <c:pt idx="35">
                  <c:v>2.5564666666666667</c:v>
                </c:pt>
                <c:pt idx="36">
                  <c:v>2.5792333333333333</c:v>
                </c:pt>
                <c:pt idx="37">
                  <c:v>2.5945</c:v>
                </c:pt>
                <c:pt idx="38">
                  <c:v>2.5998</c:v>
                </c:pt>
                <c:pt idx="39">
                  <c:v>2.4</c:v>
                </c:pt>
                <c:pt idx="40">
                  <c:v>2.4</c:v>
                </c:pt>
                <c:pt idx="41">
                  <c:v>2.4</c:v>
                </c:pt>
                <c:pt idx="42">
                  <c:v>2.28</c:v>
                </c:pt>
                <c:pt idx="43">
                  <c:v>2.16</c:v>
                </c:pt>
                <c:pt idx="44">
                  <c:v>2.04</c:v>
                </c:pt>
                <c:pt idx="45">
                  <c:v>1.92</c:v>
                </c:pt>
                <c:pt idx="46">
                  <c:v>1.7999999999999998</c:v>
                </c:pt>
                <c:pt idx="47">
                  <c:v>1.68</c:v>
                </c:pt>
                <c:pt idx="48">
                  <c:v>1.56</c:v>
                </c:pt>
                <c:pt idx="49">
                  <c:v>1.44</c:v>
                </c:pt>
                <c:pt idx="50">
                  <c:v>1.3199999999999998</c:v>
                </c:pt>
                <c:pt idx="51">
                  <c:v>1.1999999999999997</c:v>
                </c:pt>
                <c:pt idx="52">
                  <c:v>1.2</c:v>
                </c:pt>
                <c:pt idx="53">
                  <c:v>1.2</c:v>
                </c:pt>
              </c:numCache>
            </c:numRef>
          </c:xVal>
          <c:yVal>
            <c:numRef>
              <c:f>'計算'!$V$512:$V$565</c:f>
              <c:numCache>
                <c:ptCount val="54"/>
                <c:pt idx="40">
                  <c:v>0</c:v>
                </c:pt>
                <c:pt idx="41">
                  <c:v>-0.1998</c:v>
                </c:pt>
                <c:pt idx="42">
                  <c:v>-0.07443333333333334</c:v>
                </c:pt>
                <c:pt idx="43">
                  <c:v>0.03773333333333333</c:v>
                </c:pt>
                <c:pt idx="44">
                  <c:v>0.13673333333333335</c:v>
                </c:pt>
                <c:pt idx="45">
                  <c:v>0.2225</c:v>
                </c:pt>
                <c:pt idx="46">
                  <c:v>0.2951</c:v>
                </c:pt>
                <c:pt idx="47">
                  <c:v>0.3545</c:v>
                </c:pt>
                <c:pt idx="48">
                  <c:v>0.40066666666666667</c:v>
                </c:pt>
                <c:pt idx="49">
                  <c:v>0.43366666666666664</c:v>
                </c:pt>
                <c:pt idx="50">
                  <c:v>0.45346666666666663</c:v>
                </c:pt>
                <c:pt idx="51">
                  <c:v>0.4600666666666667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'計算'!$W$511</c:f>
              <c:strCache>
                <c:ptCount val="1"/>
                <c:pt idx="0">
                  <c:v>中心線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'計算'!$Q$511:$Q$564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0.0365</c:v>
                </c:pt>
                <c:pt idx="6">
                  <c:v>0.07003333333333334</c:v>
                </c:pt>
                <c:pt idx="7">
                  <c:v>0.09413333333333333</c:v>
                </c:pt>
                <c:pt idx="8">
                  <c:v>0.10876666666666666</c:v>
                </c:pt>
                <c:pt idx="9">
                  <c:v>0.11396666666666667</c:v>
                </c:pt>
                <c:pt idx="10">
                  <c:v>0.10966666666666666</c:v>
                </c:pt>
                <c:pt idx="11">
                  <c:v>0.0959</c:v>
                </c:pt>
                <c:pt idx="12">
                  <c:v>0.0727</c:v>
                </c:pt>
                <c:pt idx="13">
                  <c:v>0.04003333333333334</c:v>
                </c:pt>
                <c:pt idx="14">
                  <c:v>-0.0021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0.12</c:v>
                </c:pt>
                <c:pt idx="19">
                  <c:v>0.24</c:v>
                </c:pt>
                <c:pt idx="20">
                  <c:v>0.36</c:v>
                </c:pt>
                <c:pt idx="21">
                  <c:v>0.48</c:v>
                </c:pt>
                <c:pt idx="22">
                  <c:v>0.6</c:v>
                </c:pt>
                <c:pt idx="23">
                  <c:v>0.72</c:v>
                </c:pt>
                <c:pt idx="24">
                  <c:v>0.84</c:v>
                </c:pt>
                <c:pt idx="25">
                  <c:v>0.96</c:v>
                </c:pt>
                <c:pt idx="26">
                  <c:v>1.08</c:v>
                </c:pt>
                <c:pt idx="27">
                  <c:v>1.2000000000000002</c:v>
                </c:pt>
                <c:pt idx="28">
                  <c:v>2.4</c:v>
                </c:pt>
                <c:pt idx="29">
                  <c:v>2.4046666666666665</c:v>
                </c:pt>
                <c:pt idx="30">
                  <c:v>2.4191</c:v>
                </c:pt>
                <c:pt idx="31">
                  <c:v>2.4413</c:v>
                </c:pt>
                <c:pt idx="32">
                  <c:v>2.4686333333333335</c:v>
                </c:pt>
                <c:pt idx="33">
                  <c:v>2.4986333333333333</c:v>
                </c:pt>
                <c:pt idx="34">
                  <c:v>2.5287666666666664</c:v>
                </c:pt>
                <c:pt idx="35">
                  <c:v>2.5564666666666667</c:v>
                </c:pt>
                <c:pt idx="36">
                  <c:v>2.5792333333333333</c:v>
                </c:pt>
                <c:pt idx="37">
                  <c:v>2.5945</c:v>
                </c:pt>
                <c:pt idx="38">
                  <c:v>2.5998</c:v>
                </c:pt>
                <c:pt idx="39">
                  <c:v>2.4</c:v>
                </c:pt>
                <c:pt idx="40">
                  <c:v>2.4</c:v>
                </c:pt>
                <c:pt idx="41">
                  <c:v>2.4</c:v>
                </c:pt>
                <c:pt idx="42">
                  <c:v>2.28</c:v>
                </c:pt>
                <c:pt idx="43">
                  <c:v>2.16</c:v>
                </c:pt>
                <c:pt idx="44">
                  <c:v>2.04</c:v>
                </c:pt>
                <c:pt idx="45">
                  <c:v>1.92</c:v>
                </c:pt>
                <c:pt idx="46">
                  <c:v>1.7999999999999998</c:v>
                </c:pt>
                <c:pt idx="47">
                  <c:v>1.68</c:v>
                </c:pt>
                <c:pt idx="48">
                  <c:v>1.56</c:v>
                </c:pt>
                <c:pt idx="49">
                  <c:v>1.44</c:v>
                </c:pt>
                <c:pt idx="50">
                  <c:v>1.3199999999999998</c:v>
                </c:pt>
                <c:pt idx="51">
                  <c:v>1.1999999999999997</c:v>
                </c:pt>
                <c:pt idx="52">
                  <c:v>1.2</c:v>
                </c:pt>
                <c:pt idx="53">
                  <c:v>1.2</c:v>
                </c:pt>
              </c:numCache>
            </c:numRef>
          </c:xVal>
          <c:yVal>
            <c:numRef>
              <c:f>'計算'!$W$512:$W$565</c:f>
              <c:numCache>
                <c:ptCount val="54"/>
                <c:pt idx="52">
                  <c:v>3.2099999999999995</c:v>
                </c:pt>
                <c:pt idx="53">
                  <c:v>-1.0997666666666668</c:v>
                </c:pt>
              </c:numCache>
            </c:numRef>
          </c:yVal>
          <c:smooth val="0"/>
        </c:ser>
        <c:axId val="44038939"/>
        <c:axId val="60806132"/>
      </c:scatterChart>
      <c:valAx>
        <c:axId val="44038939"/>
        <c:scaling>
          <c:orientation val="minMax"/>
        </c:scaling>
        <c:axPos val="b"/>
        <c:delete val="1"/>
        <c:majorTickMark val="out"/>
        <c:minorTickMark val="none"/>
        <c:tickLblPos val="nextTo"/>
        <c:crossAx val="60806132"/>
        <c:crosses val="autoZero"/>
        <c:crossBetween val="midCat"/>
        <c:dispUnits/>
      </c:valAx>
      <c:valAx>
        <c:axId val="60806132"/>
        <c:scaling>
          <c:orientation val="minMax"/>
        </c:scaling>
        <c:axPos val="l"/>
        <c:delete val="1"/>
        <c:majorTickMark val="out"/>
        <c:minorTickMark val="none"/>
        <c:tickLblPos val="nextTo"/>
        <c:crossAx val="440389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5"/>
          <c:w val="0.96625"/>
          <c:h val="0.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'計算'!$V$3</c:f>
              <c:strCache>
                <c:ptCount val="1"/>
                <c:pt idx="0">
                  <c:v>側溝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'計算'!$U$4:$U$32</c:f>
              <c:numCache>
                <c:ptCount val="29"/>
                <c:pt idx="0">
                  <c:v>0</c:v>
                </c:pt>
                <c:pt idx="1">
                  <c:v>-0.15</c:v>
                </c:pt>
                <c:pt idx="2">
                  <c:v>-0.35</c:v>
                </c:pt>
                <c:pt idx="3">
                  <c:v>-0.35</c:v>
                </c:pt>
                <c:pt idx="4">
                  <c:v>2.35</c:v>
                </c:pt>
                <c:pt idx="5">
                  <c:v>2.35</c:v>
                </c:pt>
                <c:pt idx="6">
                  <c:v>2.15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-0.12849999999999998</c:v>
                </c:pt>
                <c:pt idx="12">
                  <c:v>-1.5535</c:v>
                </c:pt>
                <c:pt idx="13">
                  <c:v>2.15</c:v>
                </c:pt>
                <c:pt idx="14">
                  <c:v>2.65</c:v>
                </c:pt>
                <c:pt idx="15">
                  <c:v>4.15</c:v>
                </c:pt>
                <c:pt idx="16">
                  <c:v>7</c:v>
                </c:pt>
                <c:pt idx="17">
                  <c:v>4.15</c:v>
                </c:pt>
                <c:pt idx="18">
                  <c:v>4.15</c:v>
                </c:pt>
                <c:pt idx="19">
                  <c:v>7</c:v>
                </c:pt>
                <c:pt idx="20">
                  <c:v>-0.22499999999999998</c:v>
                </c:pt>
                <c:pt idx="21">
                  <c:v>-1.5535</c:v>
                </c:pt>
                <c:pt idx="22">
                  <c:v>2.225</c:v>
                </c:pt>
                <c:pt idx="23">
                  <c:v>7</c:v>
                </c:pt>
                <c:pt idx="24">
                  <c:v>-0.35</c:v>
                </c:pt>
                <c:pt idx="25">
                  <c:v>-0.35</c:v>
                </c:pt>
                <c:pt idx="26">
                  <c:v>2.35</c:v>
                </c:pt>
                <c:pt idx="27">
                  <c:v>2.35</c:v>
                </c:pt>
              </c:numCache>
            </c:numRef>
          </c:xVal>
          <c:yVal>
            <c:numRef>
              <c:f>'計算'!$V$4:$V$32</c:f>
              <c:numCache>
                <c:ptCount val="29"/>
                <c:pt idx="0">
                  <c:v>2.85</c:v>
                </c:pt>
                <c:pt idx="1">
                  <c:v>2.85</c:v>
                </c:pt>
                <c:pt idx="2">
                  <c:v>0.35</c:v>
                </c:pt>
                <c:pt idx="3">
                  <c:v>0</c:v>
                </c:pt>
                <c:pt idx="4">
                  <c:v>0</c:v>
                </c:pt>
                <c:pt idx="5">
                  <c:v>0.35</c:v>
                </c:pt>
                <c:pt idx="6">
                  <c:v>2.85</c:v>
                </c:pt>
                <c:pt idx="7">
                  <c:v>2.85</c:v>
                </c:pt>
                <c:pt idx="8">
                  <c:v>0.35</c:v>
                </c:pt>
                <c:pt idx="9">
                  <c:v>0.35</c:v>
                </c:pt>
                <c:pt idx="10">
                  <c:v>2.85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'計算'!$W$3</c:f>
              <c:strCache>
                <c:ptCount val="1"/>
                <c:pt idx="0">
                  <c:v>左地盤線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'計算'!$U$4:$U$32</c:f>
              <c:numCache>
                <c:ptCount val="29"/>
                <c:pt idx="0">
                  <c:v>0</c:v>
                </c:pt>
                <c:pt idx="1">
                  <c:v>-0.15</c:v>
                </c:pt>
                <c:pt idx="2">
                  <c:v>-0.35</c:v>
                </c:pt>
                <c:pt idx="3">
                  <c:v>-0.35</c:v>
                </c:pt>
                <c:pt idx="4">
                  <c:v>2.35</c:v>
                </c:pt>
                <c:pt idx="5">
                  <c:v>2.35</c:v>
                </c:pt>
                <c:pt idx="6">
                  <c:v>2.15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-0.12849999999999998</c:v>
                </c:pt>
                <c:pt idx="12">
                  <c:v>-1.5535</c:v>
                </c:pt>
                <c:pt idx="13">
                  <c:v>2.15</c:v>
                </c:pt>
                <c:pt idx="14">
                  <c:v>2.65</c:v>
                </c:pt>
                <c:pt idx="15">
                  <c:v>4.15</c:v>
                </c:pt>
                <c:pt idx="16">
                  <c:v>7</c:v>
                </c:pt>
                <c:pt idx="17">
                  <c:v>4.15</c:v>
                </c:pt>
                <c:pt idx="18">
                  <c:v>4.15</c:v>
                </c:pt>
                <c:pt idx="19">
                  <c:v>7</c:v>
                </c:pt>
                <c:pt idx="20">
                  <c:v>-0.22499999999999998</c:v>
                </c:pt>
                <c:pt idx="21">
                  <c:v>-1.5535</c:v>
                </c:pt>
                <c:pt idx="22">
                  <c:v>2.225</c:v>
                </c:pt>
                <c:pt idx="23">
                  <c:v>7</c:v>
                </c:pt>
                <c:pt idx="24">
                  <c:v>-0.35</c:v>
                </c:pt>
                <c:pt idx="25">
                  <c:v>-0.35</c:v>
                </c:pt>
                <c:pt idx="26">
                  <c:v>2.35</c:v>
                </c:pt>
                <c:pt idx="27">
                  <c:v>2.35</c:v>
                </c:pt>
              </c:numCache>
            </c:numRef>
          </c:xVal>
          <c:yVal>
            <c:numRef>
              <c:f>'計算'!$W$4:$W$32</c:f>
              <c:numCache>
                <c:ptCount val="29"/>
                <c:pt idx="11">
                  <c:v>2.565</c:v>
                </c:pt>
                <c:pt idx="12">
                  <c:v>2.565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'計算'!$X$3</c:f>
              <c:strCache>
                <c:ptCount val="1"/>
                <c:pt idx="0">
                  <c:v>右地盤線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'計算'!$U$4:$U$32</c:f>
              <c:numCache>
                <c:ptCount val="29"/>
                <c:pt idx="0">
                  <c:v>0</c:v>
                </c:pt>
                <c:pt idx="1">
                  <c:v>-0.15</c:v>
                </c:pt>
                <c:pt idx="2">
                  <c:v>-0.35</c:v>
                </c:pt>
                <c:pt idx="3">
                  <c:v>-0.35</c:v>
                </c:pt>
                <c:pt idx="4">
                  <c:v>2.35</c:v>
                </c:pt>
                <c:pt idx="5">
                  <c:v>2.35</c:v>
                </c:pt>
                <c:pt idx="6">
                  <c:v>2.15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-0.12849999999999998</c:v>
                </c:pt>
                <c:pt idx="12">
                  <c:v>-1.5535</c:v>
                </c:pt>
                <c:pt idx="13">
                  <c:v>2.15</c:v>
                </c:pt>
                <c:pt idx="14">
                  <c:v>2.65</c:v>
                </c:pt>
                <c:pt idx="15">
                  <c:v>4.15</c:v>
                </c:pt>
                <c:pt idx="16">
                  <c:v>7</c:v>
                </c:pt>
                <c:pt idx="17">
                  <c:v>4.15</c:v>
                </c:pt>
                <c:pt idx="18">
                  <c:v>4.15</c:v>
                </c:pt>
                <c:pt idx="19">
                  <c:v>7</c:v>
                </c:pt>
                <c:pt idx="20">
                  <c:v>-0.22499999999999998</c:v>
                </c:pt>
                <c:pt idx="21">
                  <c:v>-1.5535</c:v>
                </c:pt>
                <c:pt idx="22">
                  <c:v>2.225</c:v>
                </c:pt>
                <c:pt idx="23">
                  <c:v>7</c:v>
                </c:pt>
                <c:pt idx="24">
                  <c:v>-0.35</c:v>
                </c:pt>
                <c:pt idx="25">
                  <c:v>-0.35</c:v>
                </c:pt>
                <c:pt idx="26">
                  <c:v>2.35</c:v>
                </c:pt>
                <c:pt idx="27">
                  <c:v>2.35</c:v>
                </c:pt>
              </c:numCache>
            </c:numRef>
          </c:xVal>
          <c:yVal>
            <c:numRef>
              <c:f>'計算'!$X$4:$X$32</c:f>
              <c:numCache>
                <c:ptCount val="29"/>
                <c:pt idx="13">
                  <c:v>2.85</c:v>
                </c:pt>
                <c:pt idx="14">
                  <c:v>2.85</c:v>
                </c:pt>
                <c:pt idx="15">
                  <c:v>3.85</c:v>
                </c:pt>
                <c:pt idx="16">
                  <c:v>3.85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'計算'!$Y$3</c:f>
              <c:strCache>
                <c:ptCount val="1"/>
                <c:pt idx="0">
                  <c:v>載荷重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'計算'!$U$4:$U$32</c:f>
              <c:numCache>
                <c:ptCount val="29"/>
                <c:pt idx="0">
                  <c:v>0</c:v>
                </c:pt>
                <c:pt idx="1">
                  <c:v>-0.15</c:v>
                </c:pt>
                <c:pt idx="2">
                  <c:v>-0.35</c:v>
                </c:pt>
                <c:pt idx="3">
                  <c:v>-0.35</c:v>
                </c:pt>
                <c:pt idx="4">
                  <c:v>2.35</c:v>
                </c:pt>
                <c:pt idx="5">
                  <c:v>2.35</c:v>
                </c:pt>
                <c:pt idx="6">
                  <c:v>2.15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-0.12849999999999998</c:v>
                </c:pt>
                <c:pt idx="12">
                  <c:v>-1.5535</c:v>
                </c:pt>
                <c:pt idx="13">
                  <c:v>2.15</c:v>
                </c:pt>
                <c:pt idx="14">
                  <c:v>2.65</c:v>
                </c:pt>
                <c:pt idx="15">
                  <c:v>4.15</c:v>
                </c:pt>
                <c:pt idx="16">
                  <c:v>7</c:v>
                </c:pt>
                <c:pt idx="17">
                  <c:v>4.15</c:v>
                </c:pt>
                <c:pt idx="18">
                  <c:v>4.15</c:v>
                </c:pt>
                <c:pt idx="19">
                  <c:v>7</c:v>
                </c:pt>
                <c:pt idx="20">
                  <c:v>-0.22499999999999998</c:v>
                </c:pt>
                <c:pt idx="21">
                  <c:v>-1.5535</c:v>
                </c:pt>
                <c:pt idx="22">
                  <c:v>2.225</c:v>
                </c:pt>
                <c:pt idx="23">
                  <c:v>7</c:v>
                </c:pt>
                <c:pt idx="24">
                  <c:v>-0.35</c:v>
                </c:pt>
                <c:pt idx="25">
                  <c:v>-0.35</c:v>
                </c:pt>
                <c:pt idx="26">
                  <c:v>2.35</c:v>
                </c:pt>
                <c:pt idx="27">
                  <c:v>2.35</c:v>
                </c:pt>
              </c:numCache>
            </c:numRef>
          </c:xVal>
          <c:yVal>
            <c:numRef>
              <c:f>'計算'!$Y$4:$Y$32</c:f>
              <c:numCache>
                <c:ptCount val="29"/>
                <c:pt idx="17">
                  <c:v>3.85</c:v>
                </c:pt>
                <c:pt idx="18">
                  <c:v>4.376315789473685</c:v>
                </c:pt>
                <c:pt idx="19">
                  <c:v>4.376315789473685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'計算'!$Z$3</c:f>
              <c:strCache>
                <c:ptCount val="1"/>
                <c:pt idx="0">
                  <c:v>左水位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'計算'!$U$4:$U$32</c:f>
              <c:numCache>
                <c:ptCount val="29"/>
                <c:pt idx="0">
                  <c:v>0</c:v>
                </c:pt>
                <c:pt idx="1">
                  <c:v>-0.15</c:v>
                </c:pt>
                <c:pt idx="2">
                  <c:v>-0.35</c:v>
                </c:pt>
                <c:pt idx="3">
                  <c:v>-0.35</c:v>
                </c:pt>
                <c:pt idx="4">
                  <c:v>2.35</c:v>
                </c:pt>
                <c:pt idx="5">
                  <c:v>2.35</c:v>
                </c:pt>
                <c:pt idx="6">
                  <c:v>2.15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-0.12849999999999998</c:v>
                </c:pt>
                <c:pt idx="12">
                  <c:v>-1.5535</c:v>
                </c:pt>
                <c:pt idx="13">
                  <c:v>2.15</c:v>
                </c:pt>
                <c:pt idx="14">
                  <c:v>2.65</c:v>
                </c:pt>
                <c:pt idx="15">
                  <c:v>4.15</c:v>
                </c:pt>
                <c:pt idx="16">
                  <c:v>7</c:v>
                </c:pt>
                <c:pt idx="17">
                  <c:v>4.15</c:v>
                </c:pt>
                <c:pt idx="18">
                  <c:v>4.15</c:v>
                </c:pt>
                <c:pt idx="19">
                  <c:v>7</c:v>
                </c:pt>
                <c:pt idx="20">
                  <c:v>-0.22499999999999998</c:v>
                </c:pt>
                <c:pt idx="21">
                  <c:v>-1.5535</c:v>
                </c:pt>
                <c:pt idx="22">
                  <c:v>2.225</c:v>
                </c:pt>
                <c:pt idx="23">
                  <c:v>7</c:v>
                </c:pt>
                <c:pt idx="24">
                  <c:v>-0.35</c:v>
                </c:pt>
                <c:pt idx="25">
                  <c:v>-0.35</c:v>
                </c:pt>
                <c:pt idx="26">
                  <c:v>2.35</c:v>
                </c:pt>
                <c:pt idx="27">
                  <c:v>2.35</c:v>
                </c:pt>
              </c:numCache>
            </c:numRef>
          </c:xVal>
          <c:yVal>
            <c:numRef>
              <c:f>'計算'!$Z$4:$Z$32</c:f>
              <c:numCache>
                <c:ptCount val="29"/>
                <c:pt idx="20">
                  <c:v>1.6</c:v>
                </c:pt>
                <c:pt idx="21">
                  <c:v>1.6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'計算'!$AA$3</c:f>
              <c:strCache>
                <c:ptCount val="1"/>
                <c:pt idx="0">
                  <c:v>右水位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'計算'!$U$4:$U$32</c:f>
              <c:numCache>
                <c:ptCount val="29"/>
                <c:pt idx="0">
                  <c:v>0</c:v>
                </c:pt>
                <c:pt idx="1">
                  <c:v>-0.15</c:v>
                </c:pt>
                <c:pt idx="2">
                  <c:v>-0.35</c:v>
                </c:pt>
                <c:pt idx="3">
                  <c:v>-0.35</c:v>
                </c:pt>
                <c:pt idx="4">
                  <c:v>2.35</c:v>
                </c:pt>
                <c:pt idx="5">
                  <c:v>2.35</c:v>
                </c:pt>
                <c:pt idx="6">
                  <c:v>2.15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-0.12849999999999998</c:v>
                </c:pt>
                <c:pt idx="12">
                  <c:v>-1.5535</c:v>
                </c:pt>
                <c:pt idx="13">
                  <c:v>2.15</c:v>
                </c:pt>
                <c:pt idx="14">
                  <c:v>2.65</c:v>
                </c:pt>
                <c:pt idx="15">
                  <c:v>4.15</c:v>
                </c:pt>
                <c:pt idx="16">
                  <c:v>7</c:v>
                </c:pt>
                <c:pt idx="17">
                  <c:v>4.15</c:v>
                </c:pt>
                <c:pt idx="18">
                  <c:v>4.15</c:v>
                </c:pt>
                <c:pt idx="19">
                  <c:v>7</c:v>
                </c:pt>
                <c:pt idx="20">
                  <c:v>-0.22499999999999998</c:v>
                </c:pt>
                <c:pt idx="21">
                  <c:v>-1.5535</c:v>
                </c:pt>
                <c:pt idx="22">
                  <c:v>2.225</c:v>
                </c:pt>
                <c:pt idx="23">
                  <c:v>7</c:v>
                </c:pt>
                <c:pt idx="24">
                  <c:v>-0.35</c:v>
                </c:pt>
                <c:pt idx="25">
                  <c:v>-0.35</c:v>
                </c:pt>
                <c:pt idx="26">
                  <c:v>2.35</c:v>
                </c:pt>
                <c:pt idx="27">
                  <c:v>2.35</c:v>
                </c:pt>
              </c:numCache>
            </c:numRef>
          </c:xVal>
          <c:yVal>
            <c:numRef>
              <c:f>'計算'!$AA$4:$AA$32</c:f>
              <c:numCache>
                <c:ptCount val="29"/>
                <c:pt idx="22">
                  <c:v>1.6</c:v>
                </c:pt>
                <c:pt idx="23">
                  <c:v>1.6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'計算'!$AB$3</c:f>
              <c:strCache>
                <c:ptCount val="1"/>
                <c:pt idx="0">
                  <c:v>浮上り防止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'計算'!$U$4:$U$32</c:f>
              <c:numCache>
                <c:ptCount val="29"/>
                <c:pt idx="0">
                  <c:v>0</c:v>
                </c:pt>
                <c:pt idx="1">
                  <c:v>-0.15</c:v>
                </c:pt>
                <c:pt idx="2">
                  <c:v>-0.35</c:v>
                </c:pt>
                <c:pt idx="3">
                  <c:v>-0.35</c:v>
                </c:pt>
                <c:pt idx="4">
                  <c:v>2.35</c:v>
                </c:pt>
                <c:pt idx="5">
                  <c:v>2.35</c:v>
                </c:pt>
                <c:pt idx="6">
                  <c:v>2.15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-0.12849999999999998</c:v>
                </c:pt>
                <c:pt idx="12">
                  <c:v>-1.5535</c:v>
                </c:pt>
                <c:pt idx="13">
                  <c:v>2.15</c:v>
                </c:pt>
                <c:pt idx="14">
                  <c:v>2.65</c:v>
                </c:pt>
                <c:pt idx="15">
                  <c:v>4.15</c:v>
                </c:pt>
                <c:pt idx="16">
                  <c:v>7</c:v>
                </c:pt>
                <c:pt idx="17">
                  <c:v>4.15</c:v>
                </c:pt>
                <c:pt idx="18">
                  <c:v>4.15</c:v>
                </c:pt>
                <c:pt idx="19">
                  <c:v>7</c:v>
                </c:pt>
                <c:pt idx="20">
                  <c:v>-0.22499999999999998</c:v>
                </c:pt>
                <c:pt idx="21">
                  <c:v>-1.5535</c:v>
                </c:pt>
                <c:pt idx="22">
                  <c:v>2.225</c:v>
                </c:pt>
                <c:pt idx="23">
                  <c:v>7</c:v>
                </c:pt>
                <c:pt idx="24">
                  <c:v>-0.35</c:v>
                </c:pt>
                <c:pt idx="25">
                  <c:v>-0.35</c:v>
                </c:pt>
                <c:pt idx="26">
                  <c:v>2.35</c:v>
                </c:pt>
                <c:pt idx="27">
                  <c:v>2.35</c:v>
                </c:pt>
              </c:numCache>
            </c:numRef>
          </c:xVal>
          <c:yVal>
            <c:numRef>
              <c:f>'計算'!$AB$4:$AB$32</c:f>
              <c:numCache>
                <c:ptCount val="29"/>
                <c:pt idx="24">
                  <c:v>0</c:v>
                </c:pt>
                <c:pt idx="25">
                  <c:v>-0.2</c:v>
                </c:pt>
                <c:pt idx="26">
                  <c:v>-0.2</c:v>
                </c:pt>
                <c:pt idx="27">
                  <c:v>0</c:v>
                </c:pt>
              </c:numCache>
            </c:numRef>
          </c:yVal>
          <c:smooth val="0"/>
        </c:ser>
        <c:axId val="10384277"/>
        <c:axId val="26349630"/>
      </c:scatterChart>
      <c:valAx>
        <c:axId val="10384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630"/>
        <c:crosses val="autoZero"/>
        <c:crossBetween val="midCat"/>
        <c:dispUnits/>
      </c:valAx>
      <c:valAx>
        <c:axId val="263496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842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"/>
          <c:w val="0.84225"/>
          <c:h val="0.81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'計算'!$R$420</c:f>
              <c:strCache>
                <c:ptCount val="1"/>
                <c:pt idx="0">
                  <c:v>フレーム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'計算'!$Q$421:$Q$473</c:f>
              <c:numCache/>
            </c:numRef>
          </c:xVal>
          <c:yVal>
            <c:numRef>
              <c:f>'計算'!$R$421:$R$473</c:f>
              <c:numCache/>
            </c:numRef>
          </c:yVal>
          <c:smooth val="0"/>
        </c:ser>
        <c:ser>
          <c:idx val="1"/>
          <c:order val="1"/>
          <c:tx>
            <c:strRef>
              <c:f>'計算'!$S$420</c:f>
              <c:strCache>
                <c:ptCount val="1"/>
                <c:pt idx="0">
                  <c:v>側壁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'計算'!$Q$421:$Q$473</c:f>
              <c:numCache/>
            </c:numRef>
          </c:xVal>
          <c:yVal>
            <c:numRef>
              <c:f>'計算'!$S$421:$S$473</c:f>
              <c:numCache/>
            </c:numRef>
          </c:yVal>
          <c:smooth val="0"/>
        </c:ser>
        <c:ser>
          <c:idx val="2"/>
          <c:order val="2"/>
          <c:tx>
            <c:strRef>
              <c:f>'計算'!$T$417</c:f>
              <c:strCache>
                <c:ptCount val="1"/>
                <c:pt idx="0">
                  <c:v>底面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'計算'!$Q$421:$Q$473</c:f>
              <c:numCache/>
            </c:numRef>
          </c:xVal>
          <c:yVal>
            <c:numRef>
              <c:f>'計算'!$T$418:$T$470</c:f>
              <c:numCache/>
            </c:numRef>
          </c:yVal>
          <c:smooth val="0"/>
        </c:ser>
        <c:ser>
          <c:idx val="3"/>
          <c:order val="3"/>
          <c:tx>
            <c:strRef>
              <c:f>'計算'!$U$421</c:f>
              <c:strCache>
                <c:ptCount val="1"/>
                <c:pt idx="0">
                  <c:v>側壁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'計算'!$Q$421:$Q$473</c:f>
              <c:numCache/>
            </c:numRef>
          </c:xVal>
          <c:yVal>
            <c:numRef>
              <c:f>'計算'!$U$422:$U$474</c:f>
              <c:numCache/>
            </c:numRef>
          </c:yVal>
          <c:smooth val="0"/>
        </c:ser>
        <c:ser>
          <c:idx val="4"/>
          <c:order val="4"/>
          <c:tx>
            <c:strRef>
              <c:f>'計算'!$V$421</c:f>
              <c:strCache>
                <c:ptCount val="1"/>
                <c:pt idx="0">
                  <c:v>底面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'計算'!$Q$421:$Q$473</c:f>
              <c:numCache/>
            </c:numRef>
          </c:xVal>
          <c:yVal>
            <c:numRef>
              <c:f>'計算'!$V$422:$V$474</c:f>
              <c:numCache/>
            </c:numRef>
          </c:yVal>
          <c:smooth val="0"/>
        </c:ser>
        <c:ser>
          <c:idx val="5"/>
          <c:order val="5"/>
          <c:tx>
            <c:strRef>
              <c:f>'計算'!$W$421</c:f>
              <c:strCache>
                <c:ptCount val="1"/>
                <c:pt idx="0">
                  <c:v>中心線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'計算'!$Q$421:$Q$473</c:f>
              <c:numCache/>
            </c:numRef>
          </c:xVal>
          <c:yVal>
            <c:numRef>
              <c:f>'計算'!$W$422:$W$474</c:f>
              <c:numCache/>
            </c:numRef>
          </c:yVal>
          <c:smooth val="0"/>
        </c:ser>
        <c:axId val="35820079"/>
        <c:axId val="53945256"/>
      </c:scatterChart>
      <c:valAx>
        <c:axId val="35820079"/>
        <c:scaling>
          <c:orientation val="minMax"/>
        </c:scaling>
        <c:axPos val="b"/>
        <c:delete val="1"/>
        <c:majorTickMark val="out"/>
        <c:minorTickMark val="none"/>
        <c:tickLblPos val="nextTo"/>
        <c:crossAx val="53945256"/>
        <c:crosses val="autoZero"/>
        <c:crossBetween val="midCat"/>
        <c:dispUnits/>
      </c:valAx>
      <c:valAx>
        <c:axId val="53945256"/>
        <c:scaling>
          <c:orientation val="minMax"/>
        </c:scaling>
        <c:axPos val="l"/>
        <c:delete val="1"/>
        <c:majorTickMark val="out"/>
        <c:minorTickMark val="none"/>
        <c:tickLblPos val="nextTo"/>
        <c:crossAx val="358200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5"/>
          <c:w val="0.86025"/>
          <c:h val="0.7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'計算'!$R$510</c:f>
              <c:strCache>
                <c:ptCount val="1"/>
                <c:pt idx="0">
                  <c:v>フレーム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'計算'!$Q$511:$Q$564</c:f>
              <c:numCache/>
            </c:numRef>
          </c:xVal>
          <c:yVal>
            <c:numRef>
              <c:f>'計算'!$R$511:$R$564</c:f>
              <c:numCache/>
            </c:numRef>
          </c:yVal>
          <c:smooth val="0"/>
        </c:ser>
        <c:ser>
          <c:idx val="1"/>
          <c:order val="1"/>
          <c:tx>
            <c:strRef>
              <c:f>'計算'!$S$510</c:f>
              <c:strCache>
                <c:ptCount val="1"/>
                <c:pt idx="0">
                  <c:v>側壁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'計算'!$Q$511:$Q$564</c:f>
              <c:numCache/>
            </c:numRef>
          </c:xVal>
          <c:yVal>
            <c:numRef>
              <c:f>'計算'!$S$511:$S$564</c:f>
              <c:numCache/>
            </c:numRef>
          </c:yVal>
          <c:smooth val="0"/>
        </c:ser>
        <c:ser>
          <c:idx val="2"/>
          <c:order val="2"/>
          <c:tx>
            <c:strRef>
              <c:f>'計算'!$T$507</c:f>
              <c:strCache>
                <c:ptCount val="1"/>
                <c:pt idx="0">
                  <c:v>底面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'計算'!$Q$511:$Q$564</c:f>
              <c:numCache/>
            </c:numRef>
          </c:xVal>
          <c:yVal>
            <c:numRef>
              <c:f>'計算'!$T$508:$T$561</c:f>
              <c:numCache/>
            </c:numRef>
          </c:yVal>
          <c:smooth val="0"/>
        </c:ser>
        <c:ser>
          <c:idx val="3"/>
          <c:order val="3"/>
          <c:tx>
            <c:strRef>
              <c:f>'計算'!$U$511</c:f>
              <c:strCache>
                <c:ptCount val="1"/>
                <c:pt idx="0">
                  <c:v>側壁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'計算'!$Q$511:$Q$564</c:f>
              <c:numCache/>
            </c:numRef>
          </c:xVal>
          <c:yVal>
            <c:numRef>
              <c:f>'計算'!$U$512:$U$565</c:f>
              <c:numCache/>
            </c:numRef>
          </c:yVal>
          <c:smooth val="0"/>
        </c:ser>
        <c:ser>
          <c:idx val="4"/>
          <c:order val="4"/>
          <c:tx>
            <c:strRef>
              <c:f>'計算'!$V$511</c:f>
              <c:strCache>
                <c:ptCount val="1"/>
                <c:pt idx="0">
                  <c:v>底面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'計算'!$Q$511:$Q$564</c:f>
              <c:numCache/>
            </c:numRef>
          </c:xVal>
          <c:yVal>
            <c:numRef>
              <c:f>'計算'!$V$512:$V$565</c:f>
              <c:numCache/>
            </c:numRef>
          </c:yVal>
          <c:smooth val="0"/>
        </c:ser>
        <c:ser>
          <c:idx val="5"/>
          <c:order val="5"/>
          <c:tx>
            <c:strRef>
              <c:f>'計算'!$W$511</c:f>
              <c:strCache>
                <c:ptCount val="1"/>
                <c:pt idx="0">
                  <c:v>中心線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'計算'!$Q$511:$Q$564</c:f>
              <c:numCache/>
            </c:numRef>
          </c:xVal>
          <c:yVal>
            <c:numRef>
              <c:f>'計算'!$W$512:$W$565</c:f>
              <c:numCache/>
            </c:numRef>
          </c:yVal>
          <c:smooth val="0"/>
        </c:ser>
        <c:axId val="15745257"/>
        <c:axId val="7489586"/>
      </c:scatterChart>
      <c:valAx>
        <c:axId val="15745257"/>
        <c:scaling>
          <c:orientation val="minMax"/>
        </c:scaling>
        <c:axPos val="b"/>
        <c:delete val="1"/>
        <c:majorTickMark val="out"/>
        <c:minorTickMark val="none"/>
        <c:tickLblPos val="nextTo"/>
        <c:crossAx val="7489586"/>
        <c:crosses val="autoZero"/>
        <c:crossBetween val="midCat"/>
        <c:dispUnits/>
      </c:valAx>
      <c:valAx>
        <c:axId val="7489586"/>
        <c:scaling>
          <c:orientation val="minMax"/>
        </c:scaling>
        <c:axPos val="l"/>
        <c:delete val="1"/>
        <c:majorTickMark val="out"/>
        <c:minorTickMark val="none"/>
        <c:tickLblPos val="nextTo"/>
        <c:crossAx val="157452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925"/>
          <c:w val="0.96225"/>
          <c:h val="0.9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'計算'!$V$3</c:f>
              <c:strCache>
                <c:ptCount val="1"/>
                <c:pt idx="0">
                  <c:v>側溝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'計算'!$U$4:$U$32</c:f>
              <c:numCache/>
            </c:numRef>
          </c:xVal>
          <c:yVal>
            <c:numRef>
              <c:f>'計算'!$V$4:$V$32</c:f>
              <c:numCache/>
            </c:numRef>
          </c:yVal>
          <c:smooth val="0"/>
        </c:ser>
        <c:ser>
          <c:idx val="1"/>
          <c:order val="1"/>
          <c:tx>
            <c:strRef>
              <c:f>'計算'!$W$3</c:f>
              <c:strCache>
                <c:ptCount val="1"/>
                <c:pt idx="0">
                  <c:v>左地盤線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'計算'!$U$4:$U$32</c:f>
              <c:numCache/>
            </c:numRef>
          </c:xVal>
          <c:yVal>
            <c:numRef>
              <c:f>'計算'!$W$4:$W$32</c:f>
              <c:numCache/>
            </c:numRef>
          </c:yVal>
          <c:smooth val="0"/>
        </c:ser>
        <c:ser>
          <c:idx val="2"/>
          <c:order val="2"/>
          <c:tx>
            <c:strRef>
              <c:f>'計算'!$X$3</c:f>
              <c:strCache>
                <c:ptCount val="1"/>
                <c:pt idx="0">
                  <c:v>右地盤線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'計算'!$U$4:$U$32</c:f>
              <c:numCache/>
            </c:numRef>
          </c:xVal>
          <c:yVal>
            <c:numRef>
              <c:f>'計算'!$X$4:$X$32</c:f>
              <c:numCache/>
            </c:numRef>
          </c:yVal>
          <c:smooth val="0"/>
        </c:ser>
        <c:ser>
          <c:idx val="3"/>
          <c:order val="3"/>
          <c:tx>
            <c:strRef>
              <c:f>'計算'!$Y$3</c:f>
              <c:strCache>
                <c:ptCount val="1"/>
                <c:pt idx="0">
                  <c:v>載荷重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'計算'!$U$4:$U$32</c:f>
              <c:numCache/>
            </c:numRef>
          </c:xVal>
          <c:yVal>
            <c:numRef>
              <c:f>'計算'!$Y$4:$Y$32</c:f>
              <c:numCache/>
            </c:numRef>
          </c:yVal>
          <c:smooth val="0"/>
        </c:ser>
        <c:ser>
          <c:idx val="4"/>
          <c:order val="4"/>
          <c:tx>
            <c:strRef>
              <c:f>'計算'!$Z$3</c:f>
              <c:strCache>
                <c:ptCount val="1"/>
                <c:pt idx="0">
                  <c:v>左水位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'計算'!$U$4:$U$32</c:f>
              <c:numCache/>
            </c:numRef>
          </c:xVal>
          <c:yVal>
            <c:numRef>
              <c:f>'計算'!$Z$4:$Z$32</c:f>
              <c:numCache/>
            </c:numRef>
          </c:yVal>
          <c:smooth val="0"/>
        </c:ser>
        <c:ser>
          <c:idx val="5"/>
          <c:order val="5"/>
          <c:tx>
            <c:strRef>
              <c:f>'計算'!$AA$3</c:f>
              <c:strCache>
                <c:ptCount val="1"/>
                <c:pt idx="0">
                  <c:v>右水位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'計算'!$U$4:$U$32</c:f>
              <c:numCache/>
            </c:numRef>
          </c:xVal>
          <c:yVal>
            <c:numRef>
              <c:f>'計算'!$AA$4:$AA$32</c:f>
              <c:numCache/>
            </c:numRef>
          </c:yVal>
          <c:smooth val="0"/>
        </c:ser>
        <c:ser>
          <c:idx val="6"/>
          <c:order val="6"/>
          <c:tx>
            <c:strRef>
              <c:f>'計算'!$AB$3</c:f>
              <c:strCache>
                <c:ptCount val="1"/>
                <c:pt idx="0">
                  <c:v>浮上り防止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'計算'!$U$4:$U$32</c:f>
              <c:numCache/>
            </c:numRef>
          </c:xVal>
          <c:yVal>
            <c:numRef>
              <c:f>'計算'!$AB$4:$AB$32</c:f>
              <c:numCache/>
            </c:numRef>
          </c:yVal>
          <c:smooth val="0"/>
        </c:ser>
        <c:axId val="297411"/>
        <c:axId val="2676700"/>
      </c:scatterChart>
      <c:valAx>
        <c:axId val="297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6700"/>
        <c:crosses val="autoZero"/>
        <c:crossBetween val="midCat"/>
        <c:dispUnits/>
      </c:valAx>
      <c:valAx>
        <c:axId val="26767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4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7.emf" /><Relationship Id="rId3" Type="http://schemas.openxmlformats.org/officeDocument/2006/relationships/image" Target="../media/image28.emf" /><Relationship Id="rId4" Type="http://schemas.openxmlformats.org/officeDocument/2006/relationships/image" Target="../media/image29.emf" /><Relationship Id="rId5" Type="http://schemas.openxmlformats.org/officeDocument/2006/relationships/image" Target="../media/image30.emf" /><Relationship Id="rId6" Type="http://schemas.openxmlformats.org/officeDocument/2006/relationships/image" Target="../media/image31.emf" /><Relationship Id="rId7" Type="http://schemas.openxmlformats.org/officeDocument/2006/relationships/image" Target="../media/image33.emf" /><Relationship Id="rId8" Type="http://schemas.openxmlformats.org/officeDocument/2006/relationships/image" Target="../media/image34.emf" /><Relationship Id="rId9" Type="http://schemas.openxmlformats.org/officeDocument/2006/relationships/image" Target="../media/image35.emf" /><Relationship Id="rId10" Type="http://schemas.openxmlformats.org/officeDocument/2006/relationships/image" Target="../media/image38.emf" /><Relationship Id="rId11" Type="http://schemas.openxmlformats.org/officeDocument/2006/relationships/image" Target="../media/image40.emf" /><Relationship Id="rId12" Type="http://schemas.openxmlformats.org/officeDocument/2006/relationships/image" Target="../media/image41.emf" /><Relationship Id="rId13" Type="http://schemas.openxmlformats.org/officeDocument/2006/relationships/image" Target="../media/image42.emf" /><Relationship Id="rId14" Type="http://schemas.openxmlformats.org/officeDocument/2006/relationships/image" Target="../media/image43.emf" /><Relationship Id="rId15" Type="http://schemas.openxmlformats.org/officeDocument/2006/relationships/chart" Target="/xl/charts/chart4.xml" /><Relationship Id="rId16" Type="http://schemas.openxmlformats.org/officeDocument/2006/relationships/chart" Target="/xl/charts/chart5.xml" /><Relationship Id="rId17" Type="http://schemas.openxmlformats.org/officeDocument/2006/relationships/chart" Target="/xl/charts/chart6.xml" /><Relationship Id="rId18" Type="http://schemas.openxmlformats.org/officeDocument/2006/relationships/image" Target="../media/image50.emf" /><Relationship Id="rId19" Type="http://schemas.openxmlformats.org/officeDocument/2006/relationships/image" Target="../media/image51.emf" /><Relationship Id="rId20" Type="http://schemas.openxmlformats.org/officeDocument/2006/relationships/image" Target="../media/image52.emf" /><Relationship Id="rId21" Type="http://schemas.openxmlformats.org/officeDocument/2006/relationships/image" Target="../media/image54.emf" /><Relationship Id="rId22" Type="http://schemas.openxmlformats.org/officeDocument/2006/relationships/image" Target="../media/image5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45.emf" /><Relationship Id="rId3" Type="http://schemas.openxmlformats.org/officeDocument/2006/relationships/image" Target="../media/image47.emf" /><Relationship Id="rId4" Type="http://schemas.openxmlformats.org/officeDocument/2006/relationships/image" Target="../media/image48.emf" /><Relationship Id="rId5" Type="http://schemas.openxmlformats.org/officeDocument/2006/relationships/image" Target="../media/image53.emf" /><Relationship Id="rId6" Type="http://schemas.openxmlformats.org/officeDocument/2006/relationships/image" Target="../media/image57.emf" /><Relationship Id="rId7" Type="http://schemas.openxmlformats.org/officeDocument/2006/relationships/image" Target="../media/image58.emf" /><Relationship Id="rId8" Type="http://schemas.openxmlformats.org/officeDocument/2006/relationships/image" Target="../media/image59.emf" /><Relationship Id="rId9" Type="http://schemas.openxmlformats.org/officeDocument/2006/relationships/image" Target="../media/image60.emf" /><Relationship Id="rId10" Type="http://schemas.openxmlformats.org/officeDocument/2006/relationships/image" Target="../media/image61.emf" /><Relationship Id="rId11" Type="http://schemas.openxmlformats.org/officeDocument/2006/relationships/image" Target="../media/image62.emf" /><Relationship Id="rId12" Type="http://schemas.openxmlformats.org/officeDocument/2006/relationships/image" Target="../media/image63.emf" /><Relationship Id="rId13" Type="http://schemas.openxmlformats.org/officeDocument/2006/relationships/image" Target="../media/image3.emf" /><Relationship Id="rId14" Type="http://schemas.openxmlformats.org/officeDocument/2006/relationships/image" Target="../media/image32.emf" /><Relationship Id="rId15" Type="http://schemas.openxmlformats.org/officeDocument/2006/relationships/image" Target="../media/image64.emf" /><Relationship Id="rId16" Type="http://schemas.openxmlformats.org/officeDocument/2006/relationships/image" Target="../media/image65.emf" /><Relationship Id="rId17" Type="http://schemas.openxmlformats.org/officeDocument/2006/relationships/image" Target="../media/image49.emf" /><Relationship Id="rId18" Type="http://schemas.openxmlformats.org/officeDocument/2006/relationships/image" Target="../media/image66.emf" /><Relationship Id="rId19" Type="http://schemas.openxmlformats.org/officeDocument/2006/relationships/image" Target="../media/image67.emf" /><Relationship Id="rId20" Type="http://schemas.openxmlformats.org/officeDocument/2006/relationships/image" Target="../media/image68.emf" /><Relationship Id="rId21" Type="http://schemas.openxmlformats.org/officeDocument/2006/relationships/image" Target="../media/image23.emf" /><Relationship Id="rId22" Type="http://schemas.openxmlformats.org/officeDocument/2006/relationships/image" Target="../media/image8.emf" /><Relationship Id="rId23" Type="http://schemas.openxmlformats.org/officeDocument/2006/relationships/image" Target="../media/image6.emf" /><Relationship Id="rId24" Type="http://schemas.openxmlformats.org/officeDocument/2006/relationships/image" Target="../media/image6.emf" /><Relationship Id="rId25" Type="http://schemas.openxmlformats.org/officeDocument/2006/relationships/image" Target="../media/image24.emf" /><Relationship Id="rId26" Type="http://schemas.openxmlformats.org/officeDocument/2006/relationships/image" Target="../media/image15.emf" /><Relationship Id="rId27" Type="http://schemas.openxmlformats.org/officeDocument/2006/relationships/image" Target="../media/image25.emf" /><Relationship Id="rId28" Type="http://schemas.openxmlformats.org/officeDocument/2006/relationships/image" Target="../media/image17.emf" /><Relationship Id="rId29" Type="http://schemas.openxmlformats.org/officeDocument/2006/relationships/image" Target="../media/image10.emf" /><Relationship Id="rId30" Type="http://schemas.openxmlformats.org/officeDocument/2006/relationships/image" Target="../media/image26.emf" /><Relationship Id="rId31" Type="http://schemas.openxmlformats.org/officeDocument/2006/relationships/image" Target="../media/image36.emf" /><Relationship Id="rId32" Type="http://schemas.openxmlformats.org/officeDocument/2006/relationships/image" Target="../media/image9.emf" /><Relationship Id="rId33" Type="http://schemas.openxmlformats.org/officeDocument/2006/relationships/image" Target="../media/image37.emf" /><Relationship Id="rId34" Type="http://schemas.openxmlformats.org/officeDocument/2006/relationships/image" Target="../media/image19.emf" /><Relationship Id="rId35" Type="http://schemas.openxmlformats.org/officeDocument/2006/relationships/image" Target="../media/image44.emf" /><Relationship Id="rId36" Type="http://schemas.openxmlformats.org/officeDocument/2006/relationships/image" Target="../media/image46.emf" /><Relationship Id="rId37" Type="http://schemas.openxmlformats.org/officeDocument/2006/relationships/image" Target="../media/image20.emf" /><Relationship Id="rId38" Type="http://schemas.openxmlformats.org/officeDocument/2006/relationships/image" Target="../media/image21.emf" /><Relationship Id="rId39" Type="http://schemas.openxmlformats.org/officeDocument/2006/relationships/image" Target="../media/image5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1</xdr:row>
      <xdr:rowOff>57150</xdr:rowOff>
    </xdr:from>
    <xdr:to>
      <xdr:col>14</xdr:col>
      <xdr:colOff>285750</xdr:colOff>
      <xdr:row>18</xdr:row>
      <xdr:rowOff>38100</xdr:rowOff>
    </xdr:to>
    <xdr:pic>
      <xdr:nvPicPr>
        <xdr:cNvPr id="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66700"/>
          <a:ext cx="771525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447675</xdr:colOff>
      <xdr:row>20</xdr:row>
      <xdr:rowOff>152400</xdr:rowOff>
    </xdr:from>
    <xdr:to>
      <xdr:col>12</xdr:col>
      <xdr:colOff>790575</xdr:colOff>
      <xdr:row>37</xdr:row>
      <xdr:rowOff>133350</xdr:rowOff>
    </xdr:to>
    <xdr:graphicFrame>
      <xdr:nvGraphicFramePr>
        <xdr:cNvPr id="2" name="グラフ 43"/>
        <xdr:cNvGraphicFramePr/>
      </xdr:nvGraphicFramePr>
      <xdr:xfrm>
        <a:off x="6381750" y="4343400"/>
        <a:ext cx="45815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733425</xdr:colOff>
      <xdr:row>22</xdr:row>
      <xdr:rowOff>85725</xdr:rowOff>
    </xdr:from>
    <xdr:to>
      <xdr:col>19</xdr:col>
      <xdr:colOff>76200</xdr:colOff>
      <xdr:row>35</xdr:row>
      <xdr:rowOff>152400</xdr:rowOff>
    </xdr:to>
    <xdr:graphicFrame>
      <xdr:nvGraphicFramePr>
        <xdr:cNvPr id="3" name="グラフ 44"/>
        <xdr:cNvGraphicFramePr/>
      </xdr:nvGraphicFramePr>
      <xdr:xfrm>
        <a:off x="10906125" y="4695825"/>
        <a:ext cx="527685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447675</xdr:colOff>
      <xdr:row>2</xdr:row>
      <xdr:rowOff>47625</xdr:rowOff>
    </xdr:from>
    <xdr:to>
      <xdr:col>22</xdr:col>
      <xdr:colOff>723900</xdr:colOff>
      <xdr:row>18</xdr:row>
      <xdr:rowOff>85725</xdr:rowOff>
    </xdr:to>
    <xdr:graphicFrame>
      <xdr:nvGraphicFramePr>
        <xdr:cNvPr id="4" name="グラフ 64"/>
        <xdr:cNvGraphicFramePr/>
      </xdr:nvGraphicFramePr>
      <xdr:xfrm>
        <a:off x="12315825" y="466725"/>
        <a:ext cx="7058025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142875</xdr:rowOff>
    </xdr:from>
    <xdr:to>
      <xdr:col>8</xdr:col>
      <xdr:colOff>666750</xdr:colOff>
      <xdr:row>51</xdr:row>
      <xdr:rowOff>133350</xdr:rowOff>
    </xdr:to>
    <xdr:pic>
      <xdr:nvPicPr>
        <xdr:cNvPr id="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744855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143</xdr:row>
      <xdr:rowOff>85725</xdr:rowOff>
    </xdr:from>
    <xdr:to>
      <xdr:col>3</xdr:col>
      <xdr:colOff>733425</xdr:colOff>
      <xdr:row>145</xdr:row>
      <xdr:rowOff>104775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25069800"/>
          <a:ext cx="1866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123</xdr:row>
      <xdr:rowOff>47625</xdr:rowOff>
    </xdr:from>
    <xdr:to>
      <xdr:col>7</xdr:col>
      <xdr:colOff>190500</xdr:colOff>
      <xdr:row>136</xdr:row>
      <xdr:rowOff>104775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21459825"/>
          <a:ext cx="43053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146</xdr:row>
      <xdr:rowOff>9525</xdr:rowOff>
    </xdr:from>
    <xdr:to>
      <xdr:col>5</xdr:col>
      <xdr:colOff>828675</xdr:colOff>
      <xdr:row>148</xdr:row>
      <xdr:rowOff>161925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5875" y="25536525"/>
          <a:ext cx="3781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149</xdr:row>
      <xdr:rowOff>171450</xdr:rowOff>
    </xdr:from>
    <xdr:to>
      <xdr:col>2</xdr:col>
      <xdr:colOff>838200</xdr:colOff>
      <xdr:row>151</xdr:row>
      <xdr:rowOff>28575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4925" y="26241375"/>
          <a:ext cx="1228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153</xdr:row>
      <xdr:rowOff>9525</xdr:rowOff>
    </xdr:from>
    <xdr:to>
      <xdr:col>3</xdr:col>
      <xdr:colOff>561975</xdr:colOff>
      <xdr:row>154</xdr:row>
      <xdr:rowOff>76200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24025" y="26784300"/>
          <a:ext cx="1381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155</xdr:row>
      <xdr:rowOff>9525</xdr:rowOff>
    </xdr:from>
    <xdr:to>
      <xdr:col>2</xdr:col>
      <xdr:colOff>838200</xdr:colOff>
      <xdr:row>156</xdr:row>
      <xdr:rowOff>19050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47850" y="27146250"/>
          <a:ext cx="685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159</xdr:row>
      <xdr:rowOff>19050</xdr:rowOff>
    </xdr:from>
    <xdr:to>
      <xdr:col>6</xdr:col>
      <xdr:colOff>628650</xdr:colOff>
      <xdr:row>161</xdr:row>
      <xdr:rowOff>171450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27841575"/>
          <a:ext cx="3800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163</xdr:row>
      <xdr:rowOff>9525</xdr:rowOff>
    </xdr:from>
    <xdr:to>
      <xdr:col>3</xdr:col>
      <xdr:colOff>647700</xdr:colOff>
      <xdr:row>164</xdr:row>
      <xdr:rowOff>57150</xdr:rowOff>
    </xdr:to>
    <xdr:pic>
      <xdr:nvPicPr>
        <xdr:cNvPr id="9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86000" y="28536900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177</xdr:row>
      <xdr:rowOff>47625</xdr:rowOff>
    </xdr:from>
    <xdr:to>
      <xdr:col>6</xdr:col>
      <xdr:colOff>685800</xdr:colOff>
      <xdr:row>181</xdr:row>
      <xdr:rowOff>95250</xdr:rowOff>
    </xdr:to>
    <xdr:pic>
      <xdr:nvPicPr>
        <xdr:cNvPr id="10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76425" y="30908625"/>
          <a:ext cx="3895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194</xdr:row>
      <xdr:rowOff>152400</xdr:rowOff>
    </xdr:from>
    <xdr:to>
      <xdr:col>4</xdr:col>
      <xdr:colOff>219075</xdr:colOff>
      <xdr:row>196</xdr:row>
      <xdr:rowOff>38100</xdr:rowOff>
    </xdr:to>
    <xdr:pic>
      <xdr:nvPicPr>
        <xdr:cNvPr id="11" name="Picture 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52700" y="33918525"/>
          <a:ext cx="1057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196</xdr:row>
      <xdr:rowOff>123825</xdr:rowOff>
    </xdr:from>
    <xdr:to>
      <xdr:col>4</xdr:col>
      <xdr:colOff>695325</xdr:colOff>
      <xdr:row>198</xdr:row>
      <xdr:rowOff>19050</xdr:rowOff>
    </xdr:to>
    <xdr:pic>
      <xdr:nvPicPr>
        <xdr:cNvPr id="12" name="Picture 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57450" y="34251900"/>
          <a:ext cx="1628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198</xdr:row>
      <xdr:rowOff>161925</xdr:rowOff>
    </xdr:from>
    <xdr:to>
      <xdr:col>4</xdr:col>
      <xdr:colOff>609600</xdr:colOff>
      <xdr:row>200</xdr:row>
      <xdr:rowOff>57150</xdr:rowOff>
    </xdr:to>
    <xdr:pic>
      <xdr:nvPicPr>
        <xdr:cNvPr id="13" name="Picture 4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90775" y="34651950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191</xdr:row>
      <xdr:rowOff>0</xdr:rowOff>
    </xdr:from>
    <xdr:to>
      <xdr:col>3</xdr:col>
      <xdr:colOff>781050</xdr:colOff>
      <xdr:row>192</xdr:row>
      <xdr:rowOff>57150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00275" y="33242250"/>
          <a:ext cx="1123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239</xdr:row>
      <xdr:rowOff>152400</xdr:rowOff>
    </xdr:from>
    <xdr:to>
      <xdr:col>4</xdr:col>
      <xdr:colOff>219075</xdr:colOff>
      <xdr:row>241</xdr:row>
      <xdr:rowOff>38100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52700" y="41748075"/>
          <a:ext cx="1057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241</xdr:row>
      <xdr:rowOff>123825</xdr:rowOff>
    </xdr:from>
    <xdr:to>
      <xdr:col>4</xdr:col>
      <xdr:colOff>695325</xdr:colOff>
      <xdr:row>243</xdr:row>
      <xdr:rowOff>19050</xdr:rowOff>
    </xdr:to>
    <xdr:pic>
      <xdr:nvPicPr>
        <xdr:cNvPr id="16" name="Picture 6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57450" y="42081450"/>
          <a:ext cx="1628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243</xdr:row>
      <xdr:rowOff>161925</xdr:rowOff>
    </xdr:from>
    <xdr:to>
      <xdr:col>4</xdr:col>
      <xdr:colOff>609600</xdr:colOff>
      <xdr:row>245</xdr:row>
      <xdr:rowOff>57150</xdr:rowOff>
    </xdr:to>
    <xdr:pic>
      <xdr:nvPicPr>
        <xdr:cNvPr id="17" name="Picture 6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90775" y="42481500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236</xdr:row>
      <xdr:rowOff>171450</xdr:rowOff>
    </xdr:from>
    <xdr:to>
      <xdr:col>3</xdr:col>
      <xdr:colOff>781050</xdr:colOff>
      <xdr:row>238</xdr:row>
      <xdr:rowOff>47625</xdr:rowOff>
    </xdr:to>
    <xdr:pic>
      <xdr:nvPicPr>
        <xdr:cNvPr id="18" name="Picture 6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00275" y="41224200"/>
          <a:ext cx="1123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377</xdr:row>
      <xdr:rowOff>0</xdr:rowOff>
    </xdr:from>
    <xdr:to>
      <xdr:col>5</xdr:col>
      <xdr:colOff>838200</xdr:colOff>
      <xdr:row>395</xdr:row>
      <xdr:rowOff>28575</xdr:rowOff>
    </xdr:to>
    <xdr:pic>
      <xdr:nvPicPr>
        <xdr:cNvPr id="19" name="Picture 7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47725" y="65303400"/>
          <a:ext cx="422910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452</xdr:row>
      <xdr:rowOff>47625</xdr:rowOff>
    </xdr:from>
    <xdr:to>
      <xdr:col>6</xdr:col>
      <xdr:colOff>219075</xdr:colOff>
      <xdr:row>472</xdr:row>
      <xdr:rowOff>66675</xdr:rowOff>
    </xdr:to>
    <xdr:graphicFrame>
      <xdr:nvGraphicFramePr>
        <xdr:cNvPr id="20" name="グラフ 85"/>
        <xdr:cNvGraphicFramePr/>
      </xdr:nvGraphicFramePr>
      <xdr:xfrm>
        <a:off x="914400" y="77876400"/>
        <a:ext cx="4391025" cy="3257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123825</xdr:colOff>
      <xdr:row>533</xdr:row>
      <xdr:rowOff>0</xdr:rowOff>
    </xdr:from>
    <xdr:to>
      <xdr:col>6</xdr:col>
      <xdr:colOff>304800</xdr:colOff>
      <xdr:row>548</xdr:row>
      <xdr:rowOff>142875</xdr:rowOff>
    </xdr:to>
    <xdr:graphicFrame>
      <xdr:nvGraphicFramePr>
        <xdr:cNvPr id="21" name="グラフ 87"/>
        <xdr:cNvGraphicFramePr/>
      </xdr:nvGraphicFramePr>
      <xdr:xfrm>
        <a:off x="123825" y="90944700"/>
        <a:ext cx="5267325" cy="2571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161925</xdr:colOff>
      <xdr:row>33</xdr:row>
      <xdr:rowOff>28575</xdr:rowOff>
    </xdr:from>
    <xdr:to>
      <xdr:col>27</xdr:col>
      <xdr:colOff>533400</xdr:colOff>
      <xdr:row>50</xdr:row>
      <xdr:rowOff>142875</xdr:rowOff>
    </xdr:to>
    <xdr:graphicFrame>
      <xdr:nvGraphicFramePr>
        <xdr:cNvPr id="22" name="グラフ 147"/>
        <xdr:cNvGraphicFramePr/>
      </xdr:nvGraphicFramePr>
      <xdr:xfrm>
        <a:off x="18516600" y="5514975"/>
        <a:ext cx="6305550" cy="3190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oneCell">
    <xdr:from>
      <xdr:col>0</xdr:col>
      <xdr:colOff>447675</xdr:colOff>
      <xdr:row>81</xdr:row>
      <xdr:rowOff>38100</xdr:rowOff>
    </xdr:from>
    <xdr:to>
      <xdr:col>5</xdr:col>
      <xdr:colOff>381000</xdr:colOff>
      <xdr:row>111</xdr:row>
      <xdr:rowOff>95250</xdr:rowOff>
    </xdr:to>
    <xdr:pic>
      <xdr:nvPicPr>
        <xdr:cNvPr id="23" name="Picture 40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7675" y="14058900"/>
          <a:ext cx="4171950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58</xdr:row>
      <xdr:rowOff>152400</xdr:rowOff>
    </xdr:from>
    <xdr:to>
      <xdr:col>6</xdr:col>
      <xdr:colOff>438150</xdr:colOff>
      <xdr:row>73</xdr:row>
      <xdr:rowOff>123825</xdr:rowOff>
    </xdr:to>
    <xdr:pic>
      <xdr:nvPicPr>
        <xdr:cNvPr id="24" name="Picture 40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8675" y="10067925"/>
          <a:ext cx="46958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200</xdr:row>
      <xdr:rowOff>133350</xdr:rowOff>
    </xdr:from>
    <xdr:to>
      <xdr:col>7</xdr:col>
      <xdr:colOff>495300</xdr:colOff>
      <xdr:row>214</xdr:row>
      <xdr:rowOff>95250</xdr:rowOff>
    </xdr:to>
    <xdr:pic>
      <xdr:nvPicPr>
        <xdr:cNvPr id="25" name="Picture 40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04900" y="34985325"/>
          <a:ext cx="532447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313</xdr:row>
      <xdr:rowOff>9525</xdr:rowOff>
    </xdr:from>
    <xdr:to>
      <xdr:col>6</xdr:col>
      <xdr:colOff>581025</xdr:colOff>
      <xdr:row>325</xdr:row>
      <xdr:rowOff>104775</xdr:rowOff>
    </xdr:to>
    <xdr:pic>
      <xdr:nvPicPr>
        <xdr:cNvPr id="26" name="Picture 40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5300" y="53806725"/>
          <a:ext cx="51720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326</xdr:row>
      <xdr:rowOff>171450</xdr:rowOff>
    </xdr:from>
    <xdr:to>
      <xdr:col>5</xdr:col>
      <xdr:colOff>0</xdr:colOff>
      <xdr:row>334</xdr:row>
      <xdr:rowOff>142875</xdr:rowOff>
    </xdr:to>
    <xdr:grpSp>
      <xdr:nvGrpSpPr>
        <xdr:cNvPr id="27" name="Group 410"/>
        <xdr:cNvGrpSpPr>
          <a:grpSpLocks/>
        </xdr:cNvGrpSpPr>
      </xdr:nvGrpSpPr>
      <xdr:grpSpPr>
        <a:xfrm>
          <a:off x="914400" y="56321325"/>
          <a:ext cx="3324225" cy="1419225"/>
          <a:chOff x="338" y="1753"/>
          <a:chExt cx="1670" cy="844"/>
        </a:xfrm>
        <a:solidFill>
          <a:srgbClr val="FFFFFF"/>
        </a:solidFill>
      </xdr:grpSpPr>
    </xdr:grpSp>
    <xdr:clientData/>
  </xdr:twoCellAnchor>
  <xdr:twoCellAnchor>
    <xdr:from>
      <xdr:col>1</xdr:col>
      <xdr:colOff>57150</xdr:colOff>
      <xdr:row>335</xdr:row>
      <xdr:rowOff>142875</xdr:rowOff>
    </xdr:from>
    <xdr:to>
      <xdr:col>5</xdr:col>
      <xdr:colOff>742950</xdr:colOff>
      <xdr:row>344</xdr:row>
      <xdr:rowOff>123825</xdr:rowOff>
    </xdr:to>
    <xdr:grpSp>
      <xdr:nvGrpSpPr>
        <xdr:cNvPr id="32" name="Group 415"/>
        <xdr:cNvGrpSpPr>
          <a:grpSpLocks/>
        </xdr:cNvGrpSpPr>
      </xdr:nvGrpSpPr>
      <xdr:grpSpPr>
        <a:xfrm>
          <a:off x="904875" y="57921525"/>
          <a:ext cx="4076700" cy="1609725"/>
          <a:chOff x="266" y="2668"/>
          <a:chExt cx="2046" cy="964"/>
        </a:xfrm>
        <a:solidFill>
          <a:srgbClr val="FFFFFF"/>
        </a:solidFill>
      </xdr:grpSpPr>
    </xdr:grpSp>
    <xdr:clientData/>
  </xdr:twoCellAnchor>
  <xdr:twoCellAnchor>
    <xdr:from>
      <xdr:col>1</xdr:col>
      <xdr:colOff>19050</xdr:colOff>
      <xdr:row>346</xdr:row>
      <xdr:rowOff>19050</xdr:rowOff>
    </xdr:from>
    <xdr:to>
      <xdr:col>5</xdr:col>
      <xdr:colOff>628650</xdr:colOff>
      <xdr:row>354</xdr:row>
      <xdr:rowOff>171450</xdr:rowOff>
    </xdr:to>
    <xdr:grpSp>
      <xdr:nvGrpSpPr>
        <xdr:cNvPr id="37" name="Group 420"/>
        <xdr:cNvGrpSpPr>
          <a:grpSpLocks/>
        </xdr:cNvGrpSpPr>
      </xdr:nvGrpSpPr>
      <xdr:grpSpPr>
        <a:xfrm>
          <a:off x="866775" y="59769375"/>
          <a:ext cx="4000500" cy="1600200"/>
          <a:chOff x="3229" y="513"/>
          <a:chExt cx="2004" cy="954"/>
        </a:xfrm>
        <a:solidFill>
          <a:srgbClr val="FFFFFF"/>
        </a:solidFill>
      </xdr:grpSpPr>
    </xdr:grpSp>
    <xdr:clientData/>
  </xdr:twoCellAnchor>
  <xdr:twoCellAnchor>
    <xdr:from>
      <xdr:col>0</xdr:col>
      <xdr:colOff>828675</xdr:colOff>
      <xdr:row>355</xdr:row>
      <xdr:rowOff>152400</xdr:rowOff>
    </xdr:from>
    <xdr:to>
      <xdr:col>7</xdr:col>
      <xdr:colOff>219075</xdr:colOff>
      <xdr:row>364</xdr:row>
      <xdr:rowOff>38100</xdr:rowOff>
    </xdr:to>
    <xdr:grpSp>
      <xdr:nvGrpSpPr>
        <xdr:cNvPr id="42" name="Group 425"/>
        <xdr:cNvGrpSpPr>
          <a:grpSpLocks/>
        </xdr:cNvGrpSpPr>
      </xdr:nvGrpSpPr>
      <xdr:grpSpPr>
        <a:xfrm>
          <a:off x="828675" y="61531500"/>
          <a:ext cx="5324475" cy="1514475"/>
          <a:chOff x="2689" y="1657"/>
          <a:chExt cx="2679" cy="895"/>
        </a:xfrm>
        <a:solidFill>
          <a:srgbClr val="FFFFFF"/>
        </a:solidFill>
      </xdr:grpSpPr>
    </xdr:grpSp>
    <xdr:clientData/>
  </xdr:twoCellAnchor>
  <xdr:twoCellAnchor>
    <xdr:from>
      <xdr:col>1</xdr:col>
      <xdr:colOff>0</xdr:colOff>
      <xdr:row>365</xdr:row>
      <xdr:rowOff>85725</xdr:rowOff>
    </xdr:from>
    <xdr:to>
      <xdr:col>7</xdr:col>
      <xdr:colOff>476250</xdr:colOff>
      <xdr:row>372</xdr:row>
      <xdr:rowOff>161925</xdr:rowOff>
    </xdr:to>
    <xdr:grpSp>
      <xdr:nvGrpSpPr>
        <xdr:cNvPr id="47" name="Group 430"/>
        <xdr:cNvGrpSpPr>
          <a:grpSpLocks/>
        </xdr:cNvGrpSpPr>
      </xdr:nvGrpSpPr>
      <xdr:grpSpPr>
        <a:xfrm>
          <a:off x="847725" y="63274575"/>
          <a:ext cx="5562600" cy="1343025"/>
          <a:chOff x="2753" y="2857"/>
          <a:chExt cx="2796" cy="797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567</xdr:row>
      <xdr:rowOff>0</xdr:rowOff>
    </xdr:from>
    <xdr:to>
      <xdr:col>3</xdr:col>
      <xdr:colOff>438150</xdr:colOff>
      <xdr:row>567</xdr:row>
      <xdr:rowOff>152400</xdr:rowOff>
    </xdr:to>
    <xdr:sp>
      <xdr:nvSpPr>
        <xdr:cNvPr id="52" name="Freeform 436"/>
        <xdr:cNvSpPr>
          <a:spLocks/>
        </xdr:cNvSpPr>
      </xdr:nvSpPr>
      <xdr:spPr>
        <a:xfrm>
          <a:off x="1914525" y="96478725"/>
          <a:ext cx="1066800" cy="152400"/>
        </a:xfrm>
        <a:custGeom>
          <a:pathLst>
            <a:path h="17" w="88">
              <a:moveTo>
                <a:pt x="0" y="11"/>
              </a:moveTo>
              <a:lnTo>
                <a:pt x="4" y="17"/>
              </a:lnTo>
              <a:lnTo>
                <a:pt x="8" y="0"/>
              </a:lnTo>
              <a:lnTo>
                <a:pt x="8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567</xdr:row>
      <xdr:rowOff>0</xdr:rowOff>
    </xdr:from>
    <xdr:to>
      <xdr:col>6</xdr:col>
      <xdr:colOff>190500</xdr:colOff>
      <xdr:row>567</xdr:row>
      <xdr:rowOff>152400</xdr:rowOff>
    </xdr:to>
    <xdr:sp>
      <xdr:nvSpPr>
        <xdr:cNvPr id="53" name="Freeform 437"/>
        <xdr:cNvSpPr>
          <a:spLocks/>
        </xdr:cNvSpPr>
      </xdr:nvSpPr>
      <xdr:spPr>
        <a:xfrm>
          <a:off x="3390900" y="96478725"/>
          <a:ext cx="1885950" cy="152400"/>
        </a:xfrm>
        <a:custGeom>
          <a:pathLst>
            <a:path h="17" w="158">
              <a:moveTo>
                <a:pt x="0" y="11"/>
              </a:moveTo>
              <a:lnTo>
                <a:pt x="4" y="17"/>
              </a:lnTo>
              <a:lnTo>
                <a:pt x="8" y="0"/>
              </a:lnTo>
              <a:lnTo>
                <a:pt x="15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0</xdr:colOff>
      <xdr:row>572</xdr:row>
      <xdr:rowOff>114300</xdr:rowOff>
    </xdr:from>
    <xdr:ext cx="133350" cy="180975"/>
    <xdr:sp>
      <xdr:nvSpPr>
        <xdr:cNvPr id="54" name="Text Box 439"/>
        <xdr:cNvSpPr txBox="1">
          <a:spLocks noChangeArrowheads="1"/>
        </xdr:cNvSpPr>
      </xdr:nvSpPr>
      <xdr:spPr>
        <a:xfrm>
          <a:off x="2543175" y="974026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</a:p>
      </xdr:txBody>
    </xdr:sp>
    <xdr:clientData/>
  </xdr:oneCellAnchor>
  <xdr:twoCellAnchor>
    <xdr:from>
      <xdr:col>3</xdr:col>
      <xdr:colOff>152400</xdr:colOff>
      <xdr:row>573</xdr:row>
      <xdr:rowOff>0</xdr:rowOff>
    </xdr:from>
    <xdr:to>
      <xdr:col>5</xdr:col>
      <xdr:colOff>695325</xdr:colOff>
      <xdr:row>573</xdr:row>
      <xdr:rowOff>0</xdr:rowOff>
    </xdr:to>
    <xdr:sp>
      <xdr:nvSpPr>
        <xdr:cNvPr id="55" name="Line 440"/>
        <xdr:cNvSpPr>
          <a:spLocks/>
        </xdr:cNvSpPr>
      </xdr:nvSpPr>
      <xdr:spPr>
        <a:xfrm>
          <a:off x="2695575" y="9746932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573</xdr:row>
      <xdr:rowOff>9525</xdr:rowOff>
    </xdr:from>
    <xdr:to>
      <xdr:col>2</xdr:col>
      <xdr:colOff>695325</xdr:colOff>
      <xdr:row>573</xdr:row>
      <xdr:rowOff>9525</xdr:rowOff>
    </xdr:to>
    <xdr:sp>
      <xdr:nvSpPr>
        <xdr:cNvPr id="56" name="Line 441"/>
        <xdr:cNvSpPr>
          <a:spLocks/>
        </xdr:cNvSpPr>
      </xdr:nvSpPr>
      <xdr:spPr>
        <a:xfrm>
          <a:off x="1781175" y="97478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0</xdr:colOff>
      <xdr:row>576</xdr:row>
      <xdr:rowOff>85725</xdr:rowOff>
    </xdr:from>
    <xdr:ext cx="133350" cy="200025"/>
    <xdr:sp>
      <xdr:nvSpPr>
        <xdr:cNvPr id="57" name="Text Box 442"/>
        <xdr:cNvSpPr txBox="1">
          <a:spLocks noChangeArrowheads="1"/>
        </xdr:cNvSpPr>
      </xdr:nvSpPr>
      <xdr:spPr>
        <a:xfrm>
          <a:off x="2543175" y="981075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</a:p>
      </xdr:txBody>
    </xdr:sp>
    <xdr:clientData/>
  </xdr:oneCellAnchor>
  <xdr:twoCellAnchor>
    <xdr:from>
      <xdr:col>2</xdr:col>
      <xdr:colOff>95250</xdr:colOff>
      <xdr:row>577</xdr:row>
      <xdr:rowOff>0</xdr:rowOff>
    </xdr:from>
    <xdr:to>
      <xdr:col>2</xdr:col>
      <xdr:colOff>704850</xdr:colOff>
      <xdr:row>577</xdr:row>
      <xdr:rowOff>0</xdr:rowOff>
    </xdr:to>
    <xdr:sp>
      <xdr:nvSpPr>
        <xdr:cNvPr id="58" name="Line 443"/>
        <xdr:cNvSpPr>
          <a:spLocks/>
        </xdr:cNvSpPr>
      </xdr:nvSpPr>
      <xdr:spPr>
        <a:xfrm>
          <a:off x="1790700" y="982027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180975</xdr:colOff>
      <xdr:row>577</xdr:row>
      <xdr:rowOff>0</xdr:rowOff>
    </xdr:from>
    <xdr:to>
      <xdr:col>5</xdr:col>
      <xdr:colOff>742950</xdr:colOff>
      <xdr:row>577</xdr:row>
      <xdr:rowOff>0</xdr:rowOff>
    </xdr:to>
    <xdr:sp>
      <xdr:nvSpPr>
        <xdr:cNvPr id="59" name="Line 446"/>
        <xdr:cNvSpPr>
          <a:spLocks/>
        </xdr:cNvSpPr>
      </xdr:nvSpPr>
      <xdr:spPr>
        <a:xfrm>
          <a:off x="2724150" y="982027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581</xdr:row>
      <xdr:rowOff>0</xdr:rowOff>
    </xdr:from>
    <xdr:to>
      <xdr:col>2</xdr:col>
      <xdr:colOff>695325</xdr:colOff>
      <xdr:row>581</xdr:row>
      <xdr:rowOff>0</xdr:rowOff>
    </xdr:to>
    <xdr:sp>
      <xdr:nvSpPr>
        <xdr:cNvPr id="60" name="Line 447"/>
        <xdr:cNvSpPr>
          <a:spLocks/>
        </xdr:cNvSpPr>
      </xdr:nvSpPr>
      <xdr:spPr>
        <a:xfrm>
          <a:off x="1781175" y="98888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0</xdr:colOff>
      <xdr:row>580</xdr:row>
      <xdr:rowOff>95250</xdr:rowOff>
    </xdr:from>
    <xdr:ext cx="133350" cy="180975"/>
    <xdr:sp>
      <xdr:nvSpPr>
        <xdr:cNvPr id="61" name="Text Box 448"/>
        <xdr:cNvSpPr txBox="1">
          <a:spLocks noChangeArrowheads="1"/>
        </xdr:cNvSpPr>
      </xdr:nvSpPr>
      <xdr:spPr>
        <a:xfrm>
          <a:off x="2543175" y="988028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</a:p>
      </xdr:txBody>
    </xdr:sp>
    <xdr:clientData/>
  </xdr:oneCellAnchor>
  <xdr:twoCellAnchor>
    <xdr:from>
      <xdr:col>2</xdr:col>
      <xdr:colOff>219075</xdr:colOff>
      <xdr:row>601</xdr:row>
      <xdr:rowOff>0</xdr:rowOff>
    </xdr:from>
    <xdr:to>
      <xdr:col>3</xdr:col>
      <xdr:colOff>438150</xdr:colOff>
      <xdr:row>601</xdr:row>
      <xdr:rowOff>152400</xdr:rowOff>
    </xdr:to>
    <xdr:sp>
      <xdr:nvSpPr>
        <xdr:cNvPr id="62" name="Freeform 449"/>
        <xdr:cNvSpPr>
          <a:spLocks/>
        </xdr:cNvSpPr>
      </xdr:nvSpPr>
      <xdr:spPr>
        <a:xfrm>
          <a:off x="1914525" y="102174675"/>
          <a:ext cx="1066800" cy="152400"/>
        </a:xfrm>
        <a:custGeom>
          <a:pathLst>
            <a:path h="17" w="88">
              <a:moveTo>
                <a:pt x="0" y="11"/>
              </a:moveTo>
              <a:lnTo>
                <a:pt x="4" y="17"/>
              </a:lnTo>
              <a:lnTo>
                <a:pt x="8" y="0"/>
              </a:lnTo>
              <a:lnTo>
                <a:pt x="8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819150</xdr:colOff>
      <xdr:row>601</xdr:row>
      <xdr:rowOff>0</xdr:rowOff>
    </xdr:from>
    <xdr:to>
      <xdr:col>6</xdr:col>
      <xdr:colOff>161925</xdr:colOff>
      <xdr:row>601</xdr:row>
      <xdr:rowOff>152400</xdr:rowOff>
    </xdr:to>
    <xdr:sp>
      <xdr:nvSpPr>
        <xdr:cNvPr id="63" name="Freeform 450"/>
        <xdr:cNvSpPr>
          <a:spLocks/>
        </xdr:cNvSpPr>
      </xdr:nvSpPr>
      <xdr:spPr>
        <a:xfrm>
          <a:off x="3362325" y="102174675"/>
          <a:ext cx="1885950" cy="152400"/>
        </a:xfrm>
        <a:custGeom>
          <a:pathLst>
            <a:path h="17" w="158">
              <a:moveTo>
                <a:pt x="0" y="11"/>
              </a:moveTo>
              <a:lnTo>
                <a:pt x="4" y="17"/>
              </a:lnTo>
              <a:lnTo>
                <a:pt x="8" y="0"/>
              </a:lnTo>
              <a:lnTo>
                <a:pt x="15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0</xdr:colOff>
      <xdr:row>606</xdr:row>
      <xdr:rowOff>114300</xdr:rowOff>
    </xdr:from>
    <xdr:ext cx="133350" cy="180975"/>
    <xdr:sp>
      <xdr:nvSpPr>
        <xdr:cNvPr id="64" name="Text Box 451"/>
        <xdr:cNvSpPr txBox="1">
          <a:spLocks noChangeArrowheads="1"/>
        </xdr:cNvSpPr>
      </xdr:nvSpPr>
      <xdr:spPr>
        <a:xfrm>
          <a:off x="2543175" y="1030986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</a:p>
      </xdr:txBody>
    </xdr:sp>
    <xdr:clientData/>
  </xdr:oneCellAnchor>
  <xdr:twoCellAnchor>
    <xdr:from>
      <xdr:col>3</xdr:col>
      <xdr:colOff>152400</xdr:colOff>
      <xdr:row>607</xdr:row>
      <xdr:rowOff>0</xdr:rowOff>
    </xdr:from>
    <xdr:to>
      <xdr:col>5</xdr:col>
      <xdr:colOff>695325</xdr:colOff>
      <xdr:row>607</xdr:row>
      <xdr:rowOff>0</xdr:rowOff>
    </xdr:to>
    <xdr:sp>
      <xdr:nvSpPr>
        <xdr:cNvPr id="65" name="Line 452"/>
        <xdr:cNvSpPr>
          <a:spLocks/>
        </xdr:cNvSpPr>
      </xdr:nvSpPr>
      <xdr:spPr>
        <a:xfrm>
          <a:off x="2695575" y="1031652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607</xdr:row>
      <xdr:rowOff>9525</xdr:rowOff>
    </xdr:from>
    <xdr:to>
      <xdr:col>2</xdr:col>
      <xdr:colOff>695325</xdr:colOff>
      <xdr:row>607</xdr:row>
      <xdr:rowOff>9525</xdr:rowOff>
    </xdr:to>
    <xdr:sp>
      <xdr:nvSpPr>
        <xdr:cNvPr id="66" name="Line 453"/>
        <xdr:cNvSpPr>
          <a:spLocks/>
        </xdr:cNvSpPr>
      </xdr:nvSpPr>
      <xdr:spPr>
        <a:xfrm>
          <a:off x="1781175" y="103174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0</xdr:colOff>
      <xdr:row>610</xdr:row>
      <xdr:rowOff>85725</xdr:rowOff>
    </xdr:from>
    <xdr:ext cx="133350" cy="200025"/>
    <xdr:sp>
      <xdr:nvSpPr>
        <xdr:cNvPr id="67" name="Text Box 454"/>
        <xdr:cNvSpPr txBox="1">
          <a:spLocks noChangeArrowheads="1"/>
        </xdr:cNvSpPr>
      </xdr:nvSpPr>
      <xdr:spPr>
        <a:xfrm>
          <a:off x="2543175" y="103803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</a:p>
      </xdr:txBody>
    </xdr:sp>
    <xdr:clientData/>
  </xdr:oneCellAnchor>
  <xdr:twoCellAnchor>
    <xdr:from>
      <xdr:col>2</xdr:col>
      <xdr:colOff>95250</xdr:colOff>
      <xdr:row>611</xdr:row>
      <xdr:rowOff>0</xdr:rowOff>
    </xdr:from>
    <xdr:to>
      <xdr:col>2</xdr:col>
      <xdr:colOff>704850</xdr:colOff>
      <xdr:row>611</xdr:row>
      <xdr:rowOff>0</xdr:rowOff>
    </xdr:to>
    <xdr:sp>
      <xdr:nvSpPr>
        <xdr:cNvPr id="68" name="Line 455"/>
        <xdr:cNvSpPr>
          <a:spLocks/>
        </xdr:cNvSpPr>
      </xdr:nvSpPr>
      <xdr:spPr>
        <a:xfrm>
          <a:off x="1790700" y="103898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180975</xdr:colOff>
      <xdr:row>611</xdr:row>
      <xdr:rowOff>0</xdr:rowOff>
    </xdr:from>
    <xdr:to>
      <xdr:col>5</xdr:col>
      <xdr:colOff>742950</xdr:colOff>
      <xdr:row>611</xdr:row>
      <xdr:rowOff>0</xdr:rowOff>
    </xdr:to>
    <xdr:sp>
      <xdr:nvSpPr>
        <xdr:cNvPr id="69" name="Line 456"/>
        <xdr:cNvSpPr>
          <a:spLocks/>
        </xdr:cNvSpPr>
      </xdr:nvSpPr>
      <xdr:spPr>
        <a:xfrm>
          <a:off x="2724150" y="10389870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615</xdr:row>
      <xdr:rowOff>0</xdr:rowOff>
    </xdr:from>
    <xdr:to>
      <xdr:col>2</xdr:col>
      <xdr:colOff>695325</xdr:colOff>
      <xdr:row>615</xdr:row>
      <xdr:rowOff>0</xdr:rowOff>
    </xdr:to>
    <xdr:sp>
      <xdr:nvSpPr>
        <xdr:cNvPr id="70" name="Line 457"/>
        <xdr:cNvSpPr>
          <a:spLocks/>
        </xdr:cNvSpPr>
      </xdr:nvSpPr>
      <xdr:spPr>
        <a:xfrm>
          <a:off x="1781175" y="104584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2</xdr:col>
      <xdr:colOff>723900</xdr:colOff>
      <xdr:row>614</xdr:row>
      <xdr:rowOff>104775</xdr:rowOff>
    </xdr:from>
    <xdr:ext cx="200025" cy="219075"/>
    <xdr:sp>
      <xdr:nvSpPr>
        <xdr:cNvPr id="71" name="Text Box 458"/>
        <xdr:cNvSpPr txBox="1">
          <a:spLocks noChangeArrowheads="1"/>
        </xdr:cNvSpPr>
      </xdr:nvSpPr>
      <xdr:spPr>
        <a:xfrm>
          <a:off x="2419350" y="1045083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</a:p>
      </xdr:txBody>
    </xdr:sp>
    <xdr:clientData/>
  </xdr:oneCellAnchor>
  <xdr:twoCellAnchor>
    <xdr:from>
      <xdr:col>2</xdr:col>
      <xdr:colOff>219075</xdr:colOff>
      <xdr:row>632</xdr:row>
      <xdr:rowOff>0</xdr:rowOff>
    </xdr:from>
    <xdr:to>
      <xdr:col>3</xdr:col>
      <xdr:colOff>438150</xdr:colOff>
      <xdr:row>632</xdr:row>
      <xdr:rowOff>152400</xdr:rowOff>
    </xdr:to>
    <xdr:sp>
      <xdr:nvSpPr>
        <xdr:cNvPr id="72" name="Freeform 459"/>
        <xdr:cNvSpPr>
          <a:spLocks/>
        </xdr:cNvSpPr>
      </xdr:nvSpPr>
      <xdr:spPr>
        <a:xfrm>
          <a:off x="1914525" y="107403900"/>
          <a:ext cx="1066800" cy="152400"/>
        </a:xfrm>
        <a:custGeom>
          <a:pathLst>
            <a:path h="17" w="88">
              <a:moveTo>
                <a:pt x="0" y="11"/>
              </a:moveTo>
              <a:lnTo>
                <a:pt x="4" y="17"/>
              </a:lnTo>
              <a:lnTo>
                <a:pt x="8" y="0"/>
              </a:lnTo>
              <a:lnTo>
                <a:pt x="8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838200</xdr:colOff>
      <xdr:row>632</xdr:row>
      <xdr:rowOff>0</xdr:rowOff>
    </xdr:from>
    <xdr:to>
      <xdr:col>6</xdr:col>
      <xdr:colOff>180975</xdr:colOff>
      <xdr:row>632</xdr:row>
      <xdr:rowOff>152400</xdr:rowOff>
    </xdr:to>
    <xdr:sp>
      <xdr:nvSpPr>
        <xdr:cNvPr id="73" name="Freeform 460"/>
        <xdr:cNvSpPr>
          <a:spLocks/>
        </xdr:cNvSpPr>
      </xdr:nvSpPr>
      <xdr:spPr>
        <a:xfrm>
          <a:off x="3381375" y="107403900"/>
          <a:ext cx="1885950" cy="152400"/>
        </a:xfrm>
        <a:custGeom>
          <a:pathLst>
            <a:path h="17" w="158">
              <a:moveTo>
                <a:pt x="0" y="11"/>
              </a:moveTo>
              <a:lnTo>
                <a:pt x="4" y="17"/>
              </a:lnTo>
              <a:lnTo>
                <a:pt x="8" y="0"/>
              </a:lnTo>
              <a:lnTo>
                <a:pt x="15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0</xdr:colOff>
      <xdr:row>637</xdr:row>
      <xdr:rowOff>114300</xdr:rowOff>
    </xdr:from>
    <xdr:ext cx="133350" cy="180975"/>
    <xdr:sp>
      <xdr:nvSpPr>
        <xdr:cNvPr id="74" name="Text Box 461"/>
        <xdr:cNvSpPr txBox="1">
          <a:spLocks noChangeArrowheads="1"/>
        </xdr:cNvSpPr>
      </xdr:nvSpPr>
      <xdr:spPr>
        <a:xfrm>
          <a:off x="2543175" y="108346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</a:p>
      </xdr:txBody>
    </xdr:sp>
    <xdr:clientData/>
  </xdr:oneCellAnchor>
  <xdr:twoCellAnchor>
    <xdr:from>
      <xdr:col>3</xdr:col>
      <xdr:colOff>152400</xdr:colOff>
      <xdr:row>638</xdr:row>
      <xdr:rowOff>0</xdr:rowOff>
    </xdr:from>
    <xdr:to>
      <xdr:col>5</xdr:col>
      <xdr:colOff>695325</xdr:colOff>
      <xdr:row>638</xdr:row>
      <xdr:rowOff>0</xdr:rowOff>
    </xdr:to>
    <xdr:sp>
      <xdr:nvSpPr>
        <xdr:cNvPr id="75" name="Line 462"/>
        <xdr:cNvSpPr>
          <a:spLocks/>
        </xdr:cNvSpPr>
      </xdr:nvSpPr>
      <xdr:spPr>
        <a:xfrm>
          <a:off x="2695575" y="1084135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638</xdr:row>
      <xdr:rowOff>9525</xdr:rowOff>
    </xdr:from>
    <xdr:to>
      <xdr:col>2</xdr:col>
      <xdr:colOff>695325</xdr:colOff>
      <xdr:row>638</xdr:row>
      <xdr:rowOff>9525</xdr:rowOff>
    </xdr:to>
    <xdr:sp>
      <xdr:nvSpPr>
        <xdr:cNvPr id="76" name="Line 463"/>
        <xdr:cNvSpPr>
          <a:spLocks/>
        </xdr:cNvSpPr>
      </xdr:nvSpPr>
      <xdr:spPr>
        <a:xfrm>
          <a:off x="1781175" y="1084230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0</xdr:colOff>
      <xdr:row>641</xdr:row>
      <xdr:rowOff>85725</xdr:rowOff>
    </xdr:from>
    <xdr:ext cx="133350" cy="200025"/>
    <xdr:sp>
      <xdr:nvSpPr>
        <xdr:cNvPr id="77" name="Text Box 464"/>
        <xdr:cNvSpPr txBox="1">
          <a:spLocks noChangeArrowheads="1"/>
        </xdr:cNvSpPr>
      </xdr:nvSpPr>
      <xdr:spPr>
        <a:xfrm>
          <a:off x="2543175" y="10905172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</a:p>
      </xdr:txBody>
    </xdr:sp>
    <xdr:clientData/>
  </xdr:oneCellAnchor>
  <xdr:twoCellAnchor>
    <xdr:from>
      <xdr:col>2</xdr:col>
      <xdr:colOff>95250</xdr:colOff>
      <xdr:row>642</xdr:row>
      <xdr:rowOff>0</xdr:rowOff>
    </xdr:from>
    <xdr:to>
      <xdr:col>2</xdr:col>
      <xdr:colOff>704850</xdr:colOff>
      <xdr:row>642</xdr:row>
      <xdr:rowOff>0</xdr:rowOff>
    </xdr:to>
    <xdr:sp>
      <xdr:nvSpPr>
        <xdr:cNvPr id="78" name="Line 465"/>
        <xdr:cNvSpPr>
          <a:spLocks/>
        </xdr:cNvSpPr>
      </xdr:nvSpPr>
      <xdr:spPr>
        <a:xfrm>
          <a:off x="1790700" y="1091469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180975</xdr:colOff>
      <xdr:row>642</xdr:row>
      <xdr:rowOff>0</xdr:rowOff>
    </xdr:from>
    <xdr:to>
      <xdr:col>5</xdr:col>
      <xdr:colOff>742950</xdr:colOff>
      <xdr:row>642</xdr:row>
      <xdr:rowOff>0</xdr:rowOff>
    </xdr:to>
    <xdr:sp>
      <xdr:nvSpPr>
        <xdr:cNvPr id="79" name="Line 466"/>
        <xdr:cNvSpPr>
          <a:spLocks/>
        </xdr:cNvSpPr>
      </xdr:nvSpPr>
      <xdr:spPr>
        <a:xfrm>
          <a:off x="2724150" y="10914697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646</xdr:row>
      <xdr:rowOff>0</xdr:rowOff>
    </xdr:from>
    <xdr:to>
      <xdr:col>2</xdr:col>
      <xdr:colOff>695325</xdr:colOff>
      <xdr:row>646</xdr:row>
      <xdr:rowOff>0</xdr:rowOff>
    </xdr:to>
    <xdr:sp>
      <xdr:nvSpPr>
        <xdr:cNvPr id="80" name="Line 467"/>
        <xdr:cNvSpPr>
          <a:spLocks/>
        </xdr:cNvSpPr>
      </xdr:nvSpPr>
      <xdr:spPr>
        <a:xfrm>
          <a:off x="1781175" y="109832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0</xdr:colOff>
      <xdr:row>645</xdr:row>
      <xdr:rowOff>114300</xdr:rowOff>
    </xdr:from>
    <xdr:ext cx="133350" cy="180975"/>
    <xdr:sp>
      <xdr:nvSpPr>
        <xdr:cNvPr id="81" name="Text Box 468"/>
        <xdr:cNvSpPr txBox="1">
          <a:spLocks noChangeArrowheads="1"/>
        </xdr:cNvSpPr>
      </xdr:nvSpPr>
      <xdr:spPr>
        <a:xfrm>
          <a:off x="2543175" y="1097661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</a:p>
      </xdr:txBody>
    </xdr:sp>
    <xdr:clientData/>
  </xdr:oneCellAnchor>
  <xdr:twoCellAnchor>
    <xdr:from>
      <xdr:col>2</xdr:col>
      <xdr:colOff>219075</xdr:colOff>
      <xdr:row>664</xdr:row>
      <xdr:rowOff>0</xdr:rowOff>
    </xdr:from>
    <xdr:to>
      <xdr:col>3</xdr:col>
      <xdr:colOff>438150</xdr:colOff>
      <xdr:row>664</xdr:row>
      <xdr:rowOff>152400</xdr:rowOff>
    </xdr:to>
    <xdr:sp>
      <xdr:nvSpPr>
        <xdr:cNvPr id="82" name="Freeform 469"/>
        <xdr:cNvSpPr>
          <a:spLocks/>
        </xdr:cNvSpPr>
      </xdr:nvSpPr>
      <xdr:spPr>
        <a:xfrm>
          <a:off x="1914525" y="112795050"/>
          <a:ext cx="1066800" cy="152400"/>
        </a:xfrm>
        <a:custGeom>
          <a:pathLst>
            <a:path h="17" w="88">
              <a:moveTo>
                <a:pt x="0" y="11"/>
              </a:moveTo>
              <a:lnTo>
                <a:pt x="4" y="17"/>
              </a:lnTo>
              <a:lnTo>
                <a:pt x="8" y="0"/>
              </a:lnTo>
              <a:lnTo>
                <a:pt x="8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828675</xdr:colOff>
      <xdr:row>664</xdr:row>
      <xdr:rowOff>0</xdr:rowOff>
    </xdr:from>
    <xdr:to>
      <xdr:col>6</xdr:col>
      <xdr:colOff>171450</xdr:colOff>
      <xdr:row>664</xdr:row>
      <xdr:rowOff>152400</xdr:rowOff>
    </xdr:to>
    <xdr:sp>
      <xdr:nvSpPr>
        <xdr:cNvPr id="83" name="Freeform 470"/>
        <xdr:cNvSpPr>
          <a:spLocks/>
        </xdr:cNvSpPr>
      </xdr:nvSpPr>
      <xdr:spPr>
        <a:xfrm>
          <a:off x="3371850" y="112795050"/>
          <a:ext cx="1885950" cy="152400"/>
        </a:xfrm>
        <a:custGeom>
          <a:pathLst>
            <a:path h="17" w="158">
              <a:moveTo>
                <a:pt x="0" y="11"/>
              </a:moveTo>
              <a:lnTo>
                <a:pt x="4" y="17"/>
              </a:lnTo>
              <a:lnTo>
                <a:pt x="8" y="0"/>
              </a:lnTo>
              <a:lnTo>
                <a:pt x="15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0</xdr:colOff>
      <xdr:row>669</xdr:row>
      <xdr:rowOff>114300</xdr:rowOff>
    </xdr:from>
    <xdr:ext cx="133350" cy="180975"/>
    <xdr:sp>
      <xdr:nvSpPr>
        <xdr:cNvPr id="84" name="Text Box 471"/>
        <xdr:cNvSpPr txBox="1">
          <a:spLocks noChangeArrowheads="1"/>
        </xdr:cNvSpPr>
      </xdr:nvSpPr>
      <xdr:spPr>
        <a:xfrm>
          <a:off x="2543175" y="113718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</a:p>
      </xdr:txBody>
    </xdr:sp>
    <xdr:clientData/>
  </xdr:oneCellAnchor>
  <xdr:twoCellAnchor>
    <xdr:from>
      <xdr:col>3</xdr:col>
      <xdr:colOff>152400</xdr:colOff>
      <xdr:row>670</xdr:row>
      <xdr:rowOff>0</xdr:rowOff>
    </xdr:from>
    <xdr:to>
      <xdr:col>5</xdr:col>
      <xdr:colOff>695325</xdr:colOff>
      <xdr:row>670</xdr:row>
      <xdr:rowOff>0</xdr:rowOff>
    </xdr:to>
    <xdr:sp>
      <xdr:nvSpPr>
        <xdr:cNvPr id="85" name="Line 472"/>
        <xdr:cNvSpPr>
          <a:spLocks/>
        </xdr:cNvSpPr>
      </xdr:nvSpPr>
      <xdr:spPr>
        <a:xfrm>
          <a:off x="2695575" y="1137856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670</xdr:row>
      <xdr:rowOff>9525</xdr:rowOff>
    </xdr:from>
    <xdr:to>
      <xdr:col>2</xdr:col>
      <xdr:colOff>695325</xdr:colOff>
      <xdr:row>670</xdr:row>
      <xdr:rowOff>9525</xdr:rowOff>
    </xdr:to>
    <xdr:sp>
      <xdr:nvSpPr>
        <xdr:cNvPr id="86" name="Line 473"/>
        <xdr:cNvSpPr>
          <a:spLocks/>
        </xdr:cNvSpPr>
      </xdr:nvSpPr>
      <xdr:spPr>
        <a:xfrm>
          <a:off x="1781175" y="113795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0</xdr:colOff>
      <xdr:row>673</xdr:row>
      <xdr:rowOff>85725</xdr:rowOff>
    </xdr:from>
    <xdr:ext cx="133350" cy="200025"/>
    <xdr:sp>
      <xdr:nvSpPr>
        <xdr:cNvPr id="87" name="Text Box 474"/>
        <xdr:cNvSpPr txBox="1">
          <a:spLocks noChangeArrowheads="1"/>
        </xdr:cNvSpPr>
      </xdr:nvSpPr>
      <xdr:spPr>
        <a:xfrm>
          <a:off x="2543175" y="11442382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</a:p>
      </xdr:txBody>
    </xdr:sp>
    <xdr:clientData/>
  </xdr:oneCellAnchor>
  <xdr:twoCellAnchor>
    <xdr:from>
      <xdr:col>2</xdr:col>
      <xdr:colOff>95250</xdr:colOff>
      <xdr:row>674</xdr:row>
      <xdr:rowOff>0</xdr:rowOff>
    </xdr:from>
    <xdr:to>
      <xdr:col>2</xdr:col>
      <xdr:colOff>704850</xdr:colOff>
      <xdr:row>674</xdr:row>
      <xdr:rowOff>0</xdr:rowOff>
    </xdr:to>
    <xdr:sp>
      <xdr:nvSpPr>
        <xdr:cNvPr id="88" name="Line 475"/>
        <xdr:cNvSpPr>
          <a:spLocks/>
        </xdr:cNvSpPr>
      </xdr:nvSpPr>
      <xdr:spPr>
        <a:xfrm>
          <a:off x="1790700" y="1145190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180975</xdr:colOff>
      <xdr:row>674</xdr:row>
      <xdr:rowOff>0</xdr:rowOff>
    </xdr:from>
    <xdr:to>
      <xdr:col>5</xdr:col>
      <xdr:colOff>742950</xdr:colOff>
      <xdr:row>674</xdr:row>
      <xdr:rowOff>0</xdr:rowOff>
    </xdr:to>
    <xdr:sp>
      <xdr:nvSpPr>
        <xdr:cNvPr id="89" name="Line 476"/>
        <xdr:cNvSpPr>
          <a:spLocks/>
        </xdr:cNvSpPr>
      </xdr:nvSpPr>
      <xdr:spPr>
        <a:xfrm>
          <a:off x="2724150" y="11451907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678</xdr:row>
      <xdr:rowOff>0</xdr:rowOff>
    </xdr:from>
    <xdr:to>
      <xdr:col>2</xdr:col>
      <xdr:colOff>695325</xdr:colOff>
      <xdr:row>678</xdr:row>
      <xdr:rowOff>0</xdr:rowOff>
    </xdr:to>
    <xdr:sp>
      <xdr:nvSpPr>
        <xdr:cNvPr id="90" name="Line 477"/>
        <xdr:cNvSpPr>
          <a:spLocks/>
        </xdr:cNvSpPr>
      </xdr:nvSpPr>
      <xdr:spPr>
        <a:xfrm>
          <a:off x="1781175" y="115204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0</xdr:colOff>
      <xdr:row>677</xdr:row>
      <xdr:rowOff>123825</xdr:rowOff>
    </xdr:from>
    <xdr:ext cx="133350" cy="190500"/>
    <xdr:sp>
      <xdr:nvSpPr>
        <xdr:cNvPr id="91" name="Text Box 478"/>
        <xdr:cNvSpPr txBox="1">
          <a:spLocks noChangeArrowheads="1"/>
        </xdr:cNvSpPr>
      </xdr:nvSpPr>
      <xdr:spPr>
        <a:xfrm>
          <a:off x="2543175" y="11514772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</a:p>
      </xdr:txBody>
    </xdr:sp>
    <xdr:clientData/>
  </xdr:oneCellAnchor>
  <xdr:twoCellAnchor>
    <xdr:from>
      <xdr:col>2</xdr:col>
      <xdr:colOff>219075</xdr:colOff>
      <xdr:row>696</xdr:row>
      <xdr:rowOff>0</xdr:rowOff>
    </xdr:from>
    <xdr:to>
      <xdr:col>3</xdr:col>
      <xdr:colOff>438150</xdr:colOff>
      <xdr:row>696</xdr:row>
      <xdr:rowOff>152400</xdr:rowOff>
    </xdr:to>
    <xdr:sp>
      <xdr:nvSpPr>
        <xdr:cNvPr id="92" name="Freeform 479"/>
        <xdr:cNvSpPr>
          <a:spLocks/>
        </xdr:cNvSpPr>
      </xdr:nvSpPr>
      <xdr:spPr>
        <a:xfrm>
          <a:off x="1914525" y="118186200"/>
          <a:ext cx="1066800" cy="152400"/>
        </a:xfrm>
        <a:custGeom>
          <a:pathLst>
            <a:path h="17" w="88">
              <a:moveTo>
                <a:pt x="0" y="11"/>
              </a:moveTo>
              <a:lnTo>
                <a:pt x="4" y="17"/>
              </a:lnTo>
              <a:lnTo>
                <a:pt x="8" y="0"/>
              </a:lnTo>
              <a:lnTo>
                <a:pt x="8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828675</xdr:colOff>
      <xdr:row>696</xdr:row>
      <xdr:rowOff>0</xdr:rowOff>
    </xdr:from>
    <xdr:to>
      <xdr:col>6</xdr:col>
      <xdr:colOff>171450</xdr:colOff>
      <xdr:row>696</xdr:row>
      <xdr:rowOff>152400</xdr:rowOff>
    </xdr:to>
    <xdr:sp>
      <xdr:nvSpPr>
        <xdr:cNvPr id="93" name="Freeform 480"/>
        <xdr:cNvSpPr>
          <a:spLocks/>
        </xdr:cNvSpPr>
      </xdr:nvSpPr>
      <xdr:spPr>
        <a:xfrm>
          <a:off x="3371850" y="118186200"/>
          <a:ext cx="1885950" cy="152400"/>
        </a:xfrm>
        <a:custGeom>
          <a:pathLst>
            <a:path h="17" w="158">
              <a:moveTo>
                <a:pt x="0" y="11"/>
              </a:moveTo>
              <a:lnTo>
                <a:pt x="4" y="17"/>
              </a:lnTo>
              <a:lnTo>
                <a:pt x="8" y="0"/>
              </a:lnTo>
              <a:lnTo>
                <a:pt x="15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0</xdr:colOff>
      <xdr:row>701</xdr:row>
      <xdr:rowOff>114300</xdr:rowOff>
    </xdr:from>
    <xdr:ext cx="133350" cy="180975"/>
    <xdr:sp>
      <xdr:nvSpPr>
        <xdr:cNvPr id="94" name="Text Box 481"/>
        <xdr:cNvSpPr txBox="1">
          <a:spLocks noChangeArrowheads="1"/>
        </xdr:cNvSpPr>
      </xdr:nvSpPr>
      <xdr:spPr>
        <a:xfrm>
          <a:off x="2543175" y="119129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</a:p>
      </xdr:txBody>
    </xdr:sp>
    <xdr:clientData/>
  </xdr:oneCellAnchor>
  <xdr:twoCellAnchor>
    <xdr:from>
      <xdr:col>3</xdr:col>
      <xdr:colOff>152400</xdr:colOff>
      <xdr:row>702</xdr:row>
      <xdr:rowOff>0</xdr:rowOff>
    </xdr:from>
    <xdr:to>
      <xdr:col>5</xdr:col>
      <xdr:colOff>695325</xdr:colOff>
      <xdr:row>702</xdr:row>
      <xdr:rowOff>0</xdr:rowOff>
    </xdr:to>
    <xdr:sp>
      <xdr:nvSpPr>
        <xdr:cNvPr id="95" name="Line 482"/>
        <xdr:cNvSpPr>
          <a:spLocks/>
        </xdr:cNvSpPr>
      </xdr:nvSpPr>
      <xdr:spPr>
        <a:xfrm>
          <a:off x="2695575" y="1191958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702</xdr:row>
      <xdr:rowOff>9525</xdr:rowOff>
    </xdr:from>
    <xdr:to>
      <xdr:col>2</xdr:col>
      <xdr:colOff>695325</xdr:colOff>
      <xdr:row>702</xdr:row>
      <xdr:rowOff>9525</xdr:rowOff>
    </xdr:to>
    <xdr:sp>
      <xdr:nvSpPr>
        <xdr:cNvPr id="96" name="Line 483"/>
        <xdr:cNvSpPr>
          <a:spLocks/>
        </xdr:cNvSpPr>
      </xdr:nvSpPr>
      <xdr:spPr>
        <a:xfrm>
          <a:off x="1781175" y="119205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0</xdr:colOff>
      <xdr:row>705</xdr:row>
      <xdr:rowOff>85725</xdr:rowOff>
    </xdr:from>
    <xdr:ext cx="133350" cy="200025"/>
    <xdr:sp>
      <xdr:nvSpPr>
        <xdr:cNvPr id="97" name="Text Box 484"/>
        <xdr:cNvSpPr txBox="1">
          <a:spLocks noChangeArrowheads="1"/>
        </xdr:cNvSpPr>
      </xdr:nvSpPr>
      <xdr:spPr>
        <a:xfrm>
          <a:off x="2543175" y="11983402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</a:p>
      </xdr:txBody>
    </xdr:sp>
    <xdr:clientData/>
  </xdr:oneCellAnchor>
  <xdr:twoCellAnchor>
    <xdr:from>
      <xdr:col>2</xdr:col>
      <xdr:colOff>95250</xdr:colOff>
      <xdr:row>706</xdr:row>
      <xdr:rowOff>0</xdr:rowOff>
    </xdr:from>
    <xdr:to>
      <xdr:col>2</xdr:col>
      <xdr:colOff>704850</xdr:colOff>
      <xdr:row>706</xdr:row>
      <xdr:rowOff>0</xdr:rowOff>
    </xdr:to>
    <xdr:sp>
      <xdr:nvSpPr>
        <xdr:cNvPr id="98" name="Line 485"/>
        <xdr:cNvSpPr>
          <a:spLocks/>
        </xdr:cNvSpPr>
      </xdr:nvSpPr>
      <xdr:spPr>
        <a:xfrm>
          <a:off x="1790700" y="1199292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180975</xdr:colOff>
      <xdr:row>706</xdr:row>
      <xdr:rowOff>0</xdr:rowOff>
    </xdr:from>
    <xdr:to>
      <xdr:col>5</xdr:col>
      <xdr:colOff>742950</xdr:colOff>
      <xdr:row>706</xdr:row>
      <xdr:rowOff>0</xdr:rowOff>
    </xdr:to>
    <xdr:sp>
      <xdr:nvSpPr>
        <xdr:cNvPr id="99" name="Line 486"/>
        <xdr:cNvSpPr>
          <a:spLocks/>
        </xdr:cNvSpPr>
      </xdr:nvSpPr>
      <xdr:spPr>
        <a:xfrm>
          <a:off x="2724150" y="11992927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710</xdr:row>
      <xdr:rowOff>0</xdr:rowOff>
    </xdr:from>
    <xdr:to>
      <xdr:col>2</xdr:col>
      <xdr:colOff>695325</xdr:colOff>
      <xdr:row>710</xdr:row>
      <xdr:rowOff>0</xdr:rowOff>
    </xdr:to>
    <xdr:sp>
      <xdr:nvSpPr>
        <xdr:cNvPr id="100" name="Line 487"/>
        <xdr:cNvSpPr>
          <a:spLocks/>
        </xdr:cNvSpPr>
      </xdr:nvSpPr>
      <xdr:spPr>
        <a:xfrm>
          <a:off x="1781175" y="1206150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0</xdr:colOff>
      <xdr:row>709</xdr:row>
      <xdr:rowOff>123825</xdr:rowOff>
    </xdr:from>
    <xdr:ext cx="133350" cy="190500"/>
    <xdr:sp>
      <xdr:nvSpPr>
        <xdr:cNvPr id="101" name="Text Box 488"/>
        <xdr:cNvSpPr txBox="1">
          <a:spLocks noChangeArrowheads="1"/>
        </xdr:cNvSpPr>
      </xdr:nvSpPr>
      <xdr:spPr>
        <a:xfrm>
          <a:off x="2543175" y="12055792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</a:p>
      </xdr:txBody>
    </xdr:sp>
    <xdr:clientData/>
  </xdr:oneCellAnchor>
  <xdr:twoCellAnchor>
    <xdr:from>
      <xdr:col>2</xdr:col>
      <xdr:colOff>219075</xdr:colOff>
      <xdr:row>728</xdr:row>
      <xdr:rowOff>0</xdr:rowOff>
    </xdr:from>
    <xdr:to>
      <xdr:col>3</xdr:col>
      <xdr:colOff>438150</xdr:colOff>
      <xdr:row>728</xdr:row>
      <xdr:rowOff>152400</xdr:rowOff>
    </xdr:to>
    <xdr:sp>
      <xdr:nvSpPr>
        <xdr:cNvPr id="102" name="Freeform 489"/>
        <xdr:cNvSpPr>
          <a:spLocks/>
        </xdr:cNvSpPr>
      </xdr:nvSpPr>
      <xdr:spPr>
        <a:xfrm>
          <a:off x="1914525" y="123596400"/>
          <a:ext cx="1066800" cy="152400"/>
        </a:xfrm>
        <a:custGeom>
          <a:pathLst>
            <a:path h="17" w="88">
              <a:moveTo>
                <a:pt x="0" y="11"/>
              </a:moveTo>
              <a:lnTo>
                <a:pt x="4" y="17"/>
              </a:lnTo>
              <a:lnTo>
                <a:pt x="8" y="0"/>
              </a:lnTo>
              <a:lnTo>
                <a:pt x="8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727</xdr:row>
      <xdr:rowOff>171450</xdr:rowOff>
    </xdr:from>
    <xdr:to>
      <xdr:col>6</xdr:col>
      <xdr:colOff>190500</xdr:colOff>
      <xdr:row>728</xdr:row>
      <xdr:rowOff>142875</xdr:rowOff>
    </xdr:to>
    <xdr:sp>
      <xdr:nvSpPr>
        <xdr:cNvPr id="103" name="Freeform 490"/>
        <xdr:cNvSpPr>
          <a:spLocks/>
        </xdr:cNvSpPr>
      </xdr:nvSpPr>
      <xdr:spPr>
        <a:xfrm>
          <a:off x="3390900" y="123586875"/>
          <a:ext cx="1885950" cy="152400"/>
        </a:xfrm>
        <a:custGeom>
          <a:pathLst>
            <a:path h="17" w="158">
              <a:moveTo>
                <a:pt x="0" y="11"/>
              </a:moveTo>
              <a:lnTo>
                <a:pt x="4" y="17"/>
              </a:lnTo>
              <a:lnTo>
                <a:pt x="8" y="0"/>
              </a:lnTo>
              <a:lnTo>
                <a:pt x="15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0</xdr:colOff>
      <xdr:row>733</xdr:row>
      <xdr:rowOff>114300</xdr:rowOff>
    </xdr:from>
    <xdr:ext cx="133350" cy="180975"/>
    <xdr:sp>
      <xdr:nvSpPr>
        <xdr:cNvPr id="104" name="Text Box 491"/>
        <xdr:cNvSpPr txBox="1">
          <a:spLocks noChangeArrowheads="1"/>
        </xdr:cNvSpPr>
      </xdr:nvSpPr>
      <xdr:spPr>
        <a:xfrm>
          <a:off x="2543175" y="124539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</a:p>
      </xdr:txBody>
    </xdr:sp>
    <xdr:clientData/>
  </xdr:oneCellAnchor>
  <xdr:twoCellAnchor>
    <xdr:from>
      <xdr:col>3</xdr:col>
      <xdr:colOff>152400</xdr:colOff>
      <xdr:row>734</xdr:row>
      <xdr:rowOff>0</xdr:rowOff>
    </xdr:from>
    <xdr:to>
      <xdr:col>5</xdr:col>
      <xdr:colOff>695325</xdr:colOff>
      <xdr:row>734</xdr:row>
      <xdr:rowOff>0</xdr:rowOff>
    </xdr:to>
    <xdr:sp>
      <xdr:nvSpPr>
        <xdr:cNvPr id="105" name="Line 492"/>
        <xdr:cNvSpPr>
          <a:spLocks/>
        </xdr:cNvSpPr>
      </xdr:nvSpPr>
      <xdr:spPr>
        <a:xfrm>
          <a:off x="2695575" y="1246060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734</xdr:row>
      <xdr:rowOff>9525</xdr:rowOff>
    </xdr:from>
    <xdr:to>
      <xdr:col>2</xdr:col>
      <xdr:colOff>695325</xdr:colOff>
      <xdr:row>734</xdr:row>
      <xdr:rowOff>9525</xdr:rowOff>
    </xdr:to>
    <xdr:sp>
      <xdr:nvSpPr>
        <xdr:cNvPr id="106" name="Line 493"/>
        <xdr:cNvSpPr>
          <a:spLocks/>
        </xdr:cNvSpPr>
      </xdr:nvSpPr>
      <xdr:spPr>
        <a:xfrm>
          <a:off x="1781175" y="1246155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0</xdr:colOff>
      <xdr:row>737</xdr:row>
      <xdr:rowOff>85725</xdr:rowOff>
    </xdr:from>
    <xdr:ext cx="133350" cy="200025"/>
    <xdr:sp>
      <xdr:nvSpPr>
        <xdr:cNvPr id="107" name="Text Box 494"/>
        <xdr:cNvSpPr txBox="1">
          <a:spLocks noChangeArrowheads="1"/>
        </xdr:cNvSpPr>
      </xdr:nvSpPr>
      <xdr:spPr>
        <a:xfrm>
          <a:off x="2543175" y="12524422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</a:p>
      </xdr:txBody>
    </xdr:sp>
    <xdr:clientData/>
  </xdr:oneCellAnchor>
  <xdr:twoCellAnchor>
    <xdr:from>
      <xdr:col>2</xdr:col>
      <xdr:colOff>95250</xdr:colOff>
      <xdr:row>738</xdr:row>
      <xdr:rowOff>0</xdr:rowOff>
    </xdr:from>
    <xdr:to>
      <xdr:col>2</xdr:col>
      <xdr:colOff>704850</xdr:colOff>
      <xdr:row>738</xdr:row>
      <xdr:rowOff>0</xdr:rowOff>
    </xdr:to>
    <xdr:sp>
      <xdr:nvSpPr>
        <xdr:cNvPr id="108" name="Line 495"/>
        <xdr:cNvSpPr>
          <a:spLocks/>
        </xdr:cNvSpPr>
      </xdr:nvSpPr>
      <xdr:spPr>
        <a:xfrm>
          <a:off x="1790700" y="1253394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180975</xdr:colOff>
      <xdr:row>738</xdr:row>
      <xdr:rowOff>0</xdr:rowOff>
    </xdr:from>
    <xdr:to>
      <xdr:col>5</xdr:col>
      <xdr:colOff>742950</xdr:colOff>
      <xdr:row>738</xdr:row>
      <xdr:rowOff>0</xdr:rowOff>
    </xdr:to>
    <xdr:sp>
      <xdr:nvSpPr>
        <xdr:cNvPr id="109" name="Line 496"/>
        <xdr:cNvSpPr>
          <a:spLocks/>
        </xdr:cNvSpPr>
      </xdr:nvSpPr>
      <xdr:spPr>
        <a:xfrm>
          <a:off x="2724150" y="12533947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742</xdr:row>
      <xdr:rowOff>0</xdr:rowOff>
    </xdr:from>
    <xdr:to>
      <xdr:col>2</xdr:col>
      <xdr:colOff>695325</xdr:colOff>
      <xdr:row>742</xdr:row>
      <xdr:rowOff>0</xdr:rowOff>
    </xdr:to>
    <xdr:sp>
      <xdr:nvSpPr>
        <xdr:cNvPr id="110" name="Line 497"/>
        <xdr:cNvSpPr>
          <a:spLocks/>
        </xdr:cNvSpPr>
      </xdr:nvSpPr>
      <xdr:spPr>
        <a:xfrm>
          <a:off x="1781175" y="1260252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0</xdr:colOff>
      <xdr:row>741</xdr:row>
      <xdr:rowOff>123825</xdr:rowOff>
    </xdr:from>
    <xdr:ext cx="133350" cy="190500"/>
    <xdr:sp>
      <xdr:nvSpPr>
        <xdr:cNvPr id="111" name="Text Box 498"/>
        <xdr:cNvSpPr txBox="1">
          <a:spLocks noChangeArrowheads="1"/>
        </xdr:cNvSpPr>
      </xdr:nvSpPr>
      <xdr:spPr>
        <a:xfrm>
          <a:off x="2543175" y="12596812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</a:p>
      </xdr:txBody>
    </xdr:sp>
    <xdr:clientData/>
  </xdr:oneCellAnchor>
  <xdr:twoCellAnchor>
    <xdr:from>
      <xdr:col>3</xdr:col>
      <xdr:colOff>161925</xdr:colOff>
      <xdr:row>581</xdr:row>
      <xdr:rowOff>0</xdr:rowOff>
    </xdr:from>
    <xdr:to>
      <xdr:col>4</xdr:col>
      <xdr:colOff>657225</xdr:colOff>
      <xdr:row>581</xdr:row>
      <xdr:rowOff>0</xdr:rowOff>
    </xdr:to>
    <xdr:sp>
      <xdr:nvSpPr>
        <xdr:cNvPr id="112" name="Line 499"/>
        <xdr:cNvSpPr>
          <a:spLocks/>
        </xdr:cNvSpPr>
      </xdr:nvSpPr>
      <xdr:spPr>
        <a:xfrm>
          <a:off x="2705100" y="988885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180975</xdr:colOff>
      <xdr:row>615</xdr:row>
      <xdr:rowOff>0</xdr:rowOff>
    </xdr:from>
    <xdr:to>
      <xdr:col>4</xdr:col>
      <xdr:colOff>676275</xdr:colOff>
      <xdr:row>615</xdr:row>
      <xdr:rowOff>0</xdr:rowOff>
    </xdr:to>
    <xdr:sp>
      <xdr:nvSpPr>
        <xdr:cNvPr id="113" name="Line 500"/>
        <xdr:cNvSpPr>
          <a:spLocks/>
        </xdr:cNvSpPr>
      </xdr:nvSpPr>
      <xdr:spPr>
        <a:xfrm>
          <a:off x="2724150" y="1045845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180975</xdr:colOff>
      <xdr:row>646</xdr:row>
      <xdr:rowOff>0</xdr:rowOff>
    </xdr:from>
    <xdr:to>
      <xdr:col>4</xdr:col>
      <xdr:colOff>676275</xdr:colOff>
      <xdr:row>646</xdr:row>
      <xdr:rowOff>0</xdr:rowOff>
    </xdr:to>
    <xdr:sp>
      <xdr:nvSpPr>
        <xdr:cNvPr id="114" name="Line 501"/>
        <xdr:cNvSpPr>
          <a:spLocks/>
        </xdr:cNvSpPr>
      </xdr:nvSpPr>
      <xdr:spPr>
        <a:xfrm>
          <a:off x="2724150" y="1098327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209550</xdr:colOff>
      <xdr:row>678</xdr:row>
      <xdr:rowOff>0</xdr:rowOff>
    </xdr:from>
    <xdr:to>
      <xdr:col>4</xdr:col>
      <xdr:colOff>723900</xdr:colOff>
      <xdr:row>678</xdr:row>
      <xdr:rowOff>0</xdr:rowOff>
    </xdr:to>
    <xdr:sp>
      <xdr:nvSpPr>
        <xdr:cNvPr id="115" name="Line 502"/>
        <xdr:cNvSpPr>
          <a:spLocks/>
        </xdr:cNvSpPr>
      </xdr:nvSpPr>
      <xdr:spPr>
        <a:xfrm>
          <a:off x="2752725" y="1152048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219075</xdr:colOff>
      <xdr:row>710</xdr:row>
      <xdr:rowOff>0</xdr:rowOff>
    </xdr:from>
    <xdr:to>
      <xdr:col>4</xdr:col>
      <xdr:colOff>733425</xdr:colOff>
      <xdr:row>710</xdr:row>
      <xdr:rowOff>0</xdr:rowOff>
    </xdr:to>
    <xdr:sp>
      <xdr:nvSpPr>
        <xdr:cNvPr id="116" name="Line 503"/>
        <xdr:cNvSpPr>
          <a:spLocks/>
        </xdr:cNvSpPr>
      </xdr:nvSpPr>
      <xdr:spPr>
        <a:xfrm>
          <a:off x="2762250" y="1206150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190500</xdr:colOff>
      <xdr:row>742</xdr:row>
      <xdr:rowOff>0</xdr:rowOff>
    </xdr:from>
    <xdr:to>
      <xdr:col>4</xdr:col>
      <xdr:colOff>685800</xdr:colOff>
      <xdr:row>742</xdr:row>
      <xdr:rowOff>0</xdr:rowOff>
    </xdr:to>
    <xdr:sp>
      <xdr:nvSpPr>
        <xdr:cNvPr id="117" name="Line 504"/>
        <xdr:cNvSpPr>
          <a:spLocks/>
        </xdr:cNvSpPr>
      </xdr:nvSpPr>
      <xdr:spPr>
        <a:xfrm>
          <a:off x="2733675" y="1260252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</xdr:col>
      <xdr:colOff>342900</xdr:colOff>
      <xdr:row>821</xdr:row>
      <xdr:rowOff>76200</xdr:rowOff>
    </xdr:from>
    <xdr:ext cx="323850" cy="200025"/>
    <xdr:sp>
      <xdr:nvSpPr>
        <xdr:cNvPr id="118" name="Text Box 513"/>
        <xdr:cNvSpPr txBox="1">
          <a:spLocks noChangeArrowheads="1"/>
        </xdr:cNvSpPr>
      </xdr:nvSpPr>
      <xdr:spPr>
        <a:xfrm>
          <a:off x="1190625" y="1394650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Fs=</a:t>
          </a:r>
        </a:p>
      </xdr:txBody>
    </xdr:sp>
    <xdr:clientData/>
  </xdr:oneCellAnchor>
  <xdr:twoCellAnchor>
    <xdr:from>
      <xdr:col>2</xdr:col>
      <xdr:colOff>104775</xdr:colOff>
      <xdr:row>822</xdr:row>
      <xdr:rowOff>0</xdr:rowOff>
    </xdr:from>
    <xdr:to>
      <xdr:col>3</xdr:col>
      <xdr:colOff>666750</xdr:colOff>
      <xdr:row>822</xdr:row>
      <xdr:rowOff>0</xdr:rowOff>
    </xdr:to>
    <xdr:sp>
      <xdr:nvSpPr>
        <xdr:cNvPr id="119" name="Line 514"/>
        <xdr:cNvSpPr>
          <a:spLocks/>
        </xdr:cNvSpPr>
      </xdr:nvSpPr>
      <xdr:spPr>
        <a:xfrm>
          <a:off x="1800225" y="139569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0</xdr:colOff>
      <xdr:row>821</xdr:row>
      <xdr:rowOff>76200</xdr:rowOff>
    </xdr:from>
    <xdr:ext cx="133350" cy="200025"/>
    <xdr:sp>
      <xdr:nvSpPr>
        <xdr:cNvPr id="120" name="Text Box 515"/>
        <xdr:cNvSpPr txBox="1">
          <a:spLocks noChangeArrowheads="1"/>
        </xdr:cNvSpPr>
      </xdr:nvSpPr>
      <xdr:spPr>
        <a:xfrm>
          <a:off x="3390900" y="1394650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</a:p>
      </xdr:txBody>
    </xdr:sp>
    <xdr:clientData/>
  </xdr:oneCellAnchor>
  <xdr:twoCellAnchor>
    <xdr:from>
      <xdr:col>4</xdr:col>
      <xdr:colOff>104775</xdr:colOff>
      <xdr:row>822</xdr:row>
      <xdr:rowOff>0</xdr:rowOff>
    </xdr:from>
    <xdr:to>
      <xdr:col>6</xdr:col>
      <xdr:colOff>733425</xdr:colOff>
      <xdr:row>822</xdr:row>
      <xdr:rowOff>0</xdr:rowOff>
    </xdr:to>
    <xdr:sp>
      <xdr:nvSpPr>
        <xdr:cNvPr id="121" name="Line 516"/>
        <xdr:cNvSpPr>
          <a:spLocks/>
        </xdr:cNvSpPr>
      </xdr:nvSpPr>
      <xdr:spPr>
        <a:xfrm>
          <a:off x="3495675" y="13956982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752</xdr:row>
      <xdr:rowOff>0</xdr:rowOff>
    </xdr:from>
    <xdr:to>
      <xdr:col>7</xdr:col>
      <xdr:colOff>438150</xdr:colOff>
      <xdr:row>767</xdr:row>
      <xdr:rowOff>76200</xdr:rowOff>
    </xdr:to>
    <xdr:pic>
      <xdr:nvPicPr>
        <xdr:cNvPr id="122" name="Picture 5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27701675"/>
          <a:ext cx="63722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vmlDrawing" Target="../drawings/vmlDrawing2.vml" /><Relationship Id="rId22" Type="http://schemas.openxmlformats.org/officeDocument/2006/relationships/drawing" Target="../drawings/drawing2.xml" /><Relationship Id="rId2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9"/>
  <sheetViews>
    <sheetView showGridLines="0" showRowColHeaders="0" tabSelected="1" zoomScale="75" zoomScaleNormal="75" zoomScalePageLayoutView="0" workbookViewId="0" topLeftCell="A37">
      <selection activeCell="A44" sqref="A44:H50"/>
    </sheetView>
  </sheetViews>
  <sheetFormatPr defaultColWidth="8.796875" defaultRowHeight="16.5" customHeight="1"/>
  <cols>
    <col min="1" max="16384" width="8.8984375" style="41" customWidth="1"/>
  </cols>
  <sheetData>
    <row r="1" spans="1:4" ht="16.5" customHeight="1">
      <c r="A1" s="96" t="s">
        <v>452</v>
      </c>
      <c r="B1" s="97"/>
      <c r="C1" s="98" t="s">
        <v>455</v>
      </c>
      <c r="D1" s="99"/>
    </row>
    <row r="2" spans="1:5" ht="16.5" customHeight="1">
      <c r="A2" s="39" t="s">
        <v>34</v>
      </c>
      <c r="B2" s="41" t="s">
        <v>3</v>
      </c>
      <c r="C2" s="42" t="s">
        <v>4</v>
      </c>
      <c r="D2" s="69">
        <v>2</v>
      </c>
      <c r="E2" s="41" t="s">
        <v>5</v>
      </c>
    </row>
    <row r="3" spans="1:5" ht="16.5" customHeight="1">
      <c r="A3" s="40"/>
      <c r="B3" s="41" t="s">
        <v>6</v>
      </c>
      <c r="C3" s="42" t="s">
        <v>7</v>
      </c>
      <c r="D3" s="69">
        <v>2.5</v>
      </c>
      <c r="E3" s="41" t="s">
        <v>5</v>
      </c>
    </row>
    <row r="4" spans="1:5" ht="16.5" customHeight="1">
      <c r="A4" s="40"/>
      <c r="B4" s="41" t="s">
        <v>8</v>
      </c>
      <c r="C4" s="42" t="s">
        <v>371</v>
      </c>
      <c r="D4" s="69">
        <v>0.15</v>
      </c>
      <c r="E4" s="41" t="s">
        <v>9</v>
      </c>
    </row>
    <row r="5" spans="1:5" ht="16.5" customHeight="1">
      <c r="A5" s="40"/>
      <c r="B5" s="41" t="s">
        <v>290</v>
      </c>
      <c r="C5" s="42" t="s">
        <v>370</v>
      </c>
      <c r="D5" s="69">
        <v>0.35</v>
      </c>
      <c r="E5" s="41" t="s">
        <v>46</v>
      </c>
    </row>
    <row r="6" spans="1:4" ht="16.5" customHeight="1">
      <c r="A6" s="40"/>
      <c r="B6" s="41" t="s">
        <v>10</v>
      </c>
      <c r="C6" s="42" t="s">
        <v>11</v>
      </c>
      <c r="D6" s="69">
        <v>0.1</v>
      </c>
    </row>
    <row r="7" spans="1:5" ht="16.5" customHeight="1">
      <c r="A7" s="105" t="s">
        <v>460</v>
      </c>
      <c r="B7" s="106"/>
      <c r="C7" s="42" t="s">
        <v>461</v>
      </c>
      <c r="D7" s="69">
        <v>0.2</v>
      </c>
      <c r="E7" s="41" t="s">
        <v>46</v>
      </c>
    </row>
    <row r="8" spans="1:5" ht="16.5" customHeight="1">
      <c r="A8" s="41" t="s">
        <v>12</v>
      </c>
      <c r="C8" s="42" t="s">
        <v>336</v>
      </c>
      <c r="D8" s="69">
        <v>10</v>
      </c>
      <c r="E8" s="41" t="s">
        <v>62</v>
      </c>
    </row>
    <row r="9" spans="1:5" ht="16.5" customHeight="1">
      <c r="A9" s="41" t="s">
        <v>15</v>
      </c>
      <c r="B9" s="41" t="s">
        <v>16</v>
      </c>
      <c r="C9" s="42" t="s">
        <v>17</v>
      </c>
      <c r="D9" s="69">
        <v>1</v>
      </c>
      <c r="E9" s="41" t="s">
        <v>18</v>
      </c>
    </row>
    <row r="10" spans="2:5" ht="16.5" customHeight="1">
      <c r="B10" s="41" t="s">
        <v>19</v>
      </c>
      <c r="C10" s="42" t="s">
        <v>20</v>
      </c>
      <c r="D10" s="69">
        <v>0.5</v>
      </c>
      <c r="E10" s="41" t="s">
        <v>21</v>
      </c>
    </row>
    <row r="11" spans="2:4" ht="16.5" customHeight="1">
      <c r="B11" s="41" t="s">
        <v>22</v>
      </c>
      <c r="C11" s="42" t="s">
        <v>47</v>
      </c>
      <c r="D11" s="69">
        <v>1.5</v>
      </c>
    </row>
    <row r="12" spans="1:5" ht="16.5" customHeight="1">
      <c r="A12" s="41" t="s">
        <v>24</v>
      </c>
      <c r="B12" s="40" t="s">
        <v>25</v>
      </c>
      <c r="D12" s="69">
        <v>19</v>
      </c>
      <c r="E12" s="40" t="s">
        <v>26</v>
      </c>
    </row>
    <row r="13" spans="2:5" ht="16.5" customHeight="1">
      <c r="B13" s="40" t="s">
        <v>0</v>
      </c>
      <c r="D13" s="69">
        <v>30</v>
      </c>
      <c r="E13" s="41" t="s">
        <v>27</v>
      </c>
    </row>
    <row r="14" spans="1:5" ht="16.5" customHeight="1">
      <c r="A14" s="41" t="s">
        <v>332</v>
      </c>
      <c r="C14" s="42" t="s">
        <v>57</v>
      </c>
      <c r="D14" s="69">
        <v>0.5</v>
      </c>
      <c r="E14" s="41" t="s">
        <v>46</v>
      </c>
    </row>
    <row r="15" spans="1:5" ht="16.5" customHeight="1">
      <c r="A15" s="41" t="s">
        <v>372</v>
      </c>
      <c r="C15" s="42" t="s">
        <v>375</v>
      </c>
      <c r="D15" s="69">
        <v>0.2</v>
      </c>
      <c r="E15" s="41" t="s">
        <v>373</v>
      </c>
    </row>
    <row r="16" spans="1:4" ht="16.5" customHeight="1">
      <c r="A16" s="41" t="s">
        <v>453</v>
      </c>
      <c r="C16" s="42" t="s">
        <v>454</v>
      </c>
      <c r="D16" s="69">
        <v>1.2</v>
      </c>
    </row>
    <row r="17" ht="16.5" customHeight="1">
      <c r="A17" s="40" t="s">
        <v>28</v>
      </c>
    </row>
    <row r="18" spans="2:5" ht="16.5" customHeight="1">
      <c r="B18" s="45" t="s">
        <v>356</v>
      </c>
      <c r="C18" s="46" t="s">
        <v>29</v>
      </c>
      <c r="D18" s="2">
        <v>21</v>
      </c>
      <c r="E18" s="40" t="s">
        <v>369</v>
      </c>
    </row>
    <row r="19" spans="2:4" ht="16.5" customHeight="1">
      <c r="B19" s="40" t="s">
        <v>31</v>
      </c>
      <c r="C19" s="41" t="s">
        <v>32</v>
      </c>
      <c r="D19" s="44"/>
    </row>
    <row r="20" spans="1:10" ht="16.5" customHeight="1">
      <c r="A20" s="100"/>
      <c r="B20" s="101"/>
      <c r="C20" s="63" t="s">
        <v>326</v>
      </c>
      <c r="D20" s="47" t="s">
        <v>324</v>
      </c>
      <c r="E20" s="64" t="s">
        <v>327</v>
      </c>
      <c r="I20" s="42" t="s">
        <v>318</v>
      </c>
      <c r="J20" s="69">
        <v>30</v>
      </c>
    </row>
    <row r="21" spans="1:5" ht="16.5" customHeight="1">
      <c r="A21" s="108" t="s">
        <v>343</v>
      </c>
      <c r="B21" s="109"/>
      <c r="C21" s="47"/>
      <c r="D21" s="69">
        <v>125</v>
      </c>
      <c r="E21" s="69">
        <v>25</v>
      </c>
    </row>
    <row r="22" spans="1:15" ht="16.5" customHeight="1">
      <c r="A22" s="108" t="s">
        <v>344</v>
      </c>
      <c r="B22" s="110"/>
      <c r="C22" s="47"/>
      <c r="D22" s="69">
        <v>250</v>
      </c>
      <c r="E22" s="69">
        <v>25</v>
      </c>
      <c r="J22" s="41" t="s">
        <v>319</v>
      </c>
      <c r="O22" s="41" t="s">
        <v>320</v>
      </c>
    </row>
    <row r="23" ht="16.5" customHeight="1">
      <c r="A23" s="41" t="s">
        <v>302</v>
      </c>
    </row>
    <row r="24" spans="1:6" ht="16.5" customHeight="1">
      <c r="A24" s="41" t="s">
        <v>303</v>
      </c>
      <c r="B24" s="100"/>
      <c r="C24" s="101"/>
      <c r="D24" s="43" t="s">
        <v>309</v>
      </c>
      <c r="E24" s="43" t="s">
        <v>310</v>
      </c>
      <c r="F24" s="43" t="s">
        <v>311</v>
      </c>
    </row>
    <row r="25" spans="2:6" ht="16.5" customHeight="1">
      <c r="B25" s="102" t="s">
        <v>304</v>
      </c>
      <c r="C25" s="47" t="s">
        <v>305</v>
      </c>
      <c r="D25" s="43">
        <f>'計算'!J573</f>
        <v>1.8</v>
      </c>
      <c r="E25" s="43">
        <f>'計算'!J575</f>
        <v>51</v>
      </c>
      <c r="F25" s="43">
        <f>'計算'!J581</f>
        <v>0.11</v>
      </c>
    </row>
    <row r="26" spans="2:6" ht="16.5" customHeight="1">
      <c r="B26" s="103"/>
      <c r="C26" s="47" t="s">
        <v>306</v>
      </c>
      <c r="D26" s="43">
        <f>'計算'!J607</f>
        <v>2.3</v>
      </c>
      <c r="E26" s="43">
        <f>'計算'!J609</f>
        <v>60</v>
      </c>
      <c r="F26" s="43">
        <f>'計算'!J615</f>
        <v>0.1</v>
      </c>
    </row>
    <row r="27" spans="2:6" ht="16.5" customHeight="1">
      <c r="B27" s="104"/>
      <c r="C27" s="47" t="s">
        <v>307</v>
      </c>
      <c r="D27" s="43">
        <f>'計算'!J638</f>
        <v>1.1</v>
      </c>
      <c r="E27" s="43">
        <f>'計算'!J640</f>
        <v>29</v>
      </c>
      <c r="F27" s="43">
        <f>'計算'!J646</f>
        <v>0</v>
      </c>
    </row>
    <row r="28" spans="2:6" ht="16.5" customHeight="1">
      <c r="B28" s="102" t="s">
        <v>308</v>
      </c>
      <c r="C28" s="47" t="s">
        <v>305</v>
      </c>
      <c r="D28" s="43">
        <f>'計算'!J670</f>
        <v>0.3</v>
      </c>
      <c r="E28" s="43">
        <f>'計算'!J672</f>
        <v>8</v>
      </c>
      <c r="F28" s="43">
        <f>'計算'!J678</f>
        <v>0.01</v>
      </c>
    </row>
    <row r="29" spans="2:6" ht="16.5" customHeight="1">
      <c r="B29" s="103"/>
      <c r="C29" s="47" t="s">
        <v>306</v>
      </c>
      <c r="D29" s="43">
        <f>'計算'!J702</f>
        <v>0.4</v>
      </c>
      <c r="E29" s="43">
        <f>'計算'!J704</f>
        <v>9</v>
      </c>
      <c r="F29" s="43">
        <f>'計算'!J710</f>
        <v>0.1</v>
      </c>
    </row>
    <row r="30" spans="2:6" ht="16.5" customHeight="1">
      <c r="B30" s="104"/>
      <c r="C30" s="47" t="s">
        <v>307</v>
      </c>
      <c r="D30" s="43">
        <f>'計算'!J734</f>
        <v>1.2</v>
      </c>
      <c r="E30" s="43">
        <f>'計算'!J736</f>
        <v>58</v>
      </c>
      <c r="F30" s="43">
        <f>'計算'!J742</f>
        <v>0</v>
      </c>
    </row>
    <row r="31" spans="2:6" ht="16.5" customHeight="1">
      <c r="B31" s="107" t="s">
        <v>312</v>
      </c>
      <c r="C31" s="107"/>
      <c r="D31" s="48">
        <f>'計算'!N734</f>
        <v>7</v>
      </c>
      <c r="E31" s="43">
        <f>'計算'!N736</f>
        <v>160</v>
      </c>
      <c r="F31" s="43">
        <f>'計算'!N742</f>
        <v>0.36</v>
      </c>
    </row>
    <row r="32" spans="2:6" ht="16.5" customHeight="1">
      <c r="B32" s="107" t="s">
        <v>313</v>
      </c>
      <c r="C32" s="107"/>
      <c r="D32" s="43" t="str">
        <f>IF(MAX(D25:D30)&lt;=D31,"SAFE","OUT")</f>
        <v>SAFE</v>
      </c>
      <c r="E32" s="43" t="str">
        <f>IF(MAX(E25:E30)&lt;=E31,"SAFE","OUT")</f>
        <v>SAFE</v>
      </c>
      <c r="F32" s="43" t="str">
        <f>IF(MAX(F25:F30)&lt;=F31,"SAFE","OUT")</f>
        <v>SAFE</v>
      </c>
    </row>
    <row r="33" spans="1:6" ht="16.5" customHeight="1">
      <c r="A33" s="41" t="str">
        <f>"浮力による浮き上がりの安全率　Fs="&amp;'計算'!L823&amp;'計算'!M823&amp;'計算'!N823</f>
        <v>浮力による浮き上がりの安全率　Fs=1.86&gt;1.2</v>
      </c>
      <c r="F33" s="44" t="str">
        <f>'計算'!I824</f>
        <v>SAFE</v>
      </c>
    </row>
    <row r="36" ht="16.5" customHeight="1">
      <c r="A36" s="41" t="s">
        <v>314</v>
      </c>
    </row>
    <row r="37" spans="1:17" ht="16.5" customHeight="1">
      <c r="A37" s="41" t="s">
        <v>315</v>
      </c>
      <c r="I37" s="41" t="s">
        <v>321</v>
      </c>
      <c r="K37" s="41" t="s">
        <v>322</v>
      </c>
      <c r="O37" s="41" t="s">
        <v>321</v>
      </c>
      <c r="Q37" s="41" t="s">
        <v>322</v>
      </c>
    </row>
    <row r="38" ht="16.5" customHeight="1">
      <c r="A38" s="41" t="s">
        <v>316</v>
      </c>
    </row>
    <row r="39" ht="16.5" customHeight="1">
      <c r="A39" s="41" t="s">
        <v>317</v>
      </c>
    </row>
    <row r="44" spans="1:8" ht="16.5" customHeight="1">
      <c r="A44" s="92"/>
      <c r="B44" s="92"/>
      <c r="C44" s="92"/>
      <c r="D44" s="92"/>
      <c r="E44" s="92"/>
      <c r="F44" s="92"/>
      <c r="G44" s="92"/>
      <c r="H44" s="92"/>
    </row>
    <row r="45" spans="1:8" ht="16.5" customHeight="1">
      <c r="A45" s="93"/>
      <c r="B45" s="92"/>
      <c r="C45" s="92"/>
      <c r="D45" s="92"/>
      <c r="E45" s="92"/>
      <c r="F45" s="92"/>
      <c r="G45" s="92"/>
      <c r="H45" s="92"/>
    </row>
    <row r="46" spans="1:8" ht="16.5" customHeight="1">
      <c r="A46" s="92"/>
      <c r="B46" s="92"/>
      <c r="C46" s="92"/>
      <c r="D46" s="92"/>
      <c r="E46" s="92"/>
      <c r="F46" s="92"/>
      <c r="G46" s="92"/>
      <c r="H46" s="92"/>
    </row>
    <row r="47" spans="1:8" ht="16.5" customHeight="1">
      <c r="A47" s="92"/>
      <c r="B47" s="92"/>
      <c r="C47" s="92"/>
      <c r="D47" s="92"/>
      <c r="E47" s="92"/>
      <c r="F47" s="92"/>
      <c r="G47" s="92"/>
      <c r="H47" s="92"/>
    </row>
    <row r="48" spans="1:8" ht="16.5" customHeight="1">
      <c r="A48" s="92"/>
      <c r="B48" s="92"/>
      <c r="C48" s="92"/>
      <c r="D48" s="92"/>
      <c r="E48" s="92"/>
      <c r="F48" s="92"/>
      <c r="G48" s="92"/>
      <c r="H48" s="92"/>
    </row>
    <row r="49" spans="1:8" ht="16.5" customHeight="1">
      <c r="A49" s="94"/>
      <c r="B49" s="95"/>
      <c r="C49" s="92"/>
      <c r="D49" s="92"/>
      <c r="E49" s="92"/>
      <c r="F49" s="92"/>
      <c r="G49" s="92"/>
      <c r="H49" s="92"/>
    </row>
    <row r="50" spans="1:8" ht="16.5" customHeight="1">
      <c r="A50" s="94"/>
      <c r="B50" s="95"/>
      <c r="C50" s="92"/>
      <c r="D50" s="92"/>
      <c r="E50" s="92"/>
      <c r="F50" s="92"/>
      <c r="G50" s="92"/>
      <c r="H50" s="92"/>
    </row>
    <row r="56" ht="16.5" customHeight="1">
      <c r="A56" s="41" t="s">
        <v>457</v>
      </c>
    </row>
    <row r="57" spans="1:3" ht="16.5" customHeight="1">
      <c r="A57" s="41" t="s">
        <v>456</v>
      </c>
      <c r="C57" s="41" t="s">
        <v>471</v>
      </c>
    </row>
    <row r="58" ht="16.5" customHeight="1">
      <c r="C58" s="41" t="s">
        <v>459</v>
      </c>
    </row>
    <row r="59" ht="16.5" customHeight="1">
      <c r="C59" s="41" t="s">
        <v>470</v>
      </c>
    </row>
  </sheetData>
  <sheetProtection sheet="1" objects="1" scenarios="1"/>
  <mergeCells count="11">
    <mergeCell ref="B28:B30"/>
    <mergeCell ref="B31:C31"/>
    <mergeCell ref="B32:C32"/>
    <mergeCell ref="A21:B21"/>
    <mergeCell ref="A22:B22"/>
    <mergeCell ref="A1:B1"/>
    <mergeCell ref="C1:D1"/>
    <mergeCell ref="A20:B20"/>
    <mergeCell ref="B25:B27"/>
    <mergeCell ref="B24:C24"/>
    <mergeCell ref="A7:B7"/>
  </mergeCells>
  <conditionalFormatting sqref="D25:D30">
    <cfRule type="cellIs" priority="1" dxfId="4" operator="greaterThan" stopIfTrue="1">
      <formula>$D$31</formula>
    </cfRule>
  </conditionalFormatting>
  <conditionalFormatting sqref="E25:E30">
    <cfRule type="cellIs" priority="2" dxfId="4" operator="greaterThan" stopIfTrue="1">
      <formula>$E$31</formula>
    </cfRule>
  </conditionalFormatting>
  <conditionalFormatting sqref="F25:F30">
    <cfRule type="cellIs" priority="3" dxfId="4" operator="greaterThan" stopIfTrue="1">
      <formula>$F$31</formula>
    </cfRule>
  </conditionalFormatting>
  <conditionalFormatting sqref="D32:F32 F33">
    <cfRule type="cellIs" priority="4" dxfId="4" operator="equal" stopIfTrue="1">
      <formula>"OUT"</formula>
    </cfRule>
  </conditionalFormatting>
  <printOptions/>
  <pageMargins left="0.75" right="0.75" top="1" bottom="1" header="0.512" footer="0.512"/>
  <pageSetup horizontalDpi="600" verticalDpi="600" orientation="landscape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W48"/>
  <sheetViews>
    <sheetView zoomScalePageLayoutView="0" workbookViewId="0" topLeftCell="A13">
      <selection activeCell="C46" sqref="C46"/>
    </sheetView>
  </sheetViews>
  <sheetFormatPr defaultColWidth="8.796875" defaultRowHeight="14.25"/>
  <cols>
    <col min="8" max="8" width="17.19921875" style="0" customWidth="1"/>
  </cols>
  <sheetData>
    <row r="1" spans="3:4" ht="12.75">
      <c r="C1" t="s">
        <v>1</v>
      </c>
      <c r="D1" t="s">
        <v>45</v>
      </c>
    </row>
    <row r="2" spans="2:4" ht="12.75">
      <c r="B2">
        <v>1</v>
      </c>
      <c r="C2" t="s">
        <v>363</v>
      </c>
      <c r="D2">
        <v>140</v>
      </c>
    </row>
    <row r="3" spans="2:8" ht="13.5">
      <c r="B3" s="12">
        <v>2</v>
      </c>
      <c r="C3" s="12" t="s">
        <v>35</v>
      </c>
      <c r="D3" s="12">
        <v>160</v>
      </c>
      <c r="G3">
        <v>1</v>
      </c>
      <c r="H3" t="s">
        <v>54</v>
      </c>
    </row>
    <row r="4" spans="2:8" ht="13.5">
      <c r="B4" s="12">
        <v>3</v>
      </c>
      <c r="C4" s="12" t="s">
        <v>36</v>
      </c>
      <c r="D4" s="12">
        <v>160</v>
      </c>
      <c r="E4" s="12"/>
      <c r="G4">
        <v>2</v>
      </c>
      <c r="H4" t="s">
        <v>55</v>
      </c>
    </row>
    <row r="5" spans="2:8" ht="13.5">
      <c r="B5" s="13">
        <v>3</v>
      </c>
      <c r="C5" s="36" t="str">
        <f>VLOOKUP($B$5,$B$2:$D$4,2,FALSE)</f>
        <v>SD345</v>
      </c>
      <c r="D5" s="36">
        <f>VLOOKUP($B$5,$B$2:$D$4,3,FALSE)</f>
        <v>160</v>
      </c>
      <c r="E5" s="12"/>
      <c r="G5">
        <v>2</v>
      </c>
      <c r="H5" s="13" t="str">
        <f>IF(G5=1,H3,H4)</f>
        <v>土圧の鉛直成分を考慮</v>
      </c>
    </row>
    <row r="6" ht="13.5">
      <c r="E6" s="1"/>
    </row>
    <row r="7" spans="2:9" ht="12.75">
      <c r="B7" t="s">
        <v>346</v>
      </c>
      <c r="H7" t="s">
        <v>298</v>
      </c>
      <c r="I7" t="s">
        <v>60</v>
      </c>
    </row>
    <row r="8" spans="3:9" ht="12.75">
      <c r="C8" t="s">
        <v>43</v>
      </c>
      <c r="D8" t="s">
        <v>44</v>
      </c>
      <c r="E8" t="s">
        <v>345</v>
      </c>
      <c r="G8">
        <v>1</v>
      </c>
      <c r="H8" t="s">
        <v>299</v>
      </c>
      <c r="I8">
        <v>10</v>
      </c>
    </row>
    <row r="9" spans="2:9" ht="12.75">
      <c r="B9">
        <v>1</v>
      </c>
      <c r="C9" t="s">
        <v>364</v>
      </c>
      <c r="D9">
        <f>PI()/4*2.6^2</f>
        <v>5.3092915845667505</v>
      </c>
      <c r="E9">
        <f>1000/'入力'!$D$21*D9</f>
        <v>42.474332676534004</v>
      </c>
      <c r="G9">
        <v>2</v>
      </c>
      <c r="H9" t="s">
        <v>300</v>
      </c>
      <c r="I9">
        <v>7</v>
      </c>
    </row>
    <row r="10" spans="2:9" ht="12.75">
      <c r="B10">
        <f>B9+1</f>
        <v>2</v>
      </c>
      <c r="C10" t="s">
        <v>365</v>
      </c>
      <c r="D10">
        <f>PI()/4*3.2^2</f>
        <v>8.042477193189871</v>
      </c>
      <c r="E10">
        <f>1000/'入力'!$D$21*D10</f>
        <v>64.33981754551897</v>
      </c>
      <c r="G10">
        <v>3</v>
      </c>
      <c r="H10" t="s">
        <v>301</v>
      </c>
      <c r="I10">
        <v>5</v>
      </c>
    </row>
    <row r="11" spans="2:9" ht="12.75">
      <c r="B11">
        <f aca="true" t="shared" si="0" ref="B11:B22">B10+1</f>
        <v>3</v>
      </c>
      <c r="C11" t="s">
        <v>366</v>
      </c>
      <c r="D11">
        <f>PI()/4*4^2</f>
        <v>12.566370614359172</v>
      </c>
      <c r="E11">
        <f>1000/'入力'!$D$21*D11</f>
        <v>100.53096491487338</v>
      </c>
      <c r="G11">
        <v>4</v>
      </c>
      <c r="H11" t="s">
        <v>353</v>
      </c>
      <c r="I11">
        <v>5</v>
      </c>
    </row>
    <row r="12" spans="2:9" ht="12.75">
      <c r="B12">
        <f t="shared" si="0"/>
        <v>4</v>
      </c>
      <c r="C12" t="s">
        <v>367</v>
      </c>
      <c r="D12">
        <f>PI()/4*5^2</f>
        <v>19.634954084936208</v>
      </c>
      <c r="E12">
        <f>1000/'入力'!$D$21*D12</f>
        <v>157.07963267948966</v>
      </c>
      <c r="G12">
        <v>5</v>
      </c>
      <c r="H12" t="s">
        <v>354</v>
      </c>
      <c r="I12">
        <v>3</v>
      </c>
    </row>
    <row r="13" spans="2:9" ht="12.75">
      <c r="B13">
        <f t="shared" si="0"/>
        <v>5</v>
      </c>
      <c r="C13" t="s">
        <v>368</v>
      </c>
      <c r="D13">
        <f>PI()/4*6^2</f>
        <v>28.274333882308138</v>
      </c>
      <c r="E13">
        <f>1000/'入力'!$D$21*D13</f>
        <v>226.1946710584651</v>
      </c>
      <c r="G13">
        <v>6</v>
      </c>
      <c r="H13" t="s">
        <v>337</v>
      </c>
      <c r="I13">
        <f>'入力'!D8</f>
        <v>10</v>
      </c>
    </row>
    <row r="14" spans="2:9" ht="12.75">
      <c r="B14">
        <f t="shared" si="0"/>
        <v>6</v>
      </c>
      <c r="C14" t="s">
        <v>37</v>
      </c>
      <c r="D14">
        <v>31.67</v>
      </c>
      <c r="E14">
        <f>1000/'入力'!$D$21*D14</f>
        <v>253.36</v>
      </c>
      <c r="G14" s="36">
        <v>6</v>
      </c>
      <c r="H14" s="36" t="str">
        <f>VLOOKUP($G$14,$G$8:$I$13,2,FALSE)</f>
        <v>任意に設定</v>
      </c>
      <c r="I14" s="36">
        <f>VLOOKUP($G$14,$G$8:$I$13,3,FALSE)</f>
        <v>10</v>
      </c>
    </row>
    <row r="15" spans="2:5" ht="12.75">
      <c r="B15">
        <f t="shared" si="0"/>
        <v>7</v>
      </c>
      <c r="C15" t="s">
        <v>38</v>
      </c>
      <c r="D15">
        <v>71.33</v>
      </c>
      <c r="E15">
        <f>1000/'入力'!$D$21*D15</f>
        <v>570.64</v>
      </c>
    </row>
    <row r="16" spans="2:5" ht="12.75">
      <c r="B16">
        <f t="shared" si="0"/>
        <v>8</v>
      </c>
      <c r="C16" t="s">
        <v>39</v>
      </c>
      <c r="D16">
        <v>126.7</v>
      </c>
      <c r="E16">
        <f>1000/'入力'!$D$21*D16</f>
        <v>1013.6</v>
      </c>
    </row>
    <row r="17" spans="2:5" ht="12.75">
      <c r="B17">
        <f t="shared" si="0"/>
        <v>9</v>
      </c>
      <c r="C17" t="s">
        <v>40</v>
      </c>
      <c r="D17">
        <v>198.6</v>
      </c>
      <c r="E17">
        <f>1000/'入力'!$D$21*D17</f>
        <v>1588.8</v>
      </c>
    </row>
    <row r="18" spans="2:5" ht="12.75">
      <c r="B18">
        <f t="shared" si="0"/>
        <v>10</v>
      </c>
      <c r="C18" t="s">
        <v>41</v>
      </c>
      <c r="D18">
        <v>286.5</v>
      </c>
      <c r="E18">
        <f>1000/'入力'!$D$21*D18</f>
        <v>2292</v>
      </c>
    </row>
    <row r="19" spans="2:5" ht="12.75">
      <c r="B19">
        <f t="shared" si="0"/>
        <v>11</v>
      </c>
      <c r="C19" t="s">
        <v>42</v>
      </c>
      <c r="D19">
        <v>387.1</v>
      </c>
      <c r="E19">
        <f>1000/'入力'!$D$21*D19</f>
        <v>3096.8</v>
      </c>
    </row>
    <row r="20" spans="2:5" ht="12.75">
      <c r="B20">
        <f t="shared" si="0"/>
        <v>12</v>
      </c>
      <c r="C20" t="s">
        <v>426</v>
      </c>
      <c r="D20">
        <v>506.7</v>
      </c>
      <c r="E20">
        <f>1000/'入力'!$D$21*D20</f>
        <v>4053.6</v>
      </c>
    </row>
    <row r="21" spans="2:5" ht="12.75">
      <c r="B21">
        <f t="shared" si="0"/>
        <v>13</v>
      </c>
      <c r="C21" t="s">
        <v>428</v>
      </c>
      <c r="D21">
        <v>642.4</v>
      </c>
      <c r="E21">
        <f>1000/'入力'!$D$21*D21</f>
        <v>5139.2</v>
      </c>
    </row>
    <row r="22" spans="2:5" ht="12.75">
      <c r="B22">
        <f t="shared" si="0"/>
        <v>14</v>
      </c>
      <c r="C22" t="s">
        <v>430</v>
      </c>
      <c r="D22">
        <v>794.2</v>
      </c>
      <c r="E22">
        <f>1000/'入力'!$D$21*D22</f>
        <v>6353.6</v>
      </c>
    </row>
    <row r="23" spans="2:23" ht="12.75">
      <c r="B23" s="36">
        <v>10</v>
      </c>
      <c r="C23" s="36" t="str">
        <f>VLOOKUP($B$23,$B$9:$E$19,2,FALSE)</f>
        <v>D19</v>
      </c>
      <c r="D23" s="36">
        <f>VLOOKUP($B$23,$B$9:$E$19,3,FALSE)</f>
        <v>286.5</v>
      </c>
      <c r="E23" s="36">
        <f>VLOOKUP($B$23,$B$9:$E$19,4,FALSE)</f>
        <v>2292</v>
      </c>
      <c r="J23" s="111" t="s">
        <v>433</v>
      </c>
      <c r="K23" s="112"/>
      <c r="L23" s="83" t="s">
        <v>434</v>
      </c>
      <c r="M23" s="83" t="s">
        <v>435</v>
      </c>
      <c r="N23" s="83" t="s">
        <v>436</v>
      </c>
      <c r="O23" s="83" t="s">
        <v>437</v>
      </c>
      <c r="P23" s="83" t="s">
        <v>438</v>
      </c>
      <c r="Q23" s="83" t="s">
        <v>431</v>
      </c>
      <c r="R23" s="83" t="s">
        <v>425</v>
      </c>
      <c r="S23" s="83" t="s">
        <v>427</v>
      </c>
      <c r="T23" s="83" t="s">
        <v>429</v>
      </c>
      <c r="U23" s="83" t="s">
        <v>439</v>
      </c>
      <c r="V23" s="83" t="s">
        <v>440</v>
      </c>
      <c r="W23" s="83" t="s">
        <v>441</v>
      </c>
    </row>
    <row r="24" spans="10:23" ht="12.75">
      <c r="J24" s="113" t="s">
        <v>442</v>
      </c>
      <c r="K24" s="114"/>
      <c r="L24" s="117">
        <v>0.249</v>
      </c>
      <c r="M24" s="117">
        <v>0.56</v>
      </c>
      <c r="N24" s="117">
        <v>0.995</v>
      </c>
      <c r="O24" s="117">
        <v>1.56</v>
      </c>
      <c r="P24" s="117">
        <v>2.25</v>
      </c>
      <c r="Q24" s="117">
        <v>3.04</v>
      </c>
      <c r="R24" s="117">
        <v>3.98</v>
      </c>
      <c r="S24" s="117">
        <v>5.04</v>
      </c>
      <c r="T24" s="117">
        <v>6.23</v>
      </c>
      <c r="U24" s="117">
        <v>7.51</v>
      </c>
      <c r="V24" s="117">
        <v>8.95</v>
      </c>
      <c r="W24" s="117">
        <v>10.5</v>
      </c>
    </row>
    <row r="25" spans="2:23" ht="12.75">
      <c r="B25" t="s">
        <v>347</v>
      </c>
      <c r="J25" s="115" t="s">
        <v>443</v>
      </c>
      <c r="K25" s="116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</row>
    <row r="26" spans="3:23" ht="12.75">
      <c r="C26" t="s">
        <v>43</v>
      </c>
      <c r="D26" t="s">
        <v>44</v>
      </c>
      <c r="E26" t="s">
        <v>345</v>
      </c>
      <c r="J26" s="113" t="s">
        <v>444</v>
      </c>
      <c r="K26" s="114"/>
      <c r="L26" s="117">
        <v>6.35</v>
      </c>
      <c r="M26" s="117">
        <v>9.53</v>
      </c>
      <c r="N26" s="117">
        <v>12.7</v>
      </c>
      <c r="O26" s="117">
        <v>15.9</v>
      </c>
      <c r="P26" s="117">
        <v>19.1</v>
      </c>
      <c r="Q26" s="117">
        <v>22.2</v>
      </c>
      <c r="R26" s="117">
        <v>25.4</v>
      </c>
      <c r="S26" s="117">
        <v>28.6</v>
      </c>
      <c r="T26" s="117">
        <v>31.8</v>
      </c>
      <c r="U26" s="117">
        <v>34.9</v>
      </c>
      <c r="V26" s="117">
        <v>38.1</v>
      </c>
      <c r="W26" s="117">
        <v>41.3</v>
      </c>
    </row>
    <row r="27" spans="2:23" ht="12.75">
      <c r="B27">
        <v>1</v>
      </c>
      <c r="C27" t="s">
        <v>364</v>
      </c>
      <c r="D27">
        <f>PI()/4*2.6^2</f>
        <v>5.3092915845667505</v>
      </c>
      <c r="E27">
        <f>1000/'入力'!$D$22*D27</f>
        <v>21.237166338267002</v>
      </c>
      <c r="J27" s="115" t="s">
        <v>445</v>
      </c>
      <c r="K27" s="116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</row>
    <row r="28" spans="2:23" ht="24">
      <c r="B28">
        <f>B27+1</f>
        <v>2</v>
      </c>
      <c r="C28" t="s">
        <v>365</v>
      </c>
      <c r="D28">
        <f>PI()/4*3.2^2</f>
        <v>8.042477193189871</v>
      </c>
      <c r="E28">
        <f>1000/'入力'!$D$22*D28</f>
        <v>32.169908772759484</v>
      </c>
      <c r="J28" s="84" t="s">
        <v>446</v>
      </c>
      <c r="K28" s="86"/>
      <c r="L28" s="81">
        <v>0.3167</v>
      </c>
      <c r="M28" s="81">
        <v>0.7133</v>
      </c>
      <c r="N28" s="81">
        <v>1.267</v>
      </c>
      <c r="O28" s="81">
        <v>1.986</v>
      </c>
      <c r="P28" s="81">
        <v>2.865</v>
      </c>
      <c r="Q28" s="81">
        <v>3.871</v>
      </c>
      <c r="R28" s="81">
        <v>5.067</v>
      </c>
      <c r="S28" s="81">
        <v>6.424</v>
      </c>
      <c r="T28" s="81">
        <v>7.942</v>
      </c>
      <c r="U28" s="81">
        <v>9.566</v>
      </c>
      <c r="V28" s="81">
        <v>11.4</v>
      </c>
      <c r="W28" s="81">
        <v>13.4</v>
      </c>
    </row>
    <row r="29" spans="2:23" ht="14.25" customHeight="1">
      <c r="B29">
        <f aca="true" t="shared" si="1" ref="B29:B41">B28+1</f>
        <v>3</v>
      </c>
      <c r="C29" t="s">
        <v>366</v>
      </c>
      <c r="D29">
        <f>PI()/4*4^2</f>
        <v>12.566370614359172</v>
      </c>
      <c r="E29">
        <f>1000/'入力'!$D$22*D29</f>
        <v>50.26548245743669</v>
      </c>
      <c r="J29" s="85" t="s">
        <v>447</v>
      </c>
      <c r="K29" s="87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</row>
    <row r="30" spans="2:5" ht="12.75">
      <c r="B30">
        <f t="shared" si="1"/>
        <v>4</v>
      </c>
      <c r="C30" t="s">
        <v>367</v>
      </c>
      <c r="D30">
        <f>PI()/4*5^2</f>
        <v>19.634954084936208</v>
      </c>
      <c r="E30">
        <f>1000/'入力'!$D$22*D30</f>
        <v>78.53981633974483</v>
      </c>
    </row>
    <row r="31" spans="2:5" ht="12.75">
      <c r="B31">
        <f t="shared" si="1"/>
        <v>5</v>
      </c>
      <c r="C31" t="s">
        <v>368</v>
      </c>
      <c r="D31">
        <f>PI()/4*6^2</f>
        <v>28.274333882308138</v>
      </c>
      <c r="E31">
        <f>1000/'入力'!$D$22*D31</f>
        <v>113.09733552923255</v>
      </c>
    </row>
    <row r="32" spans="2:11" ht="12.75">
      <c r="B32">
        <f t="shared" si="1"/>
        <v>6</v>
      </c>
      <c r="C32" t="s">
        <v>37</v>
      </c>
      <c r="D32">
        <v>31.67</v>
      </c>
      <c r="E32">
        <f>1000/'入力'!$D$22*D32</f>
        <v>126.68</v>
      </c>
      <c r="J32" s="111" t="s">
        <v>433</v>
      </c>
      <c r="K32" t="s">
        <v>446</v>
      </c>
    </row>
    <row r="33" spans="2:12" ht="12.75">
      <c r="B33">
        <f t="shared" si="1"/>
        <v>7</v>
      </c>
      <c r="C33" t="s">
        <v>38</v>
      </c>
      <c r="D33">
        <v>71.33</v>
      </c>
      <c r="E33">
        <f>1000/'入力'!$D$22*D33</f>
        <v>285.32</v>
      </c>
      <c r="J33" s="112"/>
      <c r="K33" t="s">
        <v>448</v>
      </c>
      <c r="L33" t="s">
        <v>449</v>
      </c>
    </row>
    <row r="34" spans="2:12" ht="12.75">
      <c r="B34">
        <f t="shared" si="1"/>
        <v>8</v>
      </c>
      <c r="C34" t="s">
        <v>39</v>
      </c>
      <c r="D34">
        <v>126.7</v>
      </c>
      <c r="E34">
        <f>1000/'入力'!$D$22*D34</f>
        <v>506.8</v>
      </c>
      <c r="J34" s="83" t="s">
        <v>434</v>
      </c>
      <c r="K34" s="81">
        <v>0.3167</v>
      </c>
      <c r="L34">
        <f>K34*100</f>
        <v>31.669999999999998</v>
      </c>
    </row>
    <row r="35" spans="2:12" ht="12.75">
      <c r="B35">
        <f t="shared" si="1"/>
        <v>9</v>
      </c>
      <c r="C35" t="s">
        <v>40</v>
      </c>
      <c r="D35">
        <v>198.6</v>
      </c>
      <c r="E35">
        <f>1000/'入力'!$D$22*D35</f>
        <v>794.4</v>
      </c>
      <c r="J35" s="83" t="s">
        <v>435</v>
      </c>
      <c r="K35" s="81">
        <v>0.7133</v>
      </c>
      <c r="L35">
        <f aca="true" t="shared" si="2" ref="L35:L45">K35*100</f>
        <v>71.33</v>
      </c>
    </row>
    <row r="36" spans="2:12" ht="12.75">
      <c r="B36">
        <f t="shared" si="1"/>
        <v>10</v>
      </c>
      <c r="C36" t="s">
        <v>41</v>
      </c>
      <c r="D36">
        <v>286.5</v>
      </c>
      <c r="E36">
        <f>1000/'入力'!$D$22*D36</f>
        <v>1146</v>
      </c>
      <c r="J36" s="83" t="s">
        <v>436</v>
      </c>
      <c r="K36" s="81">
        <v>1.267</v>
      </c>
      <c r="L36">
        <f t="shared" si="2"/>
        <v>126.69999999999999</v>
      </c>
    </row>
    <row r="37" spans="2:12" ht="12.75">
      <c r="B37">
        <f t="shared" si="1"/>
        <v>11</v>
      </c>
      <c r="C37" t="s">
        <v>432</v>
      </c>
      <c r="D37">
        <v>387.1</v>
      </c>
      <c r="E37">
        <f>1000/'入力'!$D$22*D37</f>
        <v>1548.4</v>
      </c>
      <c r="J37" s="83" t="s">
        <v>437</v>
      </c>
      <c r="K37" s="81">
        <v>1.986</v>
      </c>
      <c r="L37">
        <f t="shared" si="2"/>
        <v>198.6</v>
      </c>
    </row>
    <row r="38" spans="2:12" ht="12.75">
      <c r="B38">
        <f t="shared" si="1"/>
        <v>12</v>
      </c>
      <c r="C38" t="s">
        <v>426</v>
      </c>
      <c r="D38">
        <v>506.7</v>
      </c>
      <c r="E38">
        <f>1000/'入力'!$D$22*D38</f>
        <v>2026.8</v>
      </c>
      <c r="J38" s="83" t="s">
        <v>438</v>
      </c>
      <c r="K38" s="81">
        <v>2.865</v>
      </c>
      <c r="L38">
        <f t="shared" si="2"/>
        <v>286.5</v>
      </c>
    </row>
    <row r="39" spans="2:12" ht="12.75">
      <c r="B39">
        <f t="shared" si="1"/>
        <v>13</v>
      </c>
      <c r="C39" t="s">
        <v>428</v>
      </c>
      <c r="D39">
        <v>642.4</v>
      </c>
      <c r="E39">
        <f>1000/'入力'!$D$22*D39</f>
        <v>2569.6</v>
      </c>
      <c r="J39" s="83" t="s">
        <v>431</v>
      </c>
      <c r="K39" s="81">
        <v>3.871</v>
      </c>
      <c r="L39">
        <f t="shared" si="2"/>
        <v>387.1</v>
      </c>
    </row>
    <row r="40" spans="2:12" ht="12.75">
      <c r="B40">
        <f t="shared" si="1"/>
        <v>14</v>
      </c>
      <c r="C40" t="s">
        <v>430</v>
      </c>
      <c r="D40">
        <v>794.2</v>
      </c>
      <c r="E40">
        <f>1000/'入力'!$D$22*D40</f>
        <v>3176.8</v>
      </c>
      <c r="J40" s="83" t="s">
        <v>425</v>
      </c>
      <c r="K40" s="81">
        <v>5.067</v>
      </c>
      <c r="L40">
        <f t="shared" si="2"/>
        <v>506.70000000000005</v>
      </c>
    </row>
    <row r="41" spans="2:12" ht="12.75">
      <c r="B41">
        <f t="shared" si="1"/>
        <v>15</v>
      </c>
      <c r="C41" t="s">
        <v>325</v>
      </c>
      <c r="D41">
        <v>0</v>
      </c>
      <c r="E41">
        <f>1000/'入力'!$D$22*D41</f>
        <v>0</v>
      </c>
      <c r="J41" s="83" t="s">
        <v>427</v>
      </c>
      <c r="K41" s="81">
        <v>6.424</v>
      </c>
      <c r="L41">
        <f t="shared" si="2"/>
        <v>642.4000000000001</v>
      </c>
    </row>
    <row r="42" spans="2:12" ht="12.75">
      <c r="B42" s="36">
        <v>9</v>
      </c>
      <c r="C42" s="36" t="str">
        <f>VLOOKUP($B$42,$B$27:$E$37,2,FALSE)</f>
        <v>D16</v>
      </c>
      <c r="D42" s="36">
        <f>VLOOKUP($B$42,$B$27:$E$37,3,FALSE)</f>
        <v>198.6</v>
      </c>
      <c r="E42" s="36">
        <f>VLOOKUP($B$42,$B$27:$E$37,4,FALSE)</f>
        <v>794.4</v>
      </c>
      <c r="J42" s="83" t="s">
        <v>429</v>
      </c>
      <c r="K42" s="81">
        <v>7.942</v>
      </c>
      <c r="L42">
        <f t="shared" si="2"/>
        <v>794.2</v>
      </c>
    </row>
    <row r="43" spans="10:12" ht="12.75">
      <c r="J43" s="83" t="s">
        <v>439</v>
      </c>
      <c r="K43" s="81">
        <v>9.566</v>
      </c>
      <c r="L43">
        <f t="shared" si="2"/>
        <v>956.6</v>
      </c>
    </row>
    <row r="44" spans="2:12" ht="12.75">
      <c r="B44" t="s">
        <v>333</v>
      </c>
      <c r="J44" s="83" t="s">
        <v>440</v>
      </c>
      <c r="K44" s="81">
        <v>11.4</v>
      </c>
      <c r="L44">
        <f t="shared" si="2"/>
        <v>1140</v>
      </c>
    </row>
    <row r="45" spans="2:12" ht="12.75">
      <c r="B45">
        <v>1</v>
      </c>
      <c r="C45" t="s">
        <v>458</v>
      </c>
      <c r="D45">
        <f>('入力'!D3)/2</f>
        <v>1.25</v>
      </c>
      <c r="J45" s="83" t="s">
        <v>441</v>
      </c>
      <c r="K45" s="81">
        <v>13.4</v>
      </c>
      <c r="L45">
        <f t="shared" si="2"/>
        <v>1340</v>
      </c>
    </row>
    <row r="46" spans="2:4" ht="12.75">
      <c r="B46">
        <v>2</v>
      </c>
      <c r="C46" t="s">
        <v>334</v>
      </c>
      <c r="D46">
        <f>'計算'!E4+'計算'!E7/2</f>
        <v>2.675</v>
      </c>
    </row>
    <row r="47" spans="2:4" ht="12.75">
      <c r="B47">
        <v>3</v>
      </c>
      <c r="C47" t="s">
        <v>335</v>
      </c>
      <c r="D47">
        <f>'入力'!D14</f>
        <v>0.5</v>
      </c>
    </row>
    <row r="48" spans="2:4" ht="12.75">
      <c r="B48">
        <v>1</v>
      </c>
      <c r="C48" s="36" t="str">
        <f>VLOOKUP($B$48,$B$45:$D$47,2,FALSE)</f>
        <v>標準(Ho/2)</v>
      </c>
      <c r="D48" s="36">
        <f>VLOOKUP($B$48,$B$45:$D$47,3,FALSE)</f>
        <v>1.25</v>
      </c>
    </row>
  </sheetData>
  <sheetProtection/>
  <mergeCells count="30">
    <mergeCell ref="J32:J33"/>
    <mergeCell ref="U26:U27"/>
    <mergeCell ref="V26:V27"/>
    <mergeCell ref="W26:W27"/>
    <mergeCell ref="J27:K27"/>
    <mergeCell ref="L26:L27"/>
    <mergeCell ref="M26:M27"/>
    <mergeCell ref="N26:N27"/>
    <mergeCell ref="U24:U25"/>
    <mergeCell ref="V24:V25"/>
    <mergeCell ref="W24:W25"/>
    <mergeCell ref="J26:K26"/>
    <mergeCell ref="O26:O27"/>
    <mergeCell ref="P26:P27"/>
    <mergeCell ref="Q26:Q27"/>
    <mergeCell ref="R26:R27"/>
    <mergeCell ref="S26:S27"/>
    <mergeCell ref="T26:T27"/>
    <mergeCell ref="O24:O25"/>
    <mergeCell ref="P24:P25"/>
    <mergeCell ref="Q24:Q25"/>
    <mergeCell ref="R24:R25"/>
    <mergeCell ref="S24:S25"/>
    <mergeCell ref="T24:T25"/>
    <mergeCell ref="J23:K23"/>
    <mergeCell ref="J24:K24"/>
    <mergeCell ref="J25:K25"/>
    <mergeCell ref="L24:L25"/>
    <mergeCell ref="M24:M25"/>
    <mergeCell ref="N24:N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824"/>
  <sheetViews>
    <sheetView showGridLines="0" zoomScalePageLayoutView="0" workbookViewId="0" topLeftCell="A799">
      <selection activeCell="K36" sqref="K36"/>
    </sheetView>
  </sheetViews>
  <sheetFormatPr defaultColWidth="8.796875" defaultRowHeight="14.25"/>
  <cols>
    <col min="1" max="13" width="8.8984375" style="7" customWidth="1"/>
    <col min="14" max="14" width="9.3984375" style="7" customWidth="1"/>
    <col min="15" max="15" width="14.296875" style="7" customWidth="1"/>
    <col min="16" max="16" width="17.69921875" style="7" customWidth="1"/>
    <col min="17" max="16384" width="8.8984375" style="7" customWidth="1"/>
  </cols>
  <sheetData>
    <row r="1" spans="1:12" ht="12.75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s="4" customFormat="1" ht="12.75">
      <c r="B2" s="5" t="s">
        <v>68</v>
      </c>
      <c r="C2" s="3"/>
      <c r="D2" s="6"/>
      <c r="E2" s="6"/>
      <c r="F2" s="6"/>
      <c r="G2" s="6"/>
      <c r="H2" s="7"/>
      <c r="I2" s="7"/>
      <c r="J2" s="7"/>
      <c r="K2" s="7"/>
      <c r="L2" s="7"/>
    </row>
    <row r="3" spans="2:28" ht="12.75">
      <c r="B3" s="3"/>
      <c r="C3" s="6" t="s">
        <v>69</v>
      </c>
      <c r="D3" s="8" t="s">
        <v>4</v>
      </c>
      <c r="E3" s="88">
        <f>'入力'!D2</f>
        <v>2</v>
      </c>
      <c r="F3" s="6" t="s">
        <v>5</v>
      </c>
      <c r="G3" s="6"/>
      <c r="Q3" s="7" t="str">
        <f>"B'="&amp;E3+2*E5&amp;"m"</f>
        <v>B'=2.3m</v>
      </c>
      <c r="U3" s="47" t="s">
        <v>66</v>
      </c>
      <c r="V3" s="47" t="s">
        <v>348</v>
      </c>
      <c r="W3" s="47" t="s">
        <v>349</v>
      </c>
      <c r="X3" s="47" t="s">
        <v>350</v>
      </c>
      <c r="Y3" s="47" t="s">
        <v>60</v>
      </c>
      <c r="Z3" s="47" t="s">
        <v>351</v>
      </c>
      <c r="AA3" s="47" t="s">
        <v>352</v>
      </c>
      <c r="AB3" s="47" t="s">
        <v>469</v>
      </c>
    </row>
    <row r="4" spans="2:27" ht="12.75">
      <c r="B4" s="3"/>
      <c r="C4" s="6" t="s">
        <v>70</v>
      </c>
      <c r="D4" s="8" t="s">
        <v>7</v>
      </c>
      <c r="E4" s="88">
        <f>'入力'!D3</f>
        <v>2.5</v>
      </c>
      <c r="F4" s="6" t="s">
        <v>5</v>
      </c>
      <c r="G4" s="6"/>
      <c r="N4" s="7" t="str">
        <f>"Bo="&amp;E3&amp;"m"</f>
        <v>Bo=2m</v>
      </c>
      <c r="Q4" s="7" t="str">
        <f>"B="&amp;E3+2*E6&amp;"m"</f>
        <v>B=2.8m</v>
      </c>
      <c r="U4" s="18">
        <v>0</v>
      </c>
      <c r="V4" s="18">
        <f>E4+E7</f>
        <v>2.85</v>
      </c>
      <c r="W4" s="18"/>
      <c r="X4" s="18"/>
      <c r="Y4" s="18"/>
      <c r="Z4" s="18"/>
      <c r="AA4" s="18"/>
    </row>
    <row r="5" spans="2:27" ht="12.75">
      <c r="B5" s="3"/>
      <c r="C5" s="6" t="s">
        <v>71</v>
      </c>
      <c r="D5" s="8" t="s">
        <v>377</v>
      </c>
      <c r="E5" s="9">
        <f>'入力'!D4</f>
        <v>0.15</v>
      </c>
      <c r="F5" s="6" t="s">
        <v>9</v>
      </c>
      <c r="G5" s="6"/>
      <c r="N5" s="7" t="str">
        <f>"Ho="&amp;E4&amp;"m"</f>
        <v>Ho=2.5m</v>
      </c>
      <c r="Q5" s="7" t="str">
        <f>"H="&amp;E4+E7&amp;"m"</f>
        <v>H=2.85m</v>
      </c>
      <c r="U5" s="18">
        <f>-E5</f>
        <v>-0.15</v>
      </c>
      <c r="V5" s="18">
        <f>V4</f>
        <v>2.85</v>
      </c>
      <c r="W5" s="18"/>
      <c r="X5" s="18"/>
      <c r="Y5" s="18"/>
      <c r="Z5" s="18"/>
      <c r="AA5" s="18"/>
    </row>
    <row r="6" spans="2:27" ht="12.75">
      <c r="B6" s="3"/>
      <c r="C6" s="6" t="s">
        <v>451</v>
      </c>
      <c r="D6" s="8" t="s">
        <v>450</v>
      </c>
      <c r="E6" s="88">
        <f>E5+E4*E8</f>
        <v>0.4</v>
      </c>
      <c r="F6" s="6" t="s">
        <v>9</v>
      </c>
      <c r="G6" s="6"/>
      <c r="Q6" s="7" t="str">
        <f>"tc="&amp;'入力'!D7&amp;"m"</f>
        <v>tc=0.2m</v>
      </c>
      <c r="U6" s="18">
        <f>-E7</f>
        <v>-0.35</v>
      </c>
      <c r="V6" s="18">
        <f>E7</f>
        <v>0.35</v>
      </c>
      <c r="W6" s="18"/>
      <c r="X6" s="18"/>
      <c r="Y6" s="18"/>
      <c r="Z6" s="18"/>
      <c r="AA6" s="18"/>
    </row>
    <row r="7" spans="2:27" ht="12.75">
      <c r="B7" s="3"/>
      <c r="C7" s="6" t="s">
        <v>72</v>
      </c>
      <c r="D7" s="8" t="s">
        <v>73</v>
      </c>
      <c r="E7" s="9">
        <f>'入力'!D5</f>
        <v>0.35</v>
      </c>
      <c r="F7" s="6" t="s">
        <v>74</v>
      </c>
      <c r="G7" s="6"/>
      <c r="N7" s="7" t="str">
        <f>"to="&amp;E5&amp;"m"</f>
        <v>to=0.15m</v>
      </c>
      <c r="U7" s="18">
        <f>-E7</f>
        <v>-0.35</v>
      </c>
      <c r="V7" s="18">
        <f>0</f>
        <v>0</v>
      </c>
      <c r="W7" s="18"/>
      <c r="X7" s="18"/>
      <c r="Y7" s="18"/>
      <c r="Z7" s="18"/>
      <c r="AA7" s="18"/>
    </row>
    <row r="8" spans="2:27" ht="12.75">
      <c r="B8" s="3"/>
      <c r="C8" s="6" t="s">
        <v>75</v>
      </c>
      <c r="D8" s="8" t="s">
        <v>11</v>
      </c>
      <c r="E8" s="9">
        <f>'入力'!D6</f>
        <v>0.1</v>
      </c>
      <c r="F8" s="6"/>
      <c r="G8" s="6"/>
      <c r="N8" s="7" t="str">
        <f>"tf="&amp;E7&amp;"m"</f>
        <v>tf=0.35m</v>
      </c>
      <c r="U8" s="18">
        <f>E3+E7</f>
        <v>2.35</v>
      </c>
      <c r="V8" s="18">
        <v>0</v>
      </c>
      <c r="W8" s="18"/>
      <c r="X8" s="18"/>
      <c r="Y8" s="18"/>
      <c r="Z8" s="18"/>
      <c r="AA8" s="18"/>
    </row>
    <row r="9" spans="2:27" ht="12.75">
      <c r="B9" s="3" t="s">
        <v>462</v>
      </c>
      <c r="C9" s="6"/>
      <c r="D9" s="8"/>
      <c r="E9" s="9">
        <f>'入力'!D7</f>
        <v>0.2</v>
      </c>
      <c r="F9" s="6" t="s">
        <v>46</v>
      </c>
      <c r="G9" s="6"/>
      <c r="U9" s="18">
        <f>U8</f>
        <v>2.35</v>
      </c>
      <c r="V9" s="18">
        <f>V6</f>
        <v>0.35</v>
      </c>
      <c r="W9" s="18"/>
      <c r="X9" s="18"/>
      <c r="Y9" s="18"/>
      <c r="Z9" s="18"/>
      <c r="AA9" s="18"/>
    </row>
    <row r="10" spans="2:27" ht="12.75">
      <c r="B10" s="6" t="s">
        <v>12</v>
      </c>
      <c r="C10" s="70" t="str">
        <f>データ!H14</f>
        <v>任意に設定</v>
      </c>
      <c r="D10" s="6"/>
      <c r="E10" s="9"/>
      <c r="F10" s="6"/>
      <c r="G10" s="6"/>
      <c r="N10" s="7" t="str">
        <f>"1:"&amp;E8</f>
        <v>1:0.1</v>
      </c>
      <c r="U10" s="18">
        <f>E3+E5</f>
        <v>2.15</v>
      </c>
      <c r="V10" s="18">
        <f>V4</f>
        <v>2.85</v>
      </c>
      <c r="W10" s="18"/>
      <c r="X10" s="18"/>
      <c r="Y10" s="18"/>
      <c r="Z10" s="18"/>
      <c r="AA10" s="18"/>
    </row>
    <row r="11" spans="2:27" ht="15">
      <c r="B11" s="6"/>
      <c r="C11" s="7" t="s">
        <v>355</v>
      </c>
      <c r="D11" s="8" t="s">
        <v>13</v>
      </c>
      <c r="E11" s="9">
        <f>データ!I14</f>
        <v>10</v>
      </c>
      <c r="F11" s="3" t="s">
        <v>14</v>
      </c>
      <c r="G11" s="6"/>
      <c r="U11" s="18">
        <f>E3</f>
        <v>2</v>
      </c>
      <c r="V11" s="18">
        <f>V10</f>
        <v>2.85</v>
      </c>
      <c r="W11" s="18"/>
      <c r="X11" s="18"/>
      <c r="Y11" s="18"/>
      <c r="Z11" s="18"/>
      <c r="AA11" s="18"/>
    </row>
    <row r="12" spans="2:27" ht="12.75">
      <c r="B12" s="6" t="s">
        <v>15</v>
      </c>
      <c r="C12" s="6"/>
      <c r="D12" s="8"/>
      <c r="E12" s="9"/>
      <c r="F12" s="6"/>
      <c r="G12" s="6"/>
      <c r="N12" s="7" t="str">
        <f>"q="&amp;E11&amp;"kN/m2"</f>
        <v>q=10kN/m2</v>
      </c>
      <c r="U12" s="18">
        <f>U11</f>
        <v>2</v>
      </c>
      <c r="V12" s="18">
        <f>V9</f>
        <v>0.35</v>
      </c>
      <c r="W12" s="18"/>
      <c r="X12" s="18"/>
      <c r="Y12" s="18"/>
      <c r="Z12" s="18"/>
      <c r="AA12" s="18"/>
    </row>
    <row r="13" spans="2:27" ht="12.75">
      <c r="B13" s="6"/>
      <c r="C13" s="6" t="s">
        <v>77</v>
      </c>
      <c r="D13" s="8" t="s">
        <v>17</v>
      </c>
      <c r="E13" s="9">
        <f>'入力'!D9</f>
        <v>1</v>
      </c>
      <c r="F13" s="6" t="s">
        <v>18</v>
      </c>
      <c r="G13" s="6"/>
      <c r="N13" s="7" t="str">
        <f>"B="&amp;P13&amp;"m"</f>
        <v>B=2.8m</v>
      </c>
      <c r="O13" s="7" t="s">
        <v>76</v>
      </c>
      <c r="P13" s="7">
        <f>E3+2*E6</f>
        <v>2.8</v>
      </c>
      <c r="U13" s="18">
        <v>0</v>
      </c>
      <c r="V13" s="18">
        <f>V12</f>
        <v>0.35</v>
      </c>
      <c r="W13" s="18"/>
      <c r="X13" s="18"/>
      <c r="Y13" s="18"/>
      <c r="Z13" s="18"/>
      <c r="AA13" s="18"/>
    </row>
    <row r="14" spans="2:27" ht="12.75">
      <c r="B14" s="6"/>
      <c r="C14" s="6" t="s">
        <v>78</v>
      </c>
      <c r="D14" s="8" t="s">
        <v>20</v>
      </c>
      <c r="E14" s="9">
        <f>'入力'!D10</f>
        <v>0.5</v>
      </c>
      <c r="F14" s="6" t="s">
        <v>21</v>
      </c>
      <c r="G14" s="6"/>
      <c r="N14" s="7" t="str">
        <f>"Hb="&amp;E13&amp;"m"</f>
        <v>Hb=1m</v>
      </c>
      <c r="U14" s="18">
        <v>0</v>
      </c>
      <c r="V14" s="18">
        <f>V4</f>
        <v>2.85</v>
      </c>
      <c r="W14" s="18"/>
      <c r="X14" s="18"/>
      <c r="Y14" s="18"/>
      <c r="Z14" s="18"/>
      <c r="AA14" s="18"/>
    </row>
    <row r="15" spans="2:27" ht="12.75">
      <c r="B15" s="6"/>
      <c r="C15" s="6" t="s">
        <v>79</v>
      </c>
      <c r="D15" s="8" t="s">
        <v>23</v>
      </c>
      <c r="E15" s="9">
        <f>'入力'!D11</f>
        <v>1.5</v>
      </c>
      <c r="F15" s="6"/>
      <c r="G15" s="6"/>
      <c r="N15" s="7" t="str">
        <f>"Bb="&amp;E14&amp;"m"</f>
        <v>Bb=0.5m</v>
      </c>
      <c r="U15" s="18">
        <f>U6+(W15-E7)*E8</f>
        <v>-0.12849999999999998</v>
      </c>
      <c r="V15" s="18"/>
      <c r="W15" s="18">
        <f>V4-V4/10</f>
        <v>2.565</v>
      </c>
      <c r="X15" s="18"/>
      <c r="Y15" s="18"/>
      <c r="Z15" s="18"/>
      <c r="AA15" s="18"/>
    </row>
    <row r="16" spans="2:27" ht="12.75">
      <c r="B16" s="6" t="s">
        <v>80</v>
      </c>
      <c r="C16" s="6"/>
      <c r="D16" s="6"/>
      <c r="E16" s="9"/>
      <c r="F16" s="6"/>
      <c r="G16" s="6"/>
      <c r="N16" s="7" t="str">
        <f>"1:"&amp;E15</f>
        <v>1:1.5</v>
      </c>
      <c r="U16" s="18">
        <f>U15-V4/2</f>
        <v>-1.5535</v>
      </c>
      <c r="V16" s="18"/>
      <c r="W16" s="18">
        <f>W15</f>
        <v>2.565</v>
      </c>
      <c r="X16" s="18"/>
      <c r="Y16" s="18"/>
      <c r="Z16" s="18"/>
      <c r="AA16" s="18"/>
    </row>
    <row r="17" spans="2:27" ht="15">
      <c r="B17" s="6"/>
      <c r="C17" s="3" t="s">
        <v>81</v>
      </c>
      <c r="D17" s="8"/>
      <c r="E17" s="9">
        <f>'入力'!D12</f>
        <v>19</v>
      </c>
      <c r="F17" s="3" t="s">
        <v>26</v>
      </c>
      <c r="G17" s="6"/>
      <c r="U17" s="18">
        <f>U10</f>
        <v>2.15</v>
      </c>
      <c r="V17" s="18"/>
      <c r="W17" s="18"/>
      <c r="X17" s="18">
        <f>V4</f>
        <v>2.85</v>
      </c>
      <c r="Y17" s="18"/>
      <c r="Z17" s="18"/>
      <c r="AA17" s="18"/>
    </row>
    <row r="18" spans="2:27" ht="12.75">
      <c r="B18" s="6"/>
      <c r="C18" s="3" t="s">
        <v>0</v>
      </c>
      <c r="D18" s="8"/>
      <c r="E18" s="9">
        <f>'入力'!D13</f>
        <v>30</v>
      </c>
      <c r="F18" s="6" t="s">
        <v>27</v>
      </c>
      <c r="G18" s="6"/>
      <c r="O18" s="7" t="str">
        <f>"γ="&amp;E17&amp;"kN/m3"</f>
        <v>γ=19kN/m3</v>
      </c>
      <c r="U18" s="18">
        <f>U17+E14</f>
        <v>2.65</v>
      </c>
      <c r="V18" s="18"/>
      <c r="W18" s="18"/>
      <c r="X18" s="18">
        <f>X17</f>
        <v>2.85</v>
      </c>
      <c r="Y18" s="18"/>
      <c r="Z18" s="18"/>
      <c r="AA18" s="18"/>
    </row>
    <row r="19" spans="2:27" ht="12.75">
      <c r="B19" s="6"/>
      <c r="C19" s="3"/>
      <c r="D19" s="6"/>
      <c r="E19" s="9"/>
      <c r="F19" s="6"/>
      <c r="G19" s="6"/>
      <c r="O19" s="7" t="str">
        <f>"φ="&amp;E18&amp;"゜"</f>
        <v>φ=30゜</v>
      </c>
      <c r="U19" s="18">
        <f>U18+E13*E15</f>
        <v>4.15</v>
      </c>
      <c r="V19" s="18"/>
      <c r="W19" s="18"/>
      <c r="X19" s="18">
        <f>X18+E13</f>
        <v>3.85</v>
      </c>
      <c r="Y19" s="18"/>
      <c r="Z19" s="18"/>
      <c r="AA19" s="18"/>
    </row>
    <row r="20" spans="2:27" ht="12.75">
      <c r="B20" s="6" t="s">
        <v>82</v>
      </c>
      <c r="C20" s="3" t="str">
        <f>データ!H5</f>
        <v>土圧の鉛直成分を考慮</v>
      </c>
      <c r="D20" s="6"/>
      <c r="E20" s="9"/>
      <c r="F20" s="6"/>
      <c r="G20" s="6"/>
      <c r="U20" s="18">
        <f>U19+V4</f>
        <v>7</v>
      </c>
      <c r="V20" s="18"/>
      <c r="W20" s="18"/>
      <c r="X20" s="18">
        <f>X19</f>
        <v>3.85</v>
      </c>
      <c r="Y20" s="18"/>
      <c r="Z20" s="18"/>
      <c r="AA20" s="18"/>
    </row>
    <row r="21" spans="2:27" ht="12.75">
      <c r="B21" s="6"/>
      <c r="C21" s="3"/>
      <c r="E21" s="10" t="s">
        <v>83</v>
      </c>
      <c r="F21" s="14" t="s">
        <v>84</v>
      </c>
      <c r="G21" s="6">
        <f>データ!D48</f>
        <v>1.25</v>
      </c>
      <c r="H21" s="6" t="s">
        <v>5</v>
      </c>
      <c r="U21" s="18">
        <f>U19</f>
        <v>4.15</v>
      </c>
      <c r="V21" s="18"/>
      <c r="W21" s="18"/>
      <c r="X21" s="18"/>
      <c r="Y21" s="18">
        <f>X20</f>
        <v>3.85</v>
      </c>
      <c r="Z21" s="18"/>
      <c r="AA21" s="18"/>
    </row>
    <row r="22" spans="2:27" ht="12.75">
      <c r="B22" s="6"/>
      <c r="C22" s="3"/>
      <c r="E22" s="10"/>
      <c r="F22" s="14"/>
      <c r="G22" s="6"/>
      <c r="H22" s="6"/>
      <c r="U22" s="18">
        <f>U21</f>
        <v>4.15</v>
      </c>
      <c r="V22" s="18"/>
      <c r="W22" s="18"/>
      <c r="X22" s="18"/>
      <c r="Y22" s="18">
        <f>Y21+E11/E17</f>
        <v>4.376315789473685</v>
      </c>
      <c r="Z22" s="18"/>
      <c r="AA22" s="18"/>
    </row>
    <row r="23" spans="2:27" ht="12.75">
      <c r="B23" s="6" t="s">
        <v>374</v>
      </c>
      <c r="C23" s="3"/>
      <c r="D23" s="14" t="s">
        <v>376</v>
      </c>
      <c r="E23" s="10">
        <f>'入力'!D15</f>
        <v>0.2</v>
      </c>
      <c r="F23" s="71" t="s">
        <v>46</v>
      </c>
      <c r="G23" s="6"/>
      <c r="H23" s="6"/>
      <c r="N23" s="7" t="str">
        <f>"hwi="&amp;E23&amp;"m"</f>
        <v>hwi=0.2m</v>
      </c>
      <c r="U23" s="18">
        <f>U20</f>
        <v>7</v>
      </c>
      <c r="V23" s="18"/>
      <c r="W23" s="18"/>
      <c r="X23" s="18"/>
      <c r="Y23" s="18">
        <f>Y22</f>
        <v>4.376315789473685</v>
      </c>
      <c r="Z23" s="18"/>
      <c r="AA23" s="18"/>
    </row>
    <row r="24" spans="2:27" ht="12.75">
      <c r="B24" s="6"/>
      <c r="C24" s="3"/>
      <c r="D24" s="6"/>
      <c r="E24" s="9"/>
      <c r="F24" s="6"/>
      <c r="G24" s="6"/>
      <c r="N24" s="89" t="str">
        <f>"hwu="&amp;G21&amp;"m"</f>
        <v>hwu=1.25m</v>
      </c>
      <c r="U24" s="18">
        <f>-E7+(Z24-E7)*E8</f>
        <v>-0.22499999999999998</v>
      </c>
      <c r="V24" s="18"/>
      <c r="W24" s="18"/>
      <c r="X24" s="18"/>
      <c r="Y24" s="18"/>
      <c r="Z24" s="18">
        <f>V4-G21</f>
        <v>1.6</v>
      </c>
      <c r="AA24" s="18"/>
    </row>
    <row r="25" spans="2:27" ht="12.75">
      <c r="B25" s="3" t="s">
        <v>85</v>
      </c>
      <c r="C25" s="6"/>
      <c r="D25" s="6"/>
      <c r="E25" s="9"/>
      <c r="F25" s="6"/>
      <c r="G25" s="6"/>
      <c r="U25" s="18">
        <f>U16</f>
        <v>-1.5535</v>
      </c>
      <c r="V25" s="18"/>
      <c r="W25" s="18"/>
      <c r="X25" s="18"/>
      <c r="Y25" s="18"/>
      <c r="Z25" s="18">
        <f>Z24</f>
        <v>1.6</v>
      </c>
      <c r="AA25" s="18"/>
    </row>
    <row r="26" spans="2:27" ht="15">
      <c r="B26" s="6"/>
      <c r="C26" s="3"/>
      <c r="D26" s="10" t="s">
        <v>86</v>
      </c>
      <c r="E26" s="11" t="s">
        <v>29</v>
      </c>
      <c r="F26" s="17">
        <f>'入力'!D18</f>
        <v>21</v>
      </c>
      <c r="G26" s="3" t="s">
        <v>30</v>
      </c>
      <c r="U26" s="18">
        <f>E3+E7-(AA26-E7)*E8</f>
        <v>2.225</v>
      </c>
      <c r="V26" s="18"/>
      <c r="W26" s="18"/>
      <c r="X26" s="18"/>
      <c r="Y26" s="18"/>
      <c r="Z26" s="18"/>
      <c r="AA26" s="18">
        <f>Z24</f>
        <v>1.6</v>
      </c>
    </row>
    <row r="27" spans="2:27" ht="12.75">
      <c r="B27" s="6"/>
      <c r="C27" s="3" t="s">
        <v>31</v>
      </c>
      <c r="D27" s="6" t="s">
        <v>32</v>
      </c>
      <c r="E27" s="9" t="str">
        <f>データ!C5</f>
        <v>SD345</v>
      </c>
      <c r="F27" s="6"/>
      <c r="G27" s="6"/>
      <c r="U27" s="18">
        <v>7</v>
      </c>
      <c r="V27" s="18"/>
      <c r="W27" s="18"/>
      <c r="X27" s="18"/>
      <c r="Y27" s="18"/>
      <c r="Z27" s="18"/>
      <c r="AA27" s="18">
        <v>1.6</v>
      </c>
    </row>
    <row r="28" spans="2:28" ht="12.75">
      <c r="B28" s="127"/>
      <c r="C28" s="127"/>
      <c r="D28" s="38" t="s">
        <v>33</v>
      </c>
      <c r="E28" s="65" t="s">
        <v>330</v>
      </c>
      <c r="F28" s="66" t="s">
        <v>331</v>
      </c>
      <c r="G28" s="6"/>
      <c r="U28" s="18">
        <f>U6</f>
        <v>-0.35</v>
      </c>
      <c r="V28" s="18"/>
      <c r="W28" s="18"/>
      <c r="X28" s="18"/>
      <c r="Y28" s="18"/>
      <c r="Z28" s="18"/>
      <c r="AA28" s="18"/>
      <c r="AB28" s="7">
        <v>0</v>
      </c>
    </row>
    <row r="29" spans="2:28" ht="12.75">
      <c r="B29" s="129" t="s">
        <v>328</v>
      </c>
      <c r="C29" s="130"/>
      <c r="D29" s="37" t="str">
        <f>データ!C23</f>
        <v>D19</v>
      </c>
      <c r="E29" s="37">
        <f>'入力'!D21</f>
        <v>125</v>
      </c>
      <c r="F29" s="67">
        <f>'入力'!$E$21</f>
        <v>25</v>
      </c>
      <c r="G29" s="6"/>
      <c r="I29" s="6"/>
      <c r="J29" s="6"/>
      <c r="K29" s="6"/>
      <c r="L29" s="6"/>
      <c r="O29" s="7" t="str">
        <f>"σck="&amp;F26&amp;"N/mm2"</f>
        <v>σck=21N/mm2</v>
      </c>
      <c r="U29" s="18">
        <f>U28</f>
        <v>-0.35</v>
      </c>
      <c r="V29" s="18"/>
      <c r="W29" s="18"/>
      <c r="X29" s="18"/>
      <c r="Y29" s="18"/>
      <c r="Z29" s="18"/>
      <c r="AA29" s="18"/>
      <c r="AB29" s="7">
        <f>-'入力'!$D$7</f>
        <v>-0.2</v>
      </c>
    </row>
    <row r="30" spans="2:28" ht="12.75">
      <c r="B30" s="127" t="s">
        <v>329</v>
      </c>
      <c r="C30" s="128"/>
      <c r="D30" s="67" t="str">
        <f>データ!C42</f>
        <v>D16</v>
      </c>
      <c r="E30" s="67">
        <f>'入力'!$D$22</f>
        <v>250</v>
      </c>
      <c r="F30" s="67">
        <f>'入力'!$E$22</f>
        <v>25</v>
      </c>
      <c r="G30" s="6"/>
      <c r="H30" s="9"/>
      <c r="I30" s="6"/>
      <c r="J30" s="6"/>
      <c r="K30" s="6"/>
      <c r="L30" s="6"/>
      <c r="P30" s="7" t="str">
        <f>D29&amp;"@"&amp;E29&amp;"mm("&amp;E27&amp;")"</f>
        <v>D19@125mm(SD345)</v>
      </c>
      <c r="U30" s="18">
        <f>U8</f>
        <v>2.35</v>
      </c>
      <c r="V30" s="18"/>
      <c r="W30" s="18"/>
      <c r="X30" s="18"/>
      <c r="Y30" s="18"/>
      <c r="Z30" s="18"/>
      <c r="AA30" s="18"/>
      <c r="AB30" s="7">
        <f>AB29</f>
        <v>-0.2</v>
      </c>
    </row>
    <row r="31" spans="2:28" ht="14.25">
      <c r="B31" s="6"/>
      <c r="C31" s="6"/>
      <c r="D31" s="6"/>
      <c r="E31" s="9"/>
      <c r="F31" s="6"/>
      <c r="G31" s="6"/>
      <c r="N31" s="7" t="str">
        <f>"w="&amp;F29&amp;"mm"</f>
        <v>w=25mm</v>
      </c>
      <c r="P31" s="7" t="str">
        <f>IF(データ!D42=0,"なし",D30&amp;"@"&amp;E30&amp;"mm("&amp;E27&amp;")")</f>
        <v>D16@250mm(SD345)</v>
      </c>
      <c r="U31" s="18">
        <f>U30</f>
        <v>2.35</v>
      </c>
      <c r="V31" s="18"/>
      <c r="W31" s="18"/>
      <c r="X31" s="18"/>
      <c r="Y31" s="18"/>
      <c r="Z31" s="18"/>
      <c r="AA31" s="18"/>
      <c r="AB31" s="7">
        <f>0</f>
        <v>0</v>
      </c>
    </row>
    <row r="32" spans="21:27" ht="14.25">
      <c r="U32" s="18"/>
      <c r="V32" s="18"/>
      <c r="W32" s="18"/>
      <c r="X32" s="18"/>
      <c r="Y32" s="18"/>
      <c r="Z32" s="18"/>
      <c r="AA32" s="18"/>
    </row>
    <row r="33" spans="21:27" ht="14.25">
      <c r="U33" s="91"/>
      <c r="V33" s="91"/>
      <c r="W33" s="91"/>
      <c r="X33" s="91"/>
      <c r="Y33" s="91"/>
      <c r="Z33" s="91"/>
      <c r="AA33" s="91"/>
    </row>
    <row r="34" spans="21:27" ht="14.25">
      <c r="U34" s="91"/>
      <c r="V34" s="91"/>
      <c r="W34" s="91"/>
      <c r="X34" s="91"/>
      <c r="Y34" s="91"/>
      <c r="Z34" s="91"/>
      <c r="AA34" s="91"/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2.75">
      <c r="B53" s="7" t="s">
        <v>87</v>
      </c>
    </row>
    <row r="54" ht="12.75">
      <c r="C54" s="7" t="s">
        <v>88</v>
      </c>
    </row>
    <row r="55" ht="12.75">
      <c r="C55" s="7" t="s">
        <v>89</v>
      </c>
    </row>
    <row r="56" ht="12.75">
      <c r="A56" s="7" t="s">
        <v>90</v>
      </c>
    </row>
    <row r="58" ht="12.75">
      <c r="A58" s="7" t="s">
        <v>91</v>
      </c>
    </row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6" spans="3:15" ht="12.75">
      <c r="C76" s="7" t="str">
        <f>"H="&amp;E4&amp;"+"&amp;E7&amp;"/2="&amp;O76&amp;"m"</f>
        <v>H=2.5+0.35/2=2.675m</v>
      </c>
      <c r="N76" s="7" t="s">
        <v>92</v>
      </c>
      <c r="O76" s="7">
        <f>E4+E7/2</f>
        <v>2.675</v>
      </c>
    </row>
    <row r="77" spans="3:15" ht="12.75">
      <c r="C77" s="7" t="str">
        <f>"B="&amp;E3&amp;"+"&amp;E5&amp;"+"&amp;E8&amp;"×"&amp;E4&amp;"="&amp;O77&amp;"m"</f>
        <v>B=2+0.15+0.1×2.5=2.4m</v>
      </c>
      <c r="N77" s="7" t="s">
        <v>93</v>
      </c>
      <c r="O77" s="7">
        <f>E3+E5+E8*E4</f>
        <v>2.4</v>
      </c>
    </row>
    <row r="80" ht="12.75">
      <c r="A80" s="7" t="s">
        <v>94</v>
      </c>
    </row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2.75">
      <c r="A113" s="7" t="s">
        <v>61</v>
      </c>
    </row>
    <row r="114" ht="12.75">
      <c r="A114" s="7" t="s">
        <v>95</v>
      </c>
    </row>
    <row r="115" spans="2:4" ht="12.75">
      <c r="B115" s="7" t="s">
        <v>96</v>
      </c>
      <c r="C115" s="14" t="s">
        <v>97</v>
      </c>
      <c r="D115" s="7" t="str">
        <f>"0.5×{("&amp;O119&amp;"+"&amp;O120&amp;")×"&amp;O118&amp;"+"&amp;O120&amp;"×"&amp;O121&amp;"}"</f>
        <v>0.5×{(0.15+0.4)×2.5+0.4×0.35}</v>
      </c>
    </row>
    <row r="116" ht="12.75">
      <c r="D116" s="7" t="str">
        <f>"="&amp;N123&amp;O123</f>
        <v>=18.559kN/m</v>
      </c>
    </row>
    <row r="117" spans="2:4" ht="12.75">
      <c r="B117" s="7" t="s">
        <v>98</v>
      </c>
      <c r="C117" s="14" t="s">
        <v>99</v>
      </c>
      <c r="D117" s="7" t="str">
        <f>E7&amp;"×24.5kN/m3="&amp;N125&amp;"kN/m2"</f>
        <v>0.35×24.5kN/m3=8.575kN/m2</v>
      </c>
    </row>
    <row r="118" spans="14:16" ht="12.75">
      <c r="N118" s="7" t="s">
        <v>285</v>
      </c>
      <c r="O118" s="7">
        <f>E4</f>
        <v>2.5</v>
      </c>
      <c r="P118" s="7" t="s">
        <v>46</v>
      </c>
    </row>
    <row r="119" spans="14:16" ht="12.75">
      <c r="N119" s="7" t="s">
        <v>378</v>
      </c>
      <c r="O119" s="7">
        <f>E5</f>
        <v>0.15</v>
      </c>
      <c r="P119" s="7" t="s">
        <v>46</v>
      </c>
    </row>
    <row r="120" spans="1:16" ht="12.75">
      <c r="A120" s="7" t="s">
        <v>100</v>
      </c>
      <c r="N120" s="7" t="s">
        <v>379</v>
      </c>
      <c r="O120" s="7">
        <f>O119+E4*E8</f>
        <v>0.4</v>
      </c>
      <c r="P120" s="7" t="s">
        <v>46</v>
      </c>
    </row>
    <row r="121" spans="14:16" ht="12.75">
      <c r="N121" s="7" t="s">
        <v>380</v>
      </c>
      <c r="O121" s="7">
        <f>E7</f>
        <v>0.35</v>
      </c>
      <c r="P121" s="7" t="s">
        <v>46</v>
      </c>
    </row>
    <row r="122" ht="12.75">
      <c r="A122" s="7" t="s">
        <v>101</v>
      </c>
    </row>
    <row r="123" spans="14:15" ht="12.75">
      <c r="N123" s="7">
        <f>ROUND(0.5*((O119+O120)*O118+O120*O121)*24.5,3)</f>
        <v>18.559</v>
      </c>
      <c r="O123" s="7" t="s">
        <v>65</v>
      </c>
    </row>
    <row r="124" ht="14.25"/>
    <row r="125" ht="14.25">
      <c r="N125" s="7">
        <f>E7*24.5</f>
        <v>8.575</v>
      </c>
    </row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9" ht="12.75">
      <c r="B139" s="7" t="s">
        <v>102</v>
      </c>
    </row>
    <row r="141" spans="1:15" ht="15">
      <c r="A141" s="20"/>
      <c r="C141" s="15" t="s">
        <v>103</v>
      </c>
      <c r="D141" s="20">
        <f>E13</f>
        <v>1</v>
      </c>
      <c r="E141" s="20" t="s">
        <v>18</v>
      </c>
      <c r="F141" s="15" t="s">
        <v>104</v>
      </c>
      <c r="G141" s="20">
        <f>E14</f>
        <v>0.5</v>
      </c>
      <c r="H141" s="20" t="s">
        <v>18</v>
      </c>
      <c r="I141" s="20"/>
      <c r="J141" s="20"/>
      <c r="K141" s="20"/>
      <c r="L141" s="20"/>
      <c r="M141" s="20"/>
      <c r="N141" s="20"/>
      <c r="O141" s="20"/>
    </row>
    <row r="142" spans="1:15" ht="12.75">
      <c r="A142" s="20"/>
      <c r="B142" s="20"/>
      <c r="C142" s="21" t="s">
        <v>105</v>
      </c>
      <c r="D142" s="20">
        <f>E15</f>
        <v>1.5</v>
      </c>
      <c r="E142" s="20"/>
      <c r="F142" s="21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28" ht="12.75">
      <c r="A143" s="20"/>
      <c r="B143" s="20"/>
      <c r="C143" s="15" t="s">
        <v>106</v>
      </c>
      <c r="D143" s="20">
        <f>E4+E7/2</f>
        <v>2.675</v>
      </c>
      <c r="E143" s="20" t="s">
        <v>18</v>
      </c>
      <c r="F143" s="15" t="s">
        <v>107</v>
      </c>
      <c r="G143" s="20">
        <f>ROUND(O143/D143,3)</f>
        <v>0.467</v>
      </c>
      <c r="H143" s="20"/>
      <c r="I143" s="20"/>
      <c r="J143" s="20"/>
      <c r="K143" s="20"/>
      <c r="L143" s="20"/>
      <c r="M143" s="20"/>
      <c r="N143" s="20" t="s">
        <v>108</v>
      </c>
      <c r="O143" s="20">
        <f>ROUND(E14+1/2*E15*E13,3)</f>
        <v>1.25</v>
      </c>
      <c r="AB143" s="20"/>
    </row>
    <row r="144" spans="20:28" ht="14.25">
      <c r="T144" s="20"/>
      <c r="AB144" s="20"/>
    </row>
    <row r="145" spans="1:28" ht="14.25">
      <c r="A145" s="20"/>
      <c r="B145" s="20"/>
      <c r="C145" s="20"/>
      <c r="D145" s="20"/>
      <c r="E145" s="20" t="str">
        <f>E14&amp;"+1/2×"&amp;E15&amp;"×"&amp;E13&amp;"="&amp;O143&amp;"m"</f>
        <v>0.5+1/2×1.5×1=1.25m</v>
      </c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T145" s="20"/>
      <c r="AB145" s="20"/>
    </row>
    <row r="146" ht="14.25">
      <c r="T146" s="20"/>
    </row>
    <row r="147" spans="1:27" s="20" customFormat="1" ht="14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T147" s="7"/>
      <c r="U147" s="7"/>
      <c r="V147" s="7"/>
      <c r="W147" s="7"/>
      <c r="X147" s="7"/>
      <c r="Y147" s="7"/>
      <c r="Z147" s="7"/>
      <c r="AA147" s="7"/>
    </row>
    <row r="148" spans="8:28" s="20" customFormat="1" ht="14.25">
      <c r="H148" s="34">
        <f>ROUND(1+G143^2-2/PI()*(1+G143^2)*ATAN(G143)-2/PI()*G143,3)</f>
        <v>0.582</v>
      </c>
      <c r="AB148" s="7"/>
    </row>
    <row r="149" spans="1:28" s="20" customFormat="1" ht="14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T149" s="7"/>
      <c r="AB149" s="7"/>
    </row>
    <row r="150" spans="21:28" ht="14.25">
      <c r="U150" s="20"/>
      <c r="V150" s="20"/>
      <c r="W150" s="20"/>
      <c r="X150" s="20"/>
      <c r="Y150" s="20"/>
      <c r="Z150" s="20"/>
      <c r="AA150" s="20"/>
      <c r="AB150" s="20"/>
    </row>
    <row r="151" spans="4:28" s="20" customFormat="1" ht="14.25">
      <c r="D151" s="20" t="str">
        <f>E17&amp;"×"&amp;E13&amp;"×"&amp;H148&amp;"="&amp;O151&amp;"kN/m2"</f>
        <v>19×1×0.582=11.06kN/m2</v>
      </c>
      <c r="N151" s="20" t="s">
        <v>109</v>
      </c>
      <c r="O151" s="20">
        <f>ROUND(E17*E13*H148,2)</f>
        <v>11.06</v>
      </c>
      <c r="U151" s="7"/>
      <c r="V151" s="7"/>
      <c r="W151" s="7"/>
      <c r="X151" s="7"/>
      <c r="Y151" s="7"/>
      <c r="Z151" s="7"/>
      <c r="AA151" s="7"/>
      <c r="AB151" s="7"/>
    </row>
    <row r="152" spans="21:27" ht="14.25">
      <c r="U152" s="20"/>
      <c r="V152" s="20"/>
      <c r="W152" s="20"/>
      <c r="X152" s="20"/>
      <c r="Y152" s="20"/>
      <c r="Z152" s="20"/>
      <c r="AA152" s="20"/>
    </row>
    <row r="153" spans="1:28" ht="12.75">
      <c r="A153" s="20"/>
      <c r="B153" s="20" t="s">
        <v>110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AB153" s="20"/>
    </row>
    <row r="154" spans="3:28" s="20" customFormat="1" ht="14.25">
      <c r="C154" s="21"/>
      <c r="E154" s="20" t="str">
        <f>E14&amp;"+"&amp;E15&amp;"×"&amp;E13&amp;"="&amp;O154&amp;"m"</f>
        <v>0.5+1.5×1=2m</v>
      </c>
      <c r="N154" s="20" t="s">
        <v>111</v>
      </c>
      <c r="O154" s="20">
        <f>ROUND(E14+E15*E13,2)</f>
        <v>2</v>
      </c>
      <c r="U154" s="7"/>
      <c r="V154" s="7"/>
      <c r="W154" s="7"/>
      <c r="X154" s="7"/>
      <c r="Y154" s="7"/>
      <c r="Z154" s="7"/>
      <c r="AA154" s="7"/>
      <c r="AB154" s="7"/>
    </row>
    <row r="155" spans="21:27" ht="14.25">
      <c r="U155" s="20"/>
      <c r="V155" s="20"/>
      <c r="W155" s="20"/>
      <c r="X155" s="20"/>
      <c r="Y155" s="20"/>
      <c r="Z155" s="20"/>
      <c r="AA155" s="20"/>
    </row>
    <row r="156" spans="1:28" ht="14.25">
      <c r="A156" s="20"/>
      <c r="B156" s="20"/>
      <c r="C156" s="20"/>
      <c r="D156" s="20" t="str">
        <f>O154&amp;"m"</f>
        <v>2m</v>
      </c>
      <c r="E156" s="15" t="s">
        <v>112</v>
      </c>
      <c r="F156" s="20">
        <f>D143+D141</f>
        <v>3.675</v>
      </c>
      <c r="G156" s="20" t="s">
        <v>113</v>
      </c>
      <c r="H156" s="20" t="str">
        <f>IF(F156&gt;O154,"&gt;","&lt;")</f>
        <v>&gt;</v>
      </c>
      <c r="I156" s="16" t="s">
        <v>114</v>
      </c>
      <c r="J156" s="16"/>
      <c r="K156" s="16"/>
      <c r="L156" s="16"/>
      <c r="M156" s="16"/>
      <c r="N156" s="20"/>
      <c r="O156" s="20"/>
      <c r="AB156" s="20"/>
    </row>
    <row r="157" spans="1:27" s="20" customFormat="1" ht="14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U157" s="7"/>
      <c r="V157" s="7"/>
      <c r="W157" s="7"/>
      <c r="X157" s="7"/>
      <c r="Y157" s="7"/>
      <c r="Z157" s="7"/>
      <c r="AA157" s="7"/>
    </row>
    <row r="158" spans="1:27" ht="12.75">
      <c r="A158" s="20"/>
      <c r="B158" s="20"/>
      <c r="C158" s="21" t="s">
        <v>115</v>
      </c>
      <c r="D158" s="20">
        <f>ROUND(O154/D143,3)</f>
        <v>0.748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T158" s="20"/>
      <c r="U158" s="20"/>
      <c r="V158" s="20"/>
      <c r="W158" s="20"/>
      <c r="X158" s="20"/>
      <c r="Y158" s="20"/>
      <c r="Z158" s="20"/>
      <c r="AA158" s="20"/>
    </row>
    <row r="159" ht="12.75">
      <c r="AB159" s="20"/>
    </row>
    <row r="160" spans="1:28" s="20" customFormat="1" ht="14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U160" s="7"/>
      <c r="V160" s="7"/>
      <c r="W160" s="7"/>
      <c r="X160" s="7"/>
      <c r="Y160" s="7"/>
      <c r="Z160" s="7"/>
      <c r="AA160" s="7"/>
      <c r="AB160" s="7"/>
    </row>
    <row r="161" spans="8:20" s="20" customFormat="1" ht="14.25">
      <c r="H161" s="20">
        <f>ROUND(IF(O154&gt;=F156,0,1+D158^2-2/PI()*(1+D158^2)*ATAN(D158)-2/PI()*D158),3)</f>
        <v>0.446</v>
      </c>
      <c r="T161" s="7"/>
    </row>
    <row r="162" spans="20:27" ht="14.25">
      <c r="T162" s="20"/>
      <c r="U162" s="20"/>
      <c r="V162" s="20"/>
      <c r="W162" s="20"/>
      <c r="X162" s="20"/>
      <c r="Y162" s="20"/>
      <c r="Z162" s="20"/>
      <c r="AA162" s="20"/>
    </row>
    <row r="163" spans="1:28" s="20" customFormat="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4.25">
      <c r="A164" s="20"/>
      <c r="B164" s="20"/>
      <c r="C164" s="20"/>
      <c r="D164" s="20"/>
      <c r="E164" s="20" t="str">
        <f>E11&amp;"×"&amp;H161&amp;"="&amp;O164&amp;"kN/m2"</f>
        <v>10×0.446=4.46kN/m2</v>
      </c>
      <c r="F164" s="20"/>
      <c r="G164" s="20"/>
      <c r="H164" s="20"/>
      <c r="I164" s="20"/>
      <c r="J164" s="20"/>
      <c r="K164" s="20"/>
      <c r="L164" s="20"/>
      <c r="M164" s="20"/>
      <c r="N164" s="20" t="s">
        <v>116</v>
      </c>
      <c r="O164" s="20">
        <f>ROUND(E11*H161,3)</f>
        <v>4.46</v>
      </c>
      <c r="U164" s="20"/>
      <c r="V164" s="20"/>
      <c r="W164" s="20"/>
      <c r="X164" s="20"/>
      <c r="Y164" s="20"/>
      <c r="Z164" s="20"/>
      <c r="AA164" s="20"/>
      <c r="AB164" s="20"/>
    </row>
    <row r="165" spans="1:28" s="20" customFormat="1" ht="14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U165" s="7"/>
      <c r="V165" s="7"/>
      <c r="W165" s="7"/>
      <c r="X165" s="7"/>
      <c r="Y165" s="7"/>
      <c r="Z165" s="7"/>
      <c r="AA165" s="7"/>
      <c r="AB165" s="7"/>
    </row>
    <row r="166" spans="21:27" ht="12.75">
      <c r="U166" s="20"/>
      <c r="V166" s="20"/>
      <c r="W166" s="20"/>
      <c r="X166" s="20"/>
      <c r="Y166" s="20"/>
      <c r="Z166" s="20"/>
      <c r="AA166" s="20"/>
    </row>
    <row r="167" spans="1:28" ht="12.75">
      <c r="A167" s="20" t="s">
        <v>117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AB167" s="20"/>
    </row>
    <row r="168" spans="1:28" s="20" customFormat="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U168" s="7"/>
      <c r="V168" s="7"/>
      <c r="W168" s="7"/>
      <c r="X168" s="7"/>
      <c r="Y168" s="7"/>
      <c r="Z168" s="7"/>
      <c r="AA168" s="7"/>
      <c r="AB168" s="7"/>
    </row>
    <row r="169" spans="1:27" ht="12.75">
      <c r="A169" s="20"/>
      <c r="B169" s="20" t="s">
        <v>59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U169" s="20"/>
      <c r="V169" s="20"/>
      <c r="W169" s="20"/>
      <c r="X169" s="20"/>
      <c r="Y169" s="20"/>
      <c r="Z169" s="20"/>
      <c r="AA169" s="20"/>
    </row>
    <row r="170" ht="12.75">
      <c r="AB170" s="20"/>
    </row>
    <row r="171" spans="2:28" s="20" customFormat="1" ht="12.75">
      <c r="B171" s="20" t="s">
        <v>118</v>
      </c>
      <c r="U171" s="7"/>
      <c r="V171" s="7"/>
      <c r="W171" s="7"/>
      <c r="X171" s="7"/>
      <c r="Y171" s="7"/>
      <c r="Z171" s="7"/>
      <c r="AA171" s="7"/>
      <c r="AB171" s="7"/>
    </row>
    <row r="172" spans="1:28" ht="12.75">
      <c r="A172" s="20"/>
      <c r="B172" s="20"/>
      <c r="C172" s="20"/>
      <c r="D172" s="21" t="s">
        <v>50</v>
      </c>
      <c r="E172" s="20">
        <f>'入力'!D13</f>
        <v>30</v>
      </c>
      <c r="F172" s="20" t="s">
        <v>51</v>
      </c>
      <c r="G172" s="20">
        <f>ROUND(E172*PI()/180,4)</f>
        <v>0.5236</v>
      </c>
      <c r="H172" s="20" t="s">
        <v>119</v>
      </c>
      <c r="I172" s="20"/>
      <c r="J172" s="20"/>
      <c r="K172" s="20"/>
      <c r="L172" s="20"/>
      <c r="M172" s="20"/>
      <c r="N172" s="20"/>
      <c r="O172" s="20"/>
      <c r="U172" s="20"/>
      <c r="V172" s="20"/>
      <c r="W172" s="20"/>
      <c r="X172" s="20"/>
      <c r="Y172" s="20"/>
      <c r="Z172" s="20"/>
      <c r="AA172" s="20"/>
      <c r="AB172" s="20"/>
    </row>
    <row r="173" spans="1:20" ht="12.75">
      <c r="A173" s="20"/>
      <c r="B173" s="20"/>
      <c r="C173" s="20"/>
      <c r="D173" s="21" t="s">
        <v>120</v>
      </c>
      <c r="E173" s="20">
        <f>E172*2/3</f>
        <v>20</v>
      </c>
      <c r="F173" s="20" t="s">
        <v>51</v>
      </c>
      <c r="G173" s="20">
        <f>ROUND(E173*PI()/180,4)</f>
        <v>0.3491</v>
      </c>
      <c r="H173" s="20" t="s">
        <v>121</v>
      </c>
      <c r="I173" s="20"/>
      <c r="J173" s="20"/>
      <c r="K173" s="20"/>
      <c r="L173" s="20"/>
      <c r="M173" s="20"/>
      <c r="N173" s="20"/>
      <c r="O173" s="20"/>
      <c r="T173" s="20"/>
    </row>
    <row r="174" spans="4:27" s="20" customFormat="1" ht="12.75">
      <c r="D174" s="21" t="s">
        <v>122</v>
      </c>
      <c r="E174" s="20">
        <v>0</v>
      </c>
      <c r="F174" s="20" t="s">
        <v>123</v>
      </c>
      <c r="T174" s="7"/>
      <c r="U174" s="7"/>
      <c r="V174" s="7"/>
      <c r="W174" s="7"/>
      <c r="X174" s="7"/>
      <c r="Y174" s="7"/>
      <c r="Z174" s="7"/>
      <c r="AA174" s="7"/>
    </row>
    <row r="175" spans="1:28" ht="15">
      <c r="A175" s="20"/>
      <c r="B175" s="20"/>
      <c r="C175" s="20"/>
      <c r="D175" s="21" t="s">
        <v>124</v>
      </c>
      <c r="E175" s="20" t="s">
        <v>125</v>
      </c>
      <c r="F175" s="20" t="str">
        <f>"tan-1("&amp;'入力'!D6&amp;")="&amp;O175&amp;"rad"</f>
        <v>tan-1(0.1)=0.0997rad</v>
      </c>
      <c r="G175" s="20"/>
      <c r="H175" s="20"/>
      <c r="I175" s="20"/>
      <c r="J175" s="20"/>
      <c r="K175" s="20"/>
      <c r="L175" s="20"/>
      <c r="M175" s="20"/>
      <c r="N175" s="20" t="s">
        <v>126</v>
      </c>
      <c r="O175" s="20">
        <f>ROUND(ATAN('入力'!D6),4)</f>
        <v>0.0997</v>
      </c>
      <c r="T175" s="20"/>
      <c r="U175" s="20"/>
      <c r="V175" s="20"/>
      <c r="W175" s="20"/>
      <c r="X175" s="20"/>
      <c r="Y175" s="20"/>
      <c r="Z175" s="20"/>
      <c r="AA175" s="20"/>
      <c r="AB175" s="20"/>
    </row>
    <row r="176" spans="2:27" s="20" customFormat="1" ht="12.75">
      <c r="B176" s="20" t="s">
        <v>127</v>
      </c>
      <c r="U176" s="7"/>
      <c r="V176" s="7"/>
      <c r="W176" s="7"/>
      <c r="X176" s="7"/>
      <c r="Y176" s="7"/>
      <c r="Z176" s="7"/>
      <c r="AA176" s="7"/>
    </row>
    <row r="177" spans="20:28" ht="12.75">
      <c r="T177" s="20"/>
      <c r="U177" s="20"/>
      <c r="V177" s="20"/>
      <c r="W177" s="20"/>
      <c r="X177" s="20"/>
      <c r="Y177" s="20"/>
      <c r="Z177" s="20"/>
      <c r="AA177" s="20"/>
      <c r="AB177" s="20"/>
    </row>
    <row r="178" spans="1:27" s="20" customFormat="1" ht="14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U178" s="7"/>
      <c r="V178" s="7"/>
      <c r="W178" s="7"/>
      <c r="X178" s="7"/>
      <c r="Y178" s="7"/>
      <c r="Z178" s="7"/>
      <c r="AA178" s="7"/>
    </row>
    <row r="179" s="20" customFormat="1" ht="14.25">
      <c r="H179" s="20">
        <f>ROUND(COS(G172-O175)^2/(COS(O175)^2*COS(O175+G173)*(1+(SIN(G172+G173)*SIN(G172)/COS(O175+G173)/COS(O175))^0.5)^2),3)</f>
        <v>0.341</v>
      </c>
    </row>
    <row r="180" spans="1:28" s="20" customFormat="1" ht="14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AB180" s="7"/>
    </row>
    <row r="181" spans="1:28" s="20" customFormat="1" ht="14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T181" s="7"/>
      <c r="AB181" s="7"/>
    </row>
    <row r="182" spans="1:20" s="20" customFormat="1" ht="14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20" t="s">
        <v>121</v>
      </c>
      <c r="T182" s="7"/>
    </row>
    <row r="183" spans="1:28" s="20" customFormat="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AB183" s="7"/>
    </row>
    <row r="184" spans="1:27" ht="12.75">
      <c r="A184" s="20" t="s">
        <v>128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U184" s="20"/>
      <c r="V184" s="20"/>
      <c r="W184" s="20"/>
      <c r="X184" s="20"/>
      <c r="Y184" s="20"/>
      <c r="Z184" s="20"/>
      <c r="AA184" s="20"/>
    </row>
    <row r="186" spans="2:28" s="20" customFormat="1" ht="12.75">
      <c r="B186" s="20" t="s">
        <v>129</v>
      </c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2.75">
      <c r="A187" s="20"/>
      <c r="B187" s="20"/>
      <c r="C187" s="20"/>
      <c r="D187" s="21" t="s">
        <v>130</v>
      </c>
      <c r="E187" s="20" t="str">
        <f>"Ho+tf/2="&amp;E4&amp;"+"&amp;E7&amp;"/2="&amp;O187&amp;"m"</f>
        <v>Ho+tf/2=2.5+0.35/2=2.675m</v>
      </c>
      <c r="F187" s="20"/>
      <c r="G187" s="20"/>
      <c r="H187" s="20"/>
      <c r="I187" s="20"/>
      <c r="J187" s="20"/>
      <c r="K187" s="20"/>
      <c r="L187" s="20"/>
      <c r="M187" s="20"/>
      <c r="N187" s="20" t="s">
        <v>131</v>
      </c>
      <c r="O187" s="20">
        <f>E4+E7/2</f>
        <v>2.675</v>
      </c>
      <c r="U187" s="20"/>
      <c r="V187" s="20"/>
      <c r="W187" s="20"/>
      <c r="X187" s="20"/>
      <c r="Y187" s="20"/>
      <c r="Z187" s="20"/>
      <c r="AA187" s="20"/>
      <c r="AB187" s="20"/>
    </row>
    <row r="188" spans="1:20" ht="12.75">
      <c r="A188" s="20"/>
      <c r="B188" s="20"/>
      <c r="C188" s="20"/>
      <c r="D188" s="21" t="s">
        <v>48</v>
      </c>
      <c r="E188" s="20">
        <f>$E$17</f>
        <v>19</v>
      </c>
      <c r="F188" s="20" t="s">
        <v>49</v>
      </c>
      <c r="G188" s="20" t="s">
        <v>132</v>
      </c>
      <c r="H188" s="20"/>
      <c r="I188" s="20"/>
      <c r="J188" s="20"/>
      <c r="K188" s="20"/>
      <c r="L188" s="20"/>
      <c r="M188" s="20"/>
      <c r="N188" s="20"/>
      <c r="O188" s="20"/>
      <c r="T188" s="20"/>
    </row>
    <row r="189" spans="1:28" ht="12.75">
      <c r="A189" s="20"/>
      <c r="B189" s="20"/>
      <c r="C189" s="20"/>
      <c r="D189" s="21" t="s">
        <v>133</v>
      </c>
      <c r="E189" s="20">
        <f>E188-9</f>
        <v>10</v>
      </c>
      <c r="F189" s="20" t="s">
        <v>49</v>
      </c>
      <c r="G189" s="20" t="s">
        <v>134</v>
      </c>
      <c r="H189" s="20"/>
      <c r="I189" s="20"/>
      <c r="J189" s="20"/>
      <c r="K189" s="20"/>
      <c r="L189" s="20"/>
      <c r="M189" s="20"/>
      <c r="N189" s="20"/>
      <c r="O189" s="20"/>
      <c r="AB189" s="20"/>
    </row>
    <row r="190" spans="1:28" ht="12.75">
      <c r="A190" s="20"/>
      <c r="B190" s="20"/>
      <c r="C190" s="20" t="s">
        <v>135</v>
      </c>
      <c r="D190" s="20" t="s">
        <v>136</v>
      </c>
      <c r="E190" s="20">
        <f>G21</f>
        <v>1.25</v>
      </c>
      <c r="F190" s="20" t="s">
        <v>5</v>
      </c>
      <c r="G190" s="20" t="s">
        <v>137</v>
      </c>
      <c r="H190" s="20">
        <f>O187-E190</f>
        <v>1.4249999999999998</v>
      </c>
      <c r="I190" s="20" t="s">
        <v>5</v>
      </c>
      <c r="J190" s="20"/>
      <c r="K190" s="20"/>
      <c r="L190" s="20"/>
      <c r="M190" s="20"/>
      <c r="N190" s="20"/>
      <c r="O190" s="20"/>
      <c r="T190" s="20"/>
      <c r="AB190" s="20"/>
    </row>
    <row r="191" spans="3:27" s="20" customFormat="1" ht="12.75">
      <c r="C191" s="20" t="s">
        <v>138</v>
      </c>
      <c r="U191" s="7"/>
      <c r="V191" s="7"/>
      <c r="W191" s="7"/>
      <c r="X191" s="7"/>
      <c r="Y191" s="7"/>
      <c r="Z191" s="7"/>
      <c r="AA191" s="7"/>
    </row>
    <row r="192" spans="1:28" ht="14.25">
      <c r="A192" s="20"/>
      <c r="B192" s="20"/>
      <c r="C192" s="20"/>
      <c r="D192" s="20"/>
      <c r="E192" s="20" t="str">
        <f>O151&amp;"+"&amp;O164&amp;"="&amp;O193&amp;"kN/m2"</f>
        <v>11.06+4.46=15.52kN/m2</v>
      </c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T192" s="20"/>
      <c r="U192" s="20"/>
      <c r="V192" s="20"/>
      <c r="W192" s="20"/>
      <c r="X192" s="20"/>
      <c r="Y192" s="20"/>
      <c r="Z192" s="20"/>
      <c r="AA192" s="20"/>
      <c r="AB192" s="20"/>
    </row>
    <row r="193" spans="14:27" s="20" customFormat="1" ht="14.25">
      <c r="N193" s="20" t="s">
        <v>139</v>
      </c>
      <c r="O193" s="20">
        <f>ROUND(O151+O164,3)</f>
        <v>15.52</v>
      </c>
      <c r="U193" s="7"/>
      <c r="V193" s="7"/>
      <c r="W193" s="7"/>
      <c r="X193" s="7"/>
      <c r="Y193" s="7"/>
      <c r="Z193" s="7"/>
      <c r="AA193" s="7"/>
    </row>
    <row r="194" s="20" customFormat="1" ht="12.75">
      <c r="B194" s="20" t="s">
        <v>140</v>
      </c>
    </row>
    <row r="195" spans="1:15" s="20" customFormat="1" ht="14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3:15" s="20" customFormat="1" ht="14.25">
      <c r="C196" s="20" t="s">
        <v>141</v>
      </c>
      <c r="F196" s="20" t="str">
        <f>O193&amp;"×"&amp;$H$179&amp;"="&amp;O196&amp;"kN/m2"</f>
        <v>15.52×0.341=5.292kN/m2</v>
      </c>
      <c r="N196" s="20" t="s">
        <v>142</v>
      </c>
      <c r="O196" s="20">
        <f>ROUND(O193*H179,3)</f>
        <v>5.292</v>
      </c>
    </row>
    <row r="197" spans="1:28" s="20" customFormat="1" ht="14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AB197" s="7"/>
    </row>
    <row r="198" spans="3:20" s="20" customFormat="1" ht="14.25">
      <c r="C198" s="20" t="s">
        <v>143</v>
      </c>
      <c r="F198" s="20" t="str">
        <f>O196&amp;"+"&amp;E188&amp;"×"&amp;E190&amp;"×"&amp;$H$179&amp;"="&amp;O198&amp;"kN/m2"</f>
        <v>5.292+19×1.25×0.341=13.391kN/m2</v>
      </c>
      <c r="N198" s="20" t="s">
        <v>144</v>
      </c>
      <c r="O198" s="20">
        <f>ROUND(O196+E188*E190*H179,3)</f>
        <v>13.391</v>
      </c>
      <c r="T198" s="7"/>
    </row>
    <row r="199" spans="1:28" s="20" customFormat="1" ht="14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AB199" s="7"/>
    </row>
    <row r="200" spans="3:20" s="20" customFormat="1" ht="14.25">
      <c r="C200" s="20" t="s">
        <v>145</v>
      </c>
      <c r="F200" s="20" t="str">
        <f>O198&amp;"+"&amp;E189&amp;"×"&amp;H190&amp;"×"&amp;$H$179&amp;"="&amp;O200&amp;"kN/m2"</f>
        <v>13.391+10×1.425×0.341=18.25kN/m2</v>
      </c>
      <c r="N200" s="20" t="s">
        <v>146</v>
      </c>
      <c r="O200" s="20">
        <f>ROUND(O198+E189*H190*H179,3)</f>
        <v>18.25</v>
      </c>
      <c r="T200" s="7"/>
    </row>
    <row r="201" spans="20:27" ht="14.25">
      <c r="T201" s="20"/>
      <c r="U201" s="20"/>
      <c r="V201" s="20"/>
      <c r="W201" s="20"/>
      <c r="X201" s="20"/>
      <c r="Y201" s="20"/>
      <c r="Z201" s="20"/>
      <c r="AA201" s="20"/>
    </row>
    <row r="202" spans="1:27" s="20" customFormat="1" ht="14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T202" s="7"/>
      <c r="U202" s="7"/>
      <c r="V202" s="7"/>
      <c r="W202" s="7"/>
      <c r="X202" s="7"/>
      <c r="Y202" s="7"/>
      <c r="Z202" s="7"/>
      <c r="AA202" s="7"/>
    </row>
    <row r="203" spans="20:27" ht="14.25">
      <c r="T203" s="20"/>
      <c r="U203" s="20"/>
      <c r="V203" s="20"/>
      <c r="W203" s="20"/>
      <c r="X203" s="20"/>
      <c r="Y203" s="20"/>
      <c r="Z203" s="20"/>
      <c r="AA203" s="20"/>
    </row>
    <row r="204" spans="1:28" s="20" customFormat="1" ht="14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21:27" ht="14.25">
      <c r="U205" s="20"/>
      <c r="V205" s="20"/>
      <c r="W205" s="20"/>
      <c r="X205" s="20"/>
      <c r="Y205" s="20"/>
      <c r="Z205" s="20"/>
      <c r="AA205" s="20"/>
    </row>
    <row r="206" spans="1:28" s="20" customFormat="1" ht="14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21:27" ht="14.25">
      <c r="U207" s="20"/>
      <c r="V207" s="20"/>
      <c r="W207" s="20"/>
      <c r="X207" s="20"/>
      <c r="Y207" s="20"/>
      <c r="Z207" s="20"/>
      <c r="AA207" s="20"/>
    </row>
    <row r="208" ht="14.25"/>
    <row r="209" ht="14.25"/>
    <row r="210" ht="14.25"/>
    <row r="211" ht="14.25"/>
    <row r="212" ht="14.25"/>
    <row r="213" ht="14.25"/>
    <row r="214" ht="14.25"/>
    <row r="215" ht="14.25"/>
    <row r="216" spans="1:15" ht="12.75">
      <c r="A216" s="20"/>
      <c r="B216" s="20" t="s">
        <v>147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ht="15">
      <c r="A217" s="20"/>
      <c r="B217" s="20"/>
      <c r="C217" s="20" t="s">
        <v>148</v>
      </c>
      <c r="D217" s="20"/>
      <c r="E217" s="20" t="str">
        <f>O196&amp;"×cos("&amp;$O$175&amp;"+"&amp;$G$173&amp;")="&amp;O217&amp;"kN/m2"</f>
        <v>5.292×cos(0.0997+0.3491)=4.768kN/m2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>
        <f>ROUND(O196*COS($O$175+$G$173),3)</f>
        <v>4.768</v>
      </c>
    </row>
    <row r="218" ht="12.75">
      <c r="AB218" s="20"/>
    </row>
    <row r="219" spans="1:28" ht="15">
      <c r="A219" s="20"/>
      <c r="B219" s="20"/>
      <c r="C219" s="20" t="s">
        <v>149</v>
      </c>
      <c r="D219" s="20"/>
      <c r="E219" s="20" t="str">
        <f>O198&amp;"×cos("&amp;$O$175&amp;"+"&amp;$G$173&amp;")="&amp;O219&amp;"kN/m2"</f>
        <v>13.391×cos(0.0997+0.3491)=12.065kN/m2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>
        <f>ROUND(O198*COS($O$175+$G$173),3)</f>
        <v>12.065</v>
      </c>
      <c r="T219" s="20"/>
      <c r="AB219" s="20"/>
    </row>
    <row r="220" ht="12.75">
      <c r="T220" s="20"/>
    </row>
    <row r="221" spans="1:28" ht="15">
      <c r="A221" s="20"/>
      <c r="B221" s="20"/>
      <c r="C221" s="20" t="s">
        <v>150</v>
      </c>
      <c r="D221" s="20"/>
      <c r="E221" s="20" t="str">
        <f>O200&amp;"×cos("&amp;$O$175&amp;"+"&amp;$G$173&amp;")="&amp;O221&amp;"kN/m2"</f>
        <v>18.25×cos(0.0997+0.3491)=16.443kN/m2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>
        <f>ROUND(O200*COS($O$175+$G$173),3)</f>
        <v>16.443</v>
      </c>
      <c r="AB221" s="20"/>
    </row>
    <row r="222" spans="1:28" s="20" customFormat="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U222" s="7"/>
      <c r="V222" s="7"/>
      <c r="W222" s="7"/>
      <c r="X222" s="7"/>
      <c r="Y222" s="7"/>
      <c r="Z222" s="7"/>
      <c r="AA222" s="7"/>
      <c r="AB222" s="7"/>
    </row>
    <row r="223" spans="2:20" s="20" customFormat="1" ht="12.75">
      <c r="B223" s="20" t="s">
        <v>151</v>
      </c>
      <c r="C223" s="20" t="str">
        <f>"PA=1/2×(("&amp;O196&amp;"+"&amp;O198&amp;")×"&amp;E190&amp;"+("&amp;O198&amp;"+"&amp;O200&amp;")×"&amp;H190&amp;")="&amp;O223&amp;"kN/m"</f>
        <v>PA=1/2×((5.292+13.391)×1.25+(13.391+18.25)×1.425)=34.221kN/m</v>
      </c>
      <c r="O223" s="20">
        <f>ROUND(1/2*((O196+O198)*$E$190+(O198+O200)*$H$190),3)</f>
        <v>34.221</v>
      </c>
      <c r="T223" s="7"/>
    </row>
    <row r="224" spans="20:27" ht="12.75">
      <c r="T224" s="20"/>
      <c r="U224" s="20"/>
      <c r="V224" s="20"/>
      <c r="W224" s="20"/>
      <c r="X224" s="20"/>
      <c r="Y224" s="20"/>
      <c r="Z224" s="20"/>
      <c r="AA224" s="20"/>
    </row>
    <row r="225" spans="2:27" s="20" customFormat="1" ht="12.75">
      <c r="B225" s="20" t="s">
        <v>152</v>
      </c>
      <c r="C225" s="20" t="str">
        <f>"PAH=PA×cos(α+δ)="&amp;$O$223&amp;"×cos("&amp;O$175&amp;"+"&amp;G$173&amp;")="&amp;O225&amp;"kN/m"</f>
        <v>PAH=PA×cos(α+δ)=34.221×cos(0.0997+0.3491)=30.832kN/m</v>
      </c>
      <c r="O225" s="20">
        <f>ROUND(O223*COS($O$175+$G$173),3)</f>
        <v>30.832</v>
      </c>
      <c r="T225" s="7"/>
      <c r="U225" s="7"/>
      <c r="V225" s="7"/>
      <c r="W225" s="7"/>
      <c r="X225" s="7"/>
      <c r="Y225" s="7"/>
      <c r="Z225" s="7"/>
      <c r="AA225" s="7"/>
    </row>
    <row r="226" spans="20:27" ht="12.75">
      <c r="T226" s="20"/>
      <c r="U226" s="20"/>
      <c r="V226" s="20"/>
      <c r="W226" s="20"/>
      <c r="X226" s="20"/>
      <c r="Y226" s="20"/>
      <c r="Z226" s="20"/>
      <c r="AA226" s="20"/>
    </row>
    <row r="227" spans="2:27" s="20" customFormat="1" ht="12.75">
      <c r="B227" s="20" t="s">
        <v>153</v>
      </c>
      <c r="C227" s="20" t="str">
        <f>"PAV=PA×sin(α+δ)="&amp;$O$223&amp;"×sin("&amp;O$175&amp;"+"&amp;G$173&amp;")="&amp;O227&amp;"kN/m"</f>
        <v>PAV=PA×sin(α+δ)=34.221×sin(0.0997+0.3491)=14.848kN/m</v>
      </c>
      <c r="O227" s="20">
        <f>ROUND(O223*SIN($O$175+$G$173),3)</f>
        <v>14.848</v>
      </c>
      <c r="T227" s="7"/>
      <c r="U227" s="7"/>
      <c r="V227" s="7"/>
      <c r="W227" s="7"/>
      <c r="X227" s="7"/>
      <c r="Y227" s="7"/>
      <c r="Z227" s="7"/>
      <c r="AA227" s="7"/>
    </row>
    <row r="228" spans="20:27" ht="12.75">
      <c r="T228" s="20"/>
      <c r="U228" s="20"/>
      <c r="V228" s="20"/>
      <c r="W228" s="20"/>
      <c r="X228" s="20"/>
      <c r="Y228" s="20"/>
      <c r="Z228" s="20"/>
      <c r="AA228" s="20"/>
    </row>
    <row r="229" spans="1:27" s="20" customFormat="1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T229" s="7"/>
      <c r="U229" s="7"/>
      <c r="V229" s="7"/>
      <c r="W229" s="7"/>
      <c r="X229" s="7"/>
      <c r="Y229" s="7"/>
      <c r="Z229" s="7"/>
      <c r="AA229" s="7"/>
    </row>
    <row r="230" spans="1:27" ht="12.75">
      <c r="A230" s="20" t="s">
        <v>154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T230" s="20"/>
      <c r="U230" s="20"/>
      <c r="V230" s="20"/>
      <c r="W230" s="20"/>
      <c r="X230" s="20"/>
      <c r="Y230" s="20"/>
      <c r="Z230" s="20"/>
      <c r="AA230" s="20"/>
    </row>
    <row r="231" spans="1:28" s="20" customFormat="1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2.75">
      <c r="A232" s="20"/>
      <c r="B232" s="20" t="s">
        <v>129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U232" s="20"/>
      <c r="V232" s="20"/>
      <c r="W232" s="20"/>
      <c r="X232" s="20"/>
      <c r="Y232" s="20"/>
      <c r="Z232" s="20"/>
      <c r="AA232" s="20"/>
      <c r="AB232" s="20"/>
    </row>
    <row r="233" spans="4:28" s="20" customFormat="1" ht="12.75">
      <c r="D233" s="21" t="s">
        <v>130</v>
      </c>
      <c r="E233" s="20" t="str">
        <f>"Ho+tf/2="&amp;E4&amp;"+"&amp;E7&amp;"/2="&amp;O233&amp;"m"</f>
        <v>Ho+tf/2=2.5+0.35/2=2.675m</v>
      </c>
      <c r="N233" s="20" t="s">
        <v>131</v>
      </c>
      <c r="O233" s="20">
        <f>$O$76</f>
        <v>2.675</v>
      </c>
      <c r="U233" s="7"/>
      <c r="V233" s="7"/>
      <c r="W233" s="7"/>
      <c r="X233" s="7"/>
      <c r="Y233" s="7"/>
      <c r="Z233" s="7"/>
      <c r="AA233" s="7"/>
      <c r="AB233" s="7"/>
    </row>
    <row r="234" spans="1:28" ht="12.75">
      <c r="A234" s="20"/>
      <c r="B234" s="20"/>
      <c r="C234" s="20"/>
      <c r="D234" s="21" t="s">
        <v>48</v>
      </c>
      <c r="E234" s="20">
        <f>$E$17</f>
        <v>19</v>
      </c>
      <c r="F234" s="20" t="s">
        <v>49</v>
      </c>
      <c r="G234" s="20" t="s">
        <v>132</v>
      </c>
      <c r="H234" s="20"/>
      <c r="I234" s="20"/>
      <c r="J234" s="20"/>
      <c r="K234" s="20"/>
      <c r="L234" s="20"/>
      <c r="M234" s="20"/>
      <c r="N234" s="20"/>
      <c r="O234" s="20"/>
      <c r="U234" s="20"/>
      <c r="V234" s="20"/>
      <c r="W234" s="20"/>
      <c r="X234" s="20"/>
      <c r="Y234" s="20"/>
      <c r="Z234" s="20"/>
      <c r="AA234" s="20"/>
      <c r="AB234" s="20"/>
    </row>
    <row r="235" spans="1:28" ht="12.75">
      <c r="A235" s="20"/>
      <c r="B235" s="20"/>
      <c r="C235" s="20"/>
      <c r="D235" s="21" t="s">
        <v>133</v>
      </c>
      <c r="E235" s="20">
        <f>E234-9</f>
        <v>10</v>
      </c>
      <c r="F235" s="20" t="s">
        <v>49</v>
      </c>
      <c r="G235" s="20" t="s">
        <v>134</v>
      </c>
      <c r="H235" s="20"/>
      <c r="I235" s="20"/>
      <c r="J235" s="20"/>
      <c r="K235" s="20"/>
      <c r="L235" s="20"/>
      <c r="M235" s="20"/>
      <c r="N235" s="20"/>
      <c r="O235" s="20"/>
      <c r="T235" s="20"/>
      <c r="AB235" s="20"/>
    </row>
    <row r="236" spans="3:27" s="20" customFormat="1" ht="12.75">
      <c r="C236" s="20" t="s">
        <v>135</v>
      </c>
      <c r="D236" s="20" t="s">
        <v>136</v>
      </c>
      <c r="E236" s="20">
        <f>O233</f>
        <v>2.675</v>
      </c>
      <c r="F236" s="20" t="s">
        <v>5</v>
      </c>
      <c r="G236" s="20" t="s">
        <v>137</v>
      </c>
      <c r="H236" s="20">
        <f>O233-E236</f>
        <v>0</v>
      </c>
      <c r="I236" s="20" t="s">
        <v>5</v>
      </c>
      <c r="U236" s="7"/>
      <c r="V236" s="7"/>
      <c r="W236" s="7"/>
      <c r="X236" s="7"/>
      <c r="Y236" s="7"/>
      <c r="Z236" s="7"/>
      <c r="AA236" s="7"/>
    </row>
    <row r="237" spans="1:28" ht="14.25">
      <c r="A237" s="20"/>
      <c r="B237" s="20"/>
      <c r="C237" s="20" t="s">
        <v>138</v>
      </c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T237" s="20"/>
      <c r="U237" s="20"/>
      <c r="V237" s="20"/>
      <c r="W237" s="20"/>
      <c r="X237" s="20"/>
      <c r="Y237" s="20"/>
      <c r="Z237" s="20"/>
      <c r="AA237" s="20"/>
      <c r="AB237" s="20"/>
    </row>
    <row r="238" spans="5:27" s="20" customFormat="1" ht="14.25">
      <c r="E238" s="20" t="str">
        <f>$O$151&amp;"+0="&amp;O238&amp;"kN/m2"</f>
        <v>11.06+0=11.06kN/m2</v>
      </c>
      <c r="N238" s="20" t="s">
        <v>139</v>
      </c>
      <c r="O238" s="20">
        <f>$O$151</f>
        <v>11.06</v>
      </c>
      <c r="U238" s="7"/>
      <c r="V238" s="7"/>
      <c r="W238" s="7"/>
      <c r="X238" s="7"/>
      <c r="Y238" s="7"/>
      <c r="Z238" s="7"/>
      <c r="AA238" s="7"/>
    </row>
    <row r="239" s="20" customFormat="1" ht="14.25">
      <c r="B239" s="20" t="s">
        <v>140</v>
      </c>
    </row>
    <row r="240" spans="1:15" s="20" customFormat="1" ht="14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3:15" s="20" customFormat="1" ht="14.25">
      <c r="C241" s="20" t="s">
        <v>141</v>
      </c>
      <c r="F241" s="20" t="str">
        <f>O238&amp;"×"&amp;$H$179&amp;"="&amp;O241&amp;"kN/m2"</f>
        <v>11.06×0.341=3.771kN/m2</v>
      </c>
      <c r="N241" s="20" t="s">
        <v>142</v>
      </c>
      <c r="O241" s="20">
        <f>ROUND(O238*$H$179,3)</f>
        <v>3.771</v>
      </c>
    </row>
    <row r="242" spans="1:28" s="20" customFormat="1" ht="14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AB242" s="7"/>
    </row>
    <row r="243" spans="3:20" s="20" customFormat="1" ht="14.25">
      <c r="C243" s="20" t="s">
        <v>143</v>
      </c>
      <c r="F243" s="20" t="str">
        <f>O241&amp;"+"&amp;E234&amp;"×"&amp;E236&amp;"×"&amp;$H$179&amp;"="&amp;O243&amp;"kN/m2"</f>
        <v>3.771+19×2.675×0.341=21.102kN/m2</v>
      </c>
      <c r="N243" s="20" t="s">
        <v>144</v>
      </c>
      <c r="O243" s="20">
        <f>ROUND(O241+E234*E236*$H$179,3)</f>
        <v>21.102</v>
      </c>
      <c r="T243" s="7"/>
    </row>
    <row r="244" spans="1:28" s="20" customFormat="1" ht="14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AB244" s="7"/>
    </row>
    <row r="245" spans="3:20" s="20" customFormat="1" ht="14.25">
      <c r="C245" s="20" t="s">
        <v>145</v>
      </c>
      <c r="F245" s="20" t="str">
        <f>O243&amp;"+"&amp;E235&amp;"×"&amp;H236&amp;"×"&amp;$H$179&amp;"="&amp;O245&amp;"kN/m2"</f>
        <v>21.102+10×0×0.341=21.102kN/m2</v>
      </c>
      <c r="N245" s="20" t="s">
        <v>146</v>
      </c>
      <c r="O245" s="20">
        <f>ROUND(O243+E235*H236*$H$179,3)</f>
        <v>21.102</v>
      </c>
      <c r="T245" s="7"/>
    </row>
    <row r="246" spans="20:27" ht="14.25">
      <c r="T246" s="20"/>
      <c r="U246" s="20"/>
      <c r="V246" s="20"/>
      <c r="W246" s="20"/>
      <c r="X246" s="20"/>
      <c r="Y246" s="20"/>
      <c r="Z246" s="20"/>
      <c r="AA246" s="20"/>
    </row>
    <row r="247" spans="2:27" s="20" customFormat="1" ht="12.75">
      <c r="B247" s="20" t="s">
        <v>147</v>
      </c>
      <c r="T247" s="7"/>
      <c r="U247" s="7"/>
      <c r="V247" s="7"/>
      <c r="W247" s="7"/>
      <c r="X247" s="7"/>
      <c r="Y247" s="7"/>
      <c r="Z247" s="7"/>
      <c r="AA247" s="7"/>
    </row>
    <row r="248" spans="1:27" ht="15">
      <c r="A248" s="20"/>
      <c r="B248" s="20"/>
      <c r="C248" s="20" t="s">
        <v>148</v>
      </c>
      <c r="D248" s="20"/>
      <c r="E248" s="20" t="str">
        <f>O241&amp;"×cos("&amp;$O$175&amp;"+"&amp;$G$173&amp;")="&amp;O248&amp;"kN/m2"</f>
        <v>3.771×cos(0.0997+0.3491)=3.398kN/m2</v>
      </c>
      <c r="F248" s="20"/>
      <c r="G248" s="20"/>
      <c r="H248" s="20"/>
      <c r="I248" s="20"/>
      <c r="J248" s="20"/>
      <c r="K248" s="20"/>
      <c r="L248" s="20"/>
      <c r="M248" s="20"/>
      <c r="N248" s="20"/>
      <c r="O248" s="20">
        <f>ROUND(O241*COS($O$175+$G$173),3)</f>
        <v>3.398</v>
      </c>
      <c r="T248" s="20"/>
      <c r="U248" s="20"/>
      <c r="V248" s="20"/>
      <c r="W248" s="20"/>
      <c r="X248" s="20"/>
      <c r="Y248" s="20"/>
      <c r="Z248" s="20"/>
      <c r="AA248" s="20"/>
    </row>
    <row r="249" spans="1:27" s="20" customFormat="1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T249" s="7"/>
      <c r="U249" s="7"/>
      <c r="V249" s="7"/>
      <c r="W249" s="7"/>
      <c r="X249" s="7"/>
      <c r="Y249" s="7"/>
      <c r="Z249" s="7"/>
      <c r="AA249" s="7"/>
    </row>
    <row r="250" spans="1:28" ht="15">
      <c r="A250" s="20"/>
      <c r="B250" s="20"/>
      <c r="C250" s="20" t="s">
        <v>149</v>
      </c>
      <c r="D250" s="20"/>
      <c r="E250" s="20" t="str">
        <f>O243&amp;"×cos("&amp;$O$175&amp;"+"&amp;$G$173&amp;")="&amp;O250&amp;"kN/m2"</f>
        <v>21.102×cos(0.0997+0.3491)=19.012kN/m2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>
        <f>ROUND(O243*COS($O$175+$G$173),3)</f>
        <v>19.012</v>
      </c>
      <c r="T250" s="20"/>
      <c r="U250" s="20"/>
      <c r="V250" s="20"/>
      <c r="W250" s="20"/>
      <c r="X250" s="20"/>
      <c r="Y250" s="20"/>
      <c r="Z250" s="20"/>
      <c r="AA250" s="20"/>
      <c r="AB250" s="20"/>
    </row>
    <row r="251" spans="1:28" s="20" customFormat="1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U251" s="7"/>
      <c r="V251" s="7"/>
      <c r="W251" s="7"/>
      <c r="X251" s="7"/>
      <c r="Y251" s="7"/>
      <c r="Z251" s="7"/>
      <c r="AA251" s="7"/>
      <c r="AB251" s="7"/>
    </row>
    <row r="252" spans="1:28" ht="15">
      <c r="A252" s="20"/>
      <c r="B252" s="20"/>
      <c r="C252" s="20" t="s">
        <v>150</v>
      </c>
      <c r="D252" s="20"/>
      <c r="E252" s="20" t="str">
        <f>O245&amp;"×cos("&amp;$O$175&amp;"+"&amp;$G$173&amp;")="&amp;O252&amp;"kN/m2"</f>
        <v>21.102×cos(0.0997+0.3491)=19.012kN/m2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>
        <f>ROUND(O245*COS($O$175+$G$173),3)</f>
        <v>19.012</v>
      </c>
      <c r="U252" s="20"/>
      <c r="V252" s="20"/>
      <c r="W252" s="20"/>
      <c r="X252" s="20"/>
      <c r="Y252" s="20"/>
      <c r="Z252" s="20"/>
      <c r="AA252" s="20"/>
      <c r="AB252" s="20"/>
    </row>
    <row r="253" spans="1:28" s="20" customFormat="1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U253" s="7"/>
      <c r="V253" s="7"/>
      <c r="W253" s="7"/>
      <c r="X253" s="7"/>
      <c r="Y253" s="7"/>
      <c r="Z253" s="7"/>
      <c r="AA253" s="7"/>
      <c r="AB253" s="7"/>
    </row>
    <row r="254" spans="2:20" s="20" customFormat="1" ht="12.75">
      <c r="B254" s="20" t="s">
        <v>151</v>
      </c>
      <c r="C254" s="20" t="str">
        <f>"PA=1/2×(("&amp;O241&amp;"+"&amp;O243&amp;")×"&amp;E236&amp;"+("&amp;O243&amp;"+"&amp;O245&amp;")×"&amp;H236&amp;")="&amp;O254&amp;"kN/m"</f>
        <v>PA=1/2×((3.771+21.102)×2.675+(21.102+21.102)×0)=33.268kN/m</v>
      </c>
      <c r="O254" s="20">
        <f>ROUND(1/2*((O241+O243)*$E$236+(O243+O245)*H236),3)</f>
        <v>33.268</v>
      </c>
      <c r="T254" s="7"/>
    </row>
    <row r="255" spans="20:27" ht="12.75">
      <c r="T255" s="20"/>
      <c r="U255" s="20"/>
      <c r="V255" s="20"/>
      <c r="W255" s="20"/>
      <c r="X255" s="20"/>
      <c r="Y255" s="20"/>
      <c r="Z255" s="20"/>
      <c r="AA255" s="20"/>
    </row>
    <row r="256" spans="2:27" s="20" customFormat="1" ht="12.75">
      <c r="B256" s="20" t="s">
        <v>152</v>
      </c>
      <c r="C256" s="20" t="str">
        <f>"PAH=PA×cos(α+δ)="&amp;O254&amp;"×cos("&amp;O$175&amp;"+"&amp;G$173&amp;")="&amp;O256&amp;"kN/m"</f>
        <v>PAH=PA×cos(α+δ)=33.268×cos(0.0997+0.3491)=29.973kN/m</v>
      </c>
      <c r="O256" s="20">
        <f>ROUND(O254*COS($O$175+$G$173),3)</f>
        <v>29.973</v>
      </c>
      <c r="T256" s="7"/>
      <c r="U256" s="7"/>
      <c r="V256" s="7"/>
      <c r="W256" s="7"/>
      <c r="X256" s="7"/>
      <c r="Y256" s="7"/>
      <c r="Z256" s="7"/>
      <c r="AA256" s="7"/>
    </row>
    <row r="257" spans="20:27" ht="12.75">
      <c r="T257" s="20"/>
      <c r="U257" s="20"/>
      <c r="V257" s="20"/>
      <c r="W257" s="20"/>
      <c r="X257" s="20"/>
      <c r="Y257" s="20"/>
      <c r="Z257" s="20"/>
      <c r="AA257" s="20"/>
    </row>
    <row r="258" spans="2:27" s="20" customFormat="1" ht="12.75">
      <c r="B258" s="20" t="s">
        <v>153</v>
      </c>
      <c r="C258" s="20" t="str">
        <f>"PAV=PA×sin(α+δ)="&amp;O254&amp;"×sin("&amp;O$175&amp;"+"&amp;G$173&amp;")="&amp;O258&amp;"kN/m"</f>
        <v>PAV=PA×sin(α+δ)=33.268×sin(0.0997+0.3491)=14.434kN/m</v>
      </c>
      <c r="O258" s="20">
        <f>ROUND(O254*SIN($O$175+$G$173),3)</f>
        <v>14.434</v>
      </c>
      <c r="T258" s="7"/>
      <c r="U258" s="7"/>
      <c r="V258" s="7"/>
      <c r="W258" s="7"/>
      <c r="X258" s="7"/>
      <c r="Y258" s="7"/>
      <c r="Z258" s="7"/>
      <c r="AA258" s="7"/>
    </row>
    <row r="259" spans="20:27" ht="12.75">
      <c r="T259" s="20"/>
      <c r="U259" s="20"/>
      <c r="V259" s="20"/>
      <c r="W259" s="20"/>
      <c r="X259" s="20"/>
      <c r="Y259" s="20"/>
      <c r="Z259" s="20"/>
      <c r="AA259" s="20"/>
    </row>
    <row r="260" spans="1:27" s="20" customFormat="1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T260" s="7"/>
      <c r="U260" s="7"/>
      <c r="V260" s="7"/>
      <c r="W260" s="7"/>
      <c r="X260" s="7"/>
      <c r="Y260" s="7"/>
      <c r="Z260" s="7"/>
      <c r="AA260" s="7"/>
    </row>
    <row r="261" spans="1:27" ht="12.75">
      <c r="A261" s="20" t="s">
        <v>155</v>
      </c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T261" s="20"/>
      <c r="U261" s="20"/>
      <c r="V261" s="20"/>
      <c r="W261" s="20"/>
      <c r="X261" s="20"/>
      <c r="Y261" s="20"/>
      <c r="Z261" s="20"/>
      <c r="AA261" s="20"/>
    </row>
    <row r="262" spans="1:28" s="20" customFormat="1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12.75">
      <c r="A263" s="20" t="s">
        <v>156</v>
      </c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U263" s="20"/>
      <c r="V263" s="20"/>
      <c r="W263" s="20"/>
      <c r="X263" s="20"/>
      <c r="Y263" s="20"/>
      <c r="Z263" s="20"/>
      <c r="AA263" s="20"/>
      <c r="AB263" s="20"/>
    </row>
    <row r="264" spans="2:28" s="20" customFormat="1" ht="12.75">
      <c r="B264" s="20" t="s">
        <v>157</v>
      </c>
      <c r="U264" s="7"/>
      <c r="V264" s="7"/>
      <c r="W264" s="7"/>
      <c r="X264" s="7"/>
      <c r="Y264" s="7"/>
      <c r="Z264" s="7"/>
      <c r="AA264" s="7"/>
      <c r="AB264" s="7"/>
    </row>
    <row r="265" spans="1:28" ht="12.75">
      <c r="A265" s="20"/>
      <c r="B265" s="20"/>
      <c r="C265" s="20" t="str">
        <f>C190</f>
        <v>水位</v>
      </c>
      <c r="D265" s="21" t="str">
        <f aca="true" t="shared" si="0" ref="D265:I265">D190</f>
        <v>hwu=</v>
      </c>
      <c r="E265" s="20">
        <f t="shared" si="0"/>
        <v>1.25</v>
      </c>
      <c r="F265" s="20" t="str">
        <f t="shared" si="0"/>
        <v>m</v>
      </c>
      <c r="G265" s="21" t="str">
        <f t="shared" si="0"/>
        <v>hwl=</v>
      </c>
      <c r="H265" s="20">
        <f t="shared" si="0"/>
        <v>1.4249999999999998</v>
      </c>
      <c r="I265" s="20" t="str">
        <f t="shared" si="0"/>
        <v>m</v>
      </c>
      <c r="J265" s="20"/>
      <c r="K265" s="20"/>
      <c r="L265" s="20"/>
      <c r="M265" s="20"/>
      <c r="N265" s="20"/>
      <c r="O265" s="20"/>
      <c r="U265" s="20"/>
      <c r="V265" s="20"/>
      <c r="W265" s="20"/>
      <c r="X265" s="20"/>
      <c r="Y265" s="20"/>
      <c r="Z265" s="20"/>
      <c r="AA265" s="20"/>
      <c r="AB265" s="20"/>
    </row>
    <row r="266" spans="1:28" ht="12.75">
      <c r="A266" s="20"/>
      <c r="B266" s="20"/>
      <c r="C266" s="20" t="s">
        <v>158</v>
      </c>
      <c r="D266" s="21"/>
      <c r="E266" s="21" t="s">
        <v>159</v>
      </c>
      <c r="F266" s="20">
        <v>9.8</v>
      </c>
      <c r="G266" s="20" t="s">
        <v>160</v>
      </c>
      <c r="H266" s="20"/>
      <c r="I266" s="20"/>
      <c r="J266" s="20"/>
      <c r="K266" s="20"/>
      <c r="L266" s="20"/>
      <c r="M266" s="20"/>
      <c r="N266" s="20"/>
      <c r="O266" s="20"/>
      <c r="T266" s="20"/>
      <c r="AB266" s="20"/>
    </row>
    <row r="267" spans="3:27" s="20" customFormat="1" ht="12.75">
      <c r="C267" s="20" t="s">
        <v>161</v>
      </c>
      <c r="D267" s="21" t="s">
        <v>162</v>
      </c>
      <c r="E267" s="20" t="str">
        <f>"1/2×9.8×"&amp;H265&amp;"^2="&amp;N267&amp;"kN/m"</f>
        <v>1/2×9.8×1.425^2=9.95kN/m</v>
      </c>
      <c r="N267" s="20">
        <f>ROUND(0.5*9.8*H265^2,3)</f>
        <v>9.95</v>
      </c>
      <c r="U267" s="7"/>
      <c r="V267" s="7"/>
      <c r="W267" s="7"/>
      <c r="X267" s="7"/>
      <c r="Y267" s="7"/>
      <c r="Z267" s="7"/>
      <c r="AA267" s="7"/>
    </row>
    <row r="268" spans="1:28" ht="12.75">
      <c r="A268" s="20"/>
      <c r="B268" s="20"/>
      <c r="C268" s="20" t="s">
        <v>163</v>
      </c>
      <c r="D268" s="21" t="s">
        <v>164</v>
      </c>
      <c r="E268" s="20" t="str">
        <f>H265&amp;"/3="&amp;N268&amp;"m"</f>
        <v>1.425/3=0.475m</v>
      </c>
      <c r="F268" s="20"/>
      <c r="G268" s="20"/>
      <c r="H268" s="20"/>
      <c r="I268" s="20"/>
      <c r="J268" s="20"/>
      <c r="K268" s="20"/>
      <c r="L268" s="20"/>
      <c r="M268" s="20"/>
      <c r="N268" s="20">
        <f>ROUND(H265/3,3)</f>
        <v>0.475</v>
      </c>
      <c r="O268" s="20"/>
      <c r="T268" s="20"/>
      <c r="U268" s="20"/>
      <c r="V268" s="20"/>
      <c r="W268" s="20"/>
      <c r="X268" s="20"/>
      <c r="Y268" s="20"/>
      <c r="Z268" s="20"/>
      <c r="AA268" s="20"/>
      <c r="AB268" s="20"/>
    </row>
    <row r="269" spans="1:27" s="20" customFormat="1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U269" s="7"/>
      <c r="V269" s="7"/>
      <c r="W269" s="7"/>
      <c r="X269" s="7"/>
      <c r="Y269" s="7"/>
      <c r="Z269" s="7"/>
      <c r="AA269" s="7"/>
    </row>
    <row r="270" spans="1:15" s="20" customFormat="1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6" s="20" customFormat="1" ht="12.75">
      <c r="A271" s="20" t="s">
        <v>165</v>
      </c>
      <c r="N271" s="20" t="s">
        <v>381</v>
      </c>
      <c r="O271" s="20">
        <f>O76-E23</f>
        <v>2.4749999999999996</v>
      </c>
      <c r="P271" s="20" t="s">
        <v>46</v>
      </c>
    </row>
    <row r="272" spans="2:28" s="20" customFormat="1" ht="12.75">
      <c r="B272" s="20" t="s">
        <v>166</v>
      </c>
      <c r="AB272" s="7"/>
    </row>
    <row r="273" spans="3:28" s="20" customFormat="1" ht="12.75">
      <c r="C273" s="20" t="s">
        <v>382</v>
      </c>
      <c r="D273" s="21" t="s">
        <v>381</v>
      </c>
      <c r="E273" s="20" t="str">
        <f>O187&amp;"-"&amp;E23&amp;"="&amp;O271&amp;P271</f>
        <v>2.675-0.2=2.475m</v>
      </c>
      <c r="T273" s="7"/>
      <c r="AB273" s="7"/>
    </row>
    <row r="274" spans="3:20" s="20" customFormat="1" ht="12.75">
      <c r="C274" s="20" t="s">
        <v>158</v>
      </c>
      <c r="D274" s="21"/>
      <c r="E274" s="21" t="s">
        <v>167</v>
      </c>
      <c r="F274" s="20">
        <v>9.8</v>
      </c>
      <c r="G274" s="20" t="s">
        <v>160</v>
      </c>
      <c r="T274" s="7"/>
    </row>
    <row r="275" spans="3:14" s="20" customFormat="1" ht="12.75">
      <c r="C275" s="20" t="s">
        <v>161</v>
      </c>
      <c r="D275" s="21" t="s">
        <v>162</v>
      </c>
      <c r="E275" s="20" t="str">
        <f>"1/2×9.8×"&amp;O271&amp;"^2="&amp;N275&amp;"kN/m"</f>
        <v>1/2×9.8×2.475^2=30.016kN/m</v>
      </c>
      <c r="N275" s="20">
        <f>ROUND(0.5*9.8*O271^2,3)</f>
        <v>30.016</v>
      </c>
    </row>
    <row r="276" spans="1:28" ht="12.75">
      <c r="A276" s="20"/>
      <c r="B276" s="20"/>
      <c r="C276" s="20" t="s">
        <v>163</v>
      </c>
      <c r="D276" s="21" t="s">
        <v>164</v>
      </c>
      <c r="E276" s="20" t="str">
        <f>O271&amp;"/3="&amp;N276&amp;"m"</f>
        <v>2.475/3=0.825m</v>
      </c>
      <c r="F276" s="20"/>
      <c r="G276" s="20"/>
      <c r="H276" s="20"/>
      <c r="I276" s="20"/>
      <c r="J276" s="20"/>
      <c r="K276" s="20"/>
      <c r="L276" s="20"/>
      <c r="M276" s="20"/>
      <c r="N276" s="20">
        <f>ROUND(O271/3,3)</f>
        <v>0.825</v>
      </c>
      <c r="O276" s="20"/>
      <c r="T276" s="20"/>
      <c r="U276" s="20"/>
      <c r="V276" s="20"/>
      <c r="W276" s="20"/>
      <c r="X276" s="20"/>
      <c r="Y276" s="20"/>
      <c r="Z276" s="20"/>
      <c r="AA276" s="20"/>
      <c r="AB276" s="20"/>
    </row>
    <row r="277" spans="1:28" ht="12.75">
      <c r="A277" s="20"/>
      <c r="B277" s="20" t="s">
        <v>168</v>
      </c>
      <c r="C277" s="20"/>
      <c r="D277" s="21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T277" s="20"/>
      <c r="AB277" s="20"/>
    </row>
    <row r="278" spans="3:27" s="20" customFormat="1" ht="12.75">
      <c r="C278" s="20" t="s">
        <v>169</v>
      </c>
      <c r="D278" s="21" t="s">
        <v>170</v>
      </c>
      <c r="E278" s="20" t="str">
        <f>"9.8×"&amp;O271&amp;"="&amp;N278&amp;"kN/m2"</f>
        <v>9.8×2.475=24.255kN/m2</v>
      </c>
      <c r="N278" s="20">
        <f>9.8*O271</f>
        <v>24.255</v>
      </c>
      <c r="U278" s="7"/>
      <c r="V278" s="7"/>
      <c r="W278" s="7"/>
      <c r="X278" s="7"/>
      <c r="Y278" s="7"/>
      <c r="Z278" s="7"/>
      <c r="AA278" s="7"/>
    </row>
    <row r="279" spans="1:15" s="20" customFormat="1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s="20" customFormat="1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28" s="20" customFormat="1" ht="12.75">
      <c r="A281" s="20" t="s">
        <v>171</v>
      </c>
      <c r="AB281" s="7"/>
    </row>
    <row r="282" spans="1:28" s="20" customFormat="1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T282" s="7"/>
      <c r="AB282" s="7"/>
    </row>
    <row r="283" spans="2:20" s="20" customFormat="1" ht="12.75">
      <c r="B283" s="20" t="s">
        <v>53</v>
      </c>
      <c r="C283" s="21" t="s">
        <v>172</v>
      </c>
      <c r="D283" s="20" t="str">
        <f>"-"&amp;H265&amp;"×9.8="&amp;N283&amp;"kN/m2"</f>
        <v>-1.425×9.8=-13.965kN/m2</v>
      </c>
      <c r="N283" s="20">
        <f>-H265*9.8</f>
        <v>-13.965</v>
      </c>
      <c r="T283" s="7"/>
    </row>
    <row r="284" spans="1:28" s="20" customFormat="1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AB284" s="7"/>
    </row>
    <row r="285" spans="21:28" ht="12.75">
      <c r="U285" s="20"/>
      <c r="V285" s="20"/>
      <c r="W285" s="20"/>
      <c r="X285" s="20"/>
      <c r="Y285" s="20"/>
      <c r="Z285" s="20"/>
      <c r="AA285" s="20"/>
      <c r="AB285" s="20"/>
    </row>
    <row r="286" spans="1:20" ht="12.75">
      <c r="A286" s="20" t="s">
        <v>173</v>
      </c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T286" s="20"/>
    </row>
    <row r="287" spans="1:28" s="20" customFormat="1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12.75">
      <c r="A288" s="20" t="s">
        <v>174</v>
      </c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U288" s="20"/>
      <c r="V288" s="20"/>
      <c r="W288" s="20"/>
      <c r="X288" s="20"/>
      <c r="Y288" s="20"/>
      <c r="Z288" s="20"/>
      <c r="AA288" s="20"/>
      <c r="AB288" s="20"/>
    </row>
    <row r="289" spans="1:28" s="20" customFormat="1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U289" s="7"/>
      <c r="V289" s="7"/>
      <c r="W289" s="7"/>
      <c r="X289" s="7"/>
      <c r="Y289" s="7"/>
      <c r="Z289" s="7"/>
      <c r="AA289" s="7"/>
      <c r="AB289" s="7"/>
    </row>
    <row r="290" spans="1:28" ht="12.75">
      <c r="A290" s="20"/>
      <c r="B290" s="20"/>
      <c r="C290" s="20" t="s">
        <v>175</v>
      </c>
      <c r="D290" s="20" t="str">
        <f>N$123&amp;"×2/"&amp;$O$77&amp;"="</f>
        <v>18.559×2/2.4=</v>
      </c>
      <c r="E290" s="20"/>
      <c r="F290" s="20">
        <f>ROUND(N$123*2/$O$77,3)</f>
        <v>15.466</v>
      </c>
      <c r="G290" s="20" t="s">
        <v>176</v>
      </c>
      <c r="H290" s="20"/>
      <c r="I290" s="20"/>
      <c r="J290" s="20"/>
      <c r="K290" s="20"/>
      <c r="L290" s="20"/>
      <c r="M290" s="20"/>
      <c r="N290" s="20"/>
      <c r="O290" s="20"/>
      <c r="U290" s="20"/>
      <c r="V290" s="20"/>
      <c r="W290" s="20"/>
      <c r="X290" s="20"/>
      <c r="Y290" s="20"/>
      <c r="Z290" s="20"/>
      <c r="AA290" s="20"/>
      <c r="AB290" s="20"/>
    </row>
    <row r="291" spans="1:20" ht="12.75">
      <c r="A291" s="20"/>
      <c r="B291" s="20"/>
      <c r="C291" s="20" t="s">
        <v>177</v>
      </c>
      <c r="D291" s="20"/>
      <c r="E291" s="20"/>
      <c r="F291" s="20">
        <f>N$125</f>
        <v>8.575</v>
      </c>
      <c r="G291" s="20" t="s">
        <v>178</v>
      </c>
      <c r="H291" s="20"/>
      <c r="I291" s="20"/>
      <c r="J291" s="20"/>
      <c r="K291" s="20"/>
      <c r="L291" s="20"/>
      <c r="M291" s="20"/>
      <c r="N291" s="20"/>
      <c r="O291" s="20"/>
      <c r="T291" s="20"/>
    </row>
    <row r="292" spans="3:27" s="20" customFormat="1" ht="12.75">
      <c r="C292" s="20" t="s">
        <v>179</v>
      </c>
      <c r="D292" s="20" t="str">
        <f>O227&amp;"×2/"&amp;$O$77&amp;"="</f>
        <v>14.848×2/2.4=</v>
      </c>
      <c r="F292" s="20">
        <f>ROUND(O227*2/$O$77,3)</f>
        <v>12.373</v>
      </c>
      <c r="G292" s="20" t="s">
        <v>180</v>
      </c>
      <c r="T292" s="7"/>
      <c r="U292" s="7"/>
      <c r="V292" s="7"/>
      <c r="W292" s="7"/>
      <c r="X292" s="7"/>
      <c r="Y292" s="7"/>
      <c r="Z292" s="7"/>
      <c r="AA292" s="7"/>
    </row>
    <row r="293" spans="1:28" ht="12.75">
      <c r="A293" s="20"/>
      <c r="B293" s="20"/>
      <c r="C293" s="20" t="s">
        <v>181</v>
      </c>
      <c r="D293" s="20"/>
      <c r="E293" s="20"/>
      <c r="F293" s="20">
        <f>0</f>
        <v>0</v>
      </c>
      <c r="G293" s="20" t="s">
        <v>182</v>
      </c>
      <c r="H293" s="20"/>
      <c r="I293" s="20"/>
      <c r="J293" s="20"/>
      <c r="K293" s="20"/>
      <c r="L293" s="20"/>
      <c r="M293" s="20"/>
      <c r="N293" s="20"/>
      <c r="O293" s="20"/>
      <c r="T293" s="20"/>
      <c r="U293" s="20"/>
      <c r="V293" s="20"/>
      <c r="W293" s="20"/>
      <c r="X293" s="20"/>
      <c r="Y293" s="20"/>
      <c r="Z293" s="20"/>
      <c r="AA293" s="20"/>
      <c r="AB293" s="20"/>
    </row>
    <row r="294" spans="3:27" s="20" customFormat="1" ht="12.75">
      <c r="C294" s="22" t="s">
        <v>183</v>
      </c>
      <c r="D294" s="22"/>
      <c r="E294" s="22"/>
      <c r="F294" s="22">
        <f>N283</f>
        <v>-13.965</v>
      </c>
      <c r="G294" s="22" t="s">
        <v>184</v>
      </c>
      <c r="U294" s="7"/>
      <c r="V294" s="7"/>
      <c r="W294" s="7"/>
      <c r="X294" s="7"/>
      <c r="Y294" s="7"/>
      <c r="Z294" s="7"/>
      <c r="AA294" s="7"/>
    </row>
    <row r="295" spans="1:28" ht="12.75">
      <c r="A295" s="20"/>
      <c r="B295" s="20"/>
      <c r="C295" s="20" t="s">
        <v>185</v>
      </c>
      <c r="D295" s="20"/>
      <c r="E295" s="21" t="s">
        <v>186</v>
      </c>
      <c r="F295" s="20">
        <f>SUM(F290:F294)</f>
        <v>22.448999999999995</v>
      </c>
      <c r="G295" s="23" t="s">
        <v>187</v>
      </c>
      <c r="H295" s="20"/>
      <c r="I295" s="20"/>
      <c r="J295" s="20"/>
      <c r="K295" s="20"/>
      <c r="L295" s="20"/>
      <c r="M295" s="20"/>
      <c r="N295" s="20"/>
      <c r="O295" s="20"/>
      <c r="T295" s="20"/>
      <c r="U295" s="20"/>
      <c r="V295" s="20"/>
      <c r="W295" s="20"/>
      <c r="X295" s="20"/>
      <c r="Y295" s="20"/>
      <c r="Z295" s="20"/>
      <c r="AA295" s="20"/>
      <c r="AB295" s="20"/>
    </row>
    <row r="296" spans="1:27" s="20" customFormat="1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U296" s="7"/>
      <c r="V296" s="7"/>
      <c r="W296" s="7"/>
      <c r="X296" s="7"/>
      <c r="Y296" s="7"/>
      <c r="Z296" s="7"/>
      <c r="AA296" s="7"/>
    </row>
    <row r="297" spans="1:15" s="20" customFormat="1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1:28" s="20" customFormat="1" ht="12.75">
      <c r="A298" s="20" t="s">
        <v>188</v>
      </c>
      <c r="AB298" s="7"/>
    </row>
    <row r="299" spans="1:28" s="20" customFormat="1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T299" s="7"/>
      <c r="AB299" s="7"/>
    </row>
    <row r="300" spans="3:20" s="20" customFormat="1" ht="12.75">
      <c r="C300" s="20" t="s">
        <v>175</v>
      </c>
      <c r="D300" s="20" t="str">
        <f>N$123&amp;"×2/"&amp;$O$77&amp;"="</f>
        <v>18.559×2/2.4=</v>
      </c>
      <c r="F300" s="20">
        <f>ROUND(N$123*2/$O$77,3)</f>
        <v>15.466</v>
      </c>
      <c r="G300" s="20" t="s">
        <v>176</v>
      </c>
      <c r="T300" s="7"/>
    </row>
    <row r="301" spans="3:28" s="20" customFormat="1" ht="12.75">
      <c r="C301" s="20" t="s">
        <v>177</v>
      </c>
      <c r="F301" s="20">
        <f>N$125</f>
        <v>8.575</v>
      </c>
      <c r="G301" s="20" t="s">
        <v>178</v>
      </c>
      <c r="AB301" s="7"/>
    </row>
    <row r="302" spans="1:28" ht="12.75">
      <c r="A302" s="20"/>
      <c r="B302" s="20"/>
      <c r="C302" s="20" t="s">
        <v>179</v>
      </c>
      <c r="D302" s="20" t="str">
        <f>O258&amp;"×2/"&amp;$O$77&amp;"="</f>
        <v>14.434×2/2.4=</v>
      </c>
      <c r="E302" s="20"/>
      <c r="F302" s="20">
        <f>ROUND(O258*2/$O$77,3)</f>
        <v>12.028</v>
      </c>
      <c r="G302" s="20" t="s">
        <v>180</v>
      </c>
      <c r="H302" s="20"/>
      <c r="I302" s="20"/>
      <c r="J302" s="20"/>
      <c r="K302" s="20"/>
      <c r="L302" s="20"/>
      <c r="M302" s="20"/>
      <c r="N302" s="20"/>
      <c r="O302" s="20"/>
      <c r="U302" s="20"/>
      <c r="V302" s="20"/>
      <c r="W302" s="20"/>
      <c r="X302" s="20"/>
      <c r="Y302" s="20"/>
      <c r="Z302" s="20"/>
      <c r="AA302" s="20"/>
      <c r="AB302" s="20"/>
    </row>
    <row r="303" spans="1:28" ht="12.75">
      <c r="A303" s="20"/>
      <c r="B303" s="20"/>
      <c r="C303" s="20" t="s">
        <v>181</v>
      </c>
      <c r="D303" s="20"/>
      <c r="E303" s="20"/>
      <c r="F303" s="20">
        <f>N278</f>
        <v>24.255</v>
      </c>
      <c r="G303" s="20" t="s">
        <v>182</v>
      </c>
      <c r="H303" s="20"/>
      <c r="I303" s="20"/>
      <c r="J303" s="20"/>
      <c r="K303" s="20"/>
      <c r="L303" s="20"/>
      <c r="M303" s="20"/>
      <c r="N303" s="20"/>
      <c r="O303" s="20"/>
      <c r="T303" s="20"/>
      <c r="AB303" s="20"/>
    </row>
    <row r="304" spans="3:27" s="20" customFormat="1" ht="12.75">
      <c r="C304" s="22" t="s">
        <v>183</v>
      </c>
      <c r="D304" s="22"/>
      <c r="E304" s="22"/>
      <c r="F304" s="22">
        <v>0</v>
      </c>
      <c r="G304" s="22" t="s">
        <v>184</v>
      </c>
      <c r="U304" s="7"/>
      <c r="V304" s="7"/>
      <c r="W304" s="7"/>
      <c r="X304" s="7"/>
      <c r="Y304" s="7"/>
      <c r="Z304" s="7"/>
      <c r="AA304" s="7"/>
    </row>
    <row r="305" spans="1:28" ht="12.75">
      <c r="A305" s="20"/>
      <c r="B305" s="20"/>
      <c r="C305" s="20" t="s">
        <v>185</v>
      </c>
      <c r="D305" s="20"/>
      <c r="E305" s="21" t="s">
        <v>186</v>
      </c>
      <c r="F305" s="20">
        <f>SUM(F300:F304)</f>
        <v>60.324</v>
      </c>
      <c r="G305" s="23" t="s">
        <v>187</v>
      </c>
      <c r="H305" s="20"/>
      <c r="I305" s="20"/>
      <c r="J305" s="20"/>
      <c r="K305" s="20"/>
      <c r="L305" s="20"/>
      <c r="M305" s="20"/>
      <c r="N305" s="20"/>
      <c r="O305" s="20"/>
      <c r="T305" s="20"/>
      <c r="U305" s="20"/>
      <c r="V305" s="20"/>
      <c r="W305" s="20"/>
      <c r="X305" s="20"/>
      <c r="Y305" s="20"/>
      <c r="Z305" s="20"/>
      <c r="AA305" s="20"/>
      <c r="AB305" s="20"/>
    </row>
    <row r="306" spans="1:27" s="20" customFormat="1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U306" s="7"/>
      <c r="V306" s="7"/>
      <c r="W306" s="7"/>
      <c r="X306" s="7"/>
      <c r="Y306" s="7"/>
      <c r="Z306" s="7"/>
      <c r="AA306" s="7"/>
    </row>
    <row r="307" spans="1:15" s="20" customFormat="1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spans="1:28" s="20" customFormat="1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AB308" s="7"/>
    </row>
    <row r="309" spans="1:28" s="20" customFormat="1" ht="12.75">
      <c r="A309" s="20" t="s">
        <v>189</v>
      </c>
      <c r="T309" s="7"/>
      <c r="AB309" s="7"/>
    </row>
    <row r="310" spans="1:28" s="20" customFormat="1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T310" s="7"/>
      <c r="AB310" s="7"/>
    </row>
    <row r="311" spans="1:20" s="20" customFormat="1" ht="12.75">
      <c r="A311" s="20" t="s">
        <v>190</v>
      </c>
      <c r="T311" s="7"/>
    </row>
    <row r="312" spans="1:27" ht="12.75">
      <c r="A312" s="20" t="s">
        <v>191</v>
      </c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T312" s="20"/>
      <c r="U312" s="20"/>
      <c r="V312" s="20"/>
      <c r="W312" s="20"/>
      <c r="X312" s="20"/>
      <c r="Y312" s="20"/>
      <c r="Z312" s="20"/>
      <c r="AA312" s="20"/>
    </row>
    <row r="313" ht="12.75">
      <c r="AB313" s="20"/>
    </row>
    <row r="314" spans="20:28" ht="14.25">
      <c r="T314" s="20"/>
      <c r="AB314" s="20"/>
    </row>
    <row r="315" spans="1:28" s="20" customFormat="1" ht="14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U315" s="7"/>
      <c r="V315" s="7"/>
      <c r="W315" s="7"/>
      <c r="X315" s="7"/>
      <c r="Y315" s="7"/>
      <c r="Z315" s="7"/>
      <c r="AA315" s="7"/>
      <c r="AB315" s="7"/>
    </row>
    <row r="316" spans="21:27" ht="14.25">
      <c r="U316" s="20"/>
      <c r="V316" s="20"/>
      <c r="W316" s="20"/>
      <c r="X316" s="20"/>
      <c r="Y316" s="20"/>
      <c r="Z316" s="20"/>
      <c r="AA316" s="20"/>
    </row>
    <row r="317" spans="1:28" s="20" customFormat="1" ht="14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s="20" customFormat="1" ht="14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T318" s="7"/>
      <c r="AB318" s="7"/>
    </row>
    <row r="319" spans="21:27" ht="14.25">
      <c r="U319" s="20"/>
      <c r="V319" s="20"/>
      <c r="W319" s="20"/>
      <c r="X319" s="20"/>
      <c r="Y319" s="20"/>
      <c r="Z319" s="20"/>
      <c r="AA319" s="20"/>
    </row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spans="1:15" ht="14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</row>
    <row r="340" ht="14.25"/>
    <row r="341" ht="14.25">
      <c r="AB341" s="20"/>
    </row>
    <row r="342" ht="14.25">
      <c r="T342" s="20"/>
    </row>
    <row r="343" ht="14.25"/>
    <row r="344" ht="14.25"/>
    <row r="345" spans="1:28" s="20" customFormat="1" ht="14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21:27" ht="12.75">
      <c r="U346" s="20"/>
      <c r="V346" s="20"/>
      <c r="W346" s="20"/>
      <c r="X346" s="20"/>
      <c r="Y346" s="20"/>
      <c r="Z346" s="20"/>
      <c r="AA346" s="20"/>
    </row>
    <row r="347" spans="1:15" ht="14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</row>
    <row r="348" ht="14.25"/>
    <row r="349" ht="14.25">
      <c r="AB349" s="20"/>
    </row>
    <row r="350" ht="14.25">
      <c r="T350" s="20"/>
    </row>
    <row r="351" ht="14.25"/>
    <row r="352" ht="14.25"/>
    <row r="353" spans="1:28" s="20" customFormat="1" ht="14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21:27" ht="14.25">
      <c r="U354" s="20"/>
      <c r="V354" s="20"/>
      <c r="W354" s="20"/>
      <c r="X354" s="20"/>
      <c r="Y354" s="20"/>
      <c r="Z354" s="20"/>
      <c r="AA354" s="20"/>
    </row>
    <row r="355" spans="1:15" ht="14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</row>
    <row r="356" ht="14.25"/>
    <row r="357" ht="14.25">
      <c r="AB357" s="20"/>
    </row>
    <row r="358" ht="14.25">
      <c r="T358" s="20"/>
    </row>
    <row r="359" ht="14.25"/>
    <row r="360" ht="14.25"/>
    <row r="361" spans="1:28" s="20" customFormat="1" ht="14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21:27" ht="14.25">
      <c r="U362" s="20"/>
      <c r="V362" s="20"/>
      <c r="W362" s="20"/>
      <c r="X362" s="20"/>
      <c r="Y362" s="20"/>
      <c r="Z362" s="20"/>
      <c r="AA362" s="20"/>
    </row>
    <row r="363" spans="1:15" ht="14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</row>
    <row r="364" ht="14.25"/>
    <row r="365" ht="14.25"/>
    <row r="366" ht="14.25"/>
    <row r="367" ht="14.25"/>
    <row r="368" ht="14.25"/>
    <row r="369" ht="14.25"/>
    <row r="370" ht="14.25">
      <c r="AB370" s="20"/>
    </row>
    <row r="371" ht="14.25">
      <c r="T371" s="20"/>
    </row>
    <row r="372" ht="14.25"/>
    <row r="373" ht="14.25"/>
    <row r="374" spans="1:28" s="20" customFormat="1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21:27" ht="12.75">
      <c r="U375" s="20"/>
      <c r="V375" s="20"/>
      <c r="W375" s="20"/>
      <c r="X375" s="20"/>
      <c r="Y375" s="20"/>
      <c r="Z375" s="20"/>
      <c r="AA375" s="20"/>
    </row>
    <row r="376" spans="1:15" ht="12.75">
      <c r="A376" s="20" t="s">
        <v>192</v>
      </c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</row>
    <row r="378" ht="14.25">
      <c r="AB378" s="20"/>
    </row>
    <row r="379" ht="14.25">
      <c r="T379" s="20"/>
    </row>
    <row r="380" ht="14.25"/>
    <row r="381" ht="14.25"/>
    <row r="382" spans="1:28" s="20" customFormat="1" ht="14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4:27" ht="14.25">
      <c r="N383" s="7" t="s">
        <v>338</v>
      </c>
      <c r="O383" s="7" t="s">
        <v>342</v>
      </c>
      <c r="P383" s="7" t="s">
        <v>339</v>
      </c>
      <c r="Q383" s="7" t="s">
        <v>340</v>
      </c>
      <c r="R383" s="7" t="s">
        <v>341</v>
      </c>
      <c r="U383" s="20"/>
      <c r="V383" s="20"/>
      <c r="W383" s="20"/>
      <c r="X383" s="20"/>
      <c r="Y383" s="20"/>
      <c r="Z383" s="20"/>
      <c r="AA383" s="20"/>
    </row>
    <row r="384" spans="14:18" ht="14.25">
      <c r="N384" s="7">
        <f>E401*O408</f>
        <v>4.76464</v>
      </c>
      <c r="O384" s="7">
        <f>D406+D407</f>
        <v>2.675</v>
      </c>
      <c r="P384" s="7">
        <f>N384*O384</f>
        <v>12.745412</v>
      </c>
      <c r="Q384" s="7">
        <f>O384/2</f>
        <v>1.3375</v>
      </c>
      <c r="R384" s="7">
        <f>P384*Q384</f>
        <v>17.04698855</v>
      </c>
    </row>
    <row r="385" spans="14:18" ht="14.25">
      <c r="N385" s="7">
        <f>D406*H402*O408</f>
        <v>7.29125</v>
      </c>
      <c r="O385" s="7">
        <f>D406</f>
        <v>1.25</v>
      </c>
      <c r="P385" s="7">
        <f>N385*O385/2</f>
        <v>4.55703125</v>
      </c>
      <c r="Q385" s="7">
        <f>D407+O385/3</f>
        <v>1.8416666666666666</v>
      </c>
      <c r="R385" s="7">
        <f>P385*Q385</f>
        <v>8.392532552083333</v>
      </c>
    </row>
    <row r="386" spans="15:18" ht="14.25">
      <c r="O386" s="7">
        <f>D407</f>
        <v>1.4249999999999998</v>
      </c>
      <c r="P386" s="7">
        <f>N385*O386</f>
        <v>10.390031249999998</v>
      </c>
      <c r="Q386" s="7">
        <f>O386/2</f>
        <v>0.7124999999999999</v>
      </c>
      <c r="R386" s="7">
        <f>P386*Q386</f>
        <v>7.402897265624998</v>
      </c>
    </row>
    <row r="387" spans="14:18" ht="14.25">
      <c r="N387" s="7">
        <f>D407*H403*O408</f>
        <v>4.37475</v>
      </c>
      <c r="O387" s="7">
        <f>D407</f>
        <v>1.4249999999999998</v>
      </c>
      <c r="P387" s="7">
        <f>1/2*N387*O387</f>
        <v>3.1170093749999994</v>
      </c>
      <c r="Q387" s="7">
        <f>O387/3</f>
        <v>0.4749999999999999</v>
      </c>
      <c r="R387" s="7">
        <f>P387*Q387</f>
        <v>1.4805794531249994</v>
      </c>
    </row>
    <row r="388" spans="14:18" ht="14.25">
      <c r="N388" s="7">
        <f>H405*D407</f>
        <v>13.965</v>
      </c>
      <c r="O388" s="7">
        <f>O387</f>
        <v>1.4249999999999998</v>
      </c>
      <c r="P388" s="7">
        <f>1/2*N388*O388</f>
        <v>9.950062499999998</v>
      </c>
      <c r="Q388" s="7">
        <f>O388/3</f>
        <v>0.4749999999999999</v>
      </c>
      <c r="R388" s="7">
        <f>P388*Q388</f>
        <v>4.726279687499998</v>
      </c>
    </row>
    <row r="389" spans="14:18" ht="14.25">
      <c r="N389" s="7">
        <f>SUM(N384:N388)</f>
        <v>30.39564</v>
      </c>
      <c r="P389" s="7">
        <f>SUM(P384:P388)</f>
        <v>40.75954637499999</v>
      </c>
      <c r="R389" s="7">
        <f>SUM(R384:R388)</f>
        <v>39.04927750833333</v>
      </c>
    </row>
    <row r="390" ht="14.25"/>
    <row r="391" ht="14.25">
      <c r="N391" s="7">
        <f>(E401+H402*D406+H403*D407)*O408</f>
        <v>16.430639999999997</v>
      </c>
    </row>
    <row r="392" ht="14.25">
      <c r="N392" s="7">
        <f>D407*H405</f>
        <v>13.965</v>
      </c>
    </row>
    <row r="393" ht="14.25">
      <c r="N393" s="7">
        <f>N391+N392</f>
        <v>30.395639999999997</v>
      </c>
    </row>
    <row r="394" ht="14.25"/>
    <row r="395" ht="14.25">
      <c r="N395" s="7">
        <f>(E401+H402*D406)*O408</f>
        <v>12.055889999999998</v>
      </c>
    </row>
    <row r="396" ht="14.25">
      <c r="N396" s="7">
        <f>N395+(H403*O408+H404+H405)*D407</f>
        <v>30.395639999999997</v>
      </c>
    </row>
    <row r="398" spans="1:15" ht="12.75">
      <c r="A398" s="20" t="s">
        <v>323</v>
      </c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</row>
    <row r="399" spans="1:15" ht="12.75">
      <c r="A399" s="20" t="s">
        <v>191</v>
      </c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</row>
    <row r="400" ht="12.75">
      <c r="AB400" s="20"/>
    </row>
    <row r="401" spans="1:28" ht="12.75">
      <c r="A401" s="20"/>
      <c r="B401" s="20" t="s">
        <v>193</v>
      </c>
      <c r="C401" s="20"/>
      <c r="D401" s="21" t="s">
        <v>194</v>
      </c>
      <c r="E401" s="20">
        <f>O193</f>
        <v>15.52</v>
      </c>
      <c r="F401" s="20" t="s">
        <v>195</v>
      </c>
      <c r="G401" s="20"/>
      <c r="H401" s="20"/>
      <c r="I401" s="20"/>
      <c r="J401" s="20"/>
      <c r="K401" s="20"/>
      <c r="L401" s="20"/>
      <c r="M401" s="20"/>
      <c r="N401" s="20"/>
      <c r="O401" s="20"/>
      <c r="T401" s="20"/>
      <c r="AB401" s="20"/>
    </row>
    <row r="402" spans="1:20" ht="12.75">
      <c r="A402" s="20"/>
      <c r="B402" s="20" t="s">
        <v>196</v>
      </c>
      <c r="C402" s="20"/>
      <c r="D402" s="20" t="s">
        <v>197</v>
      </c>
      <c r="E402" s="20" t="s">
        <v>198</v>
      </c>
      <c r="F402" s="20"/>
      <c r="G402" s="21" t="s">
        <v>199</v>
      </c>
      <c r="H402" s="20">
        <f>E17</f>
        <v>19</v>
      </c>
      <c r="I402" s="20" t="s">
        <v>200</v>
      </c>
      <c r="J402" s="20"/>
      <c r="K402" s="20"/>
      <c r="L402" s="20"/>
      <c r="M402" s="20"/>
      <c r="N402" s="20"/>
      <c r="O402" s="20"/>
      <c r="T402" s="20"/>
    </row>
    <row r="403" spans="1:28" ht="12.75">
      <c r="A403" s="20"/>
      <c r="B403" s="20"/>
      <c r="C403" s="20"/>
      <c r="D403" s="20"/>
      <c r="E403" s="20" t="s">
        <v>201</v>
      </c>
      <c r="F403" s="20"/>
      <c r="G403" s="21" t="s">
        <v>133</v>
      </c>
      <c r="H403" s="20">
        <f>H402-9</f>
        <v>10</v>
      </c>
      <c r="I403" s="20" t="s">
        <v>200</v>
      </c>
      <c r="J403" s="20"/>
      <c r="K403" s="20"/>
      <c r="L403" s="20"/>
      <c r="M403" s="20"/>
      <c r="N403" s="20"/>
      <c r="O403" s="20"/>
      <c r="AB403" s="20"/>
    </row>
    <row r="404" spans="4:27" s="20" customFormat="1" ht="12.75">
      <c r="D404" s="20" t="s">
        <v>202</v>
      </c>
      <c r="E404" s="20" t="s">
        <v>203</v>
      </c>
      <c r="G404" s="21" t="s">
        <v>204</v>
      </c>
      <c r="H404" s="20">
        <f>0</f>
        <v>0</v>
      </c>
      <c r="I404" s="20" t="s">
        <v>205</v>
      </c>
      <c r="U404" s="7"/>
      <c r="V404" s="7"/>
      <c r="W404" s="7"/>
      <c r="X404" s="7"/>
      <c r="Y404" s="7"/>
      <c r="Z404" s="7"/>
      <c r="AA404" s="7"/>
    </row>
    <row r="405" spans="5:9" s="20" customFormat="1" ht="12.75">
      <c r="E405" s="20" t="s">
        <v>206</v>
      </c>
      <c r="G405" s="21" t="s">
        <v>207</v>
      </c>
      <c r="H405" s="20">
        <f>9.8</f>
        <v>9.8</v>
      </c>
      <c r="I405" s="20" t="s">
        <v>208</v>
      </c>
    </row>
    <row r="406" spans="1:28" ht="12.75">
      <c r="A406" s="20"/>
      <c r="B406" s="20" t="s">
        <v>384</v>
      </c>
      <c r="C406" s="21" t="s">
        <v>136</v>
      </c>
      <c r="D406" s="20">
        <f>E265</f>
        <v>1.25</v>
      </c>
      <c r="E406" s="20" t="s">
        <v>5</v>
      </c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T406" s="20"/>
      <c r="U406" s="20"/>
      <c r="V406" s="20"/>
      <c r="W406" s="20"/>
      <c r="X406" s="20"/>
      <c r="Y406" s="20"/>
      <c r="Z406" s="20"/>
      <c r="AA406" s="20"/>
      <c r="AB406" s="20"/>
    </row>
    <row r="407" spans="3:27" s="20" customFormat="1" ht="12.75">
      <c r="C407" s="21" t="s">
        <v>137</v>
      </c>
      <c r="D407" s="20">
        <f>H265</f>
        <v>1.4249999999999998</v>
      </c>
      <c r="E407" s="20" t="s">
        <v>5</v>
      </c>
      <c r="U407" s="7"/>
      <c r="V407" s="7"/>
      <c r="W407" s="7"/>
      <c r="X407" s="7"/>
      <c r="Y407" s="7"/>
      <c r="Z407" s="7"/>
      <c r="AA407" s="7"/>
    </row>
    <row r="408" spans="2:15" s="20" customFormat="1" ht="12.75">
      <c r="B408" s="20" t="s">
        <v>209</v>
      </c>
      <c r="E408" s="21" t="s">
        <v>210</v>
      </c>
      <c r="F408" s="20" t="str">
        <f>$H$179&amp;"×cos("&amp;$O$175&amp;"+"&amp;$G$173&amp;")="&amp;O408</f>
        <v>0.341×cos(0.0997+0.3491)=0.307</v>
      </c>
      <c r="O408" s="20">
        <f>ROUND($H$179*COS($O$175+$G$173),3)</f>
        <v>0.307</v>
      </c>
    </row>
    <row r="409" spans="1:15" s="20" customFormat="1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</row>
    <row r="410" s="20" customFormat="1" ht="12.75">
      <c r="B410" s="20" t="s">
        <v>211</v>
      </c>
    </row>
    <row r="411" spans="1:28" s="20" customFormat="1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AB411" s="7"/>
    </row>
    <row r="412" spans="3:20" s="20" customFormat="1" ht="12.75">
      <c r="C412" s="49" t="s">
        <v>212</v>
      </c>
      <c r="D412" s="50" t="s">
        <v>213</v>
      </c>
      <c r="E412" s="50" t="s">
        <v>214</v>
      </c>
      <c r="F412" s="50" t="s">
        <v>215</v>
      </c>
      <c r="G412" s="51" t="s">
        <v>216</v>
      </c>
      <c r="T412" s="7"/>
    </row>
    <row r="413" spans="3:28" s="20" customFormat="1" ht="12.75">
      <c r="C413" s="52">
        <f>0</f>
        <v>0</v>
      </c>
      <c r="D413" s="53"/>
      <c r="E413" s="53">
        <f aca="true" t="shared" si="1" ref="E413:E418">ROUND(($E$401+$H$402*C413)*$O$408-C413*$H$404,3)</f>
        <v>4.765</v>
      </c>
      <c r="F413" s="53">
        <f aca="true" t="shared" si="2" ref="F413:F418">ROUND(($E$401*C413+0.5*$H$402*C413^2)*$O$408-1/2*C413^2*$H$404,3)</f>
        <v>0</v>
      </c>
      <c r="G413" s="54">
        <f aca="true" t="shared" si="3" ref="G413:G418">ROUND(1/6*C413^3*$H$404-(1/2*$E$401*C413^2+1/6*$H$402*C413^3)*$O$408,3)</f>
        <v>0</v>
      </c>
      <c r="AB413" s="7"/>
    </row>
    <row r="414" spans="3:20" s="20" customFormat="1" ht="12.75">
      <c r="C414" s="52">
        <f>C413+$D$406/5</f>
        <v>0.25</v>
      </c>
      <c r="D414" s="53"/>
      <c r="E414" s="53">
        <f t="shared" si="1"/>
        <v>6.223</v>
      </c>
      <c r="F414" s="53">
        <f t="shared" si="2"/>
        <v>1.373</v>
      </c>
      <c r="G414" s="54">
        <f t="shared" si="3"/>
        <v>-0.164</v>
      </c>
      <c r="T414" s="7"/>
    </row>
    <row r="415" spans="1:28" ht="12.75">
      <c r="A415" s="20"/>
      <c r="B415" s="20"/>
      <c r="C415" s="52">
        <f>C414+$D$406/5</f>
        <v>0.5</v>
      </c>
      <c r="D415" s="53"/>
      <c r="E415" s="53">
        <f t="shared" si="1"/>
        <v>7.681</v>
      </c>
      <c r="F415" s="53">
        <f t="shared" si="2"/>
        <v>3.111</v>
      </c>
      <c r="G415" s="54">
        <f t="shared" si="3"/>
        <v>-0.717</v>
      </c>
      <c r="H415" s="20"/>
      <c r="I415" s="20"/>
      <c r="J415" s="20"/>
      <c r="K415" s="20"/>
      <c r="L415" s="20"/>
      <c r="M415" s="20"/>
      <c r="N415" s="20"/>
      <c r="O415" s="20"/>
      <c r="T415" s="20" t="s">
        <v>217</v>
      </c>
      <c r="U415" s="20"/>
      <c r="V415" s="20"/>
      <c r="W415" s="20"/>
      <c r="X415" s="20"/>
      <c r="Y415" s="20"/>
      <c r="Z415" s="20"/>
      <c r="AA415" s="20"/>
      <c r="AB415" s="20"/>
    </row>
    <row r="416" spans="3:27" s="20" customFormat="1" ht="12.75">
      <c r="C416" s="52">
        <f>C415+$D$406/5</f>
        <v>0.75</v>
      </c>
      <c r="D416" s="53"/>
      <c r="E416" s="53">
        <f t="shared" si="1"/>
        <v>9.139</v>
      </c>
      <c r="F416" s="53">
        <f t="shared" si="2"/>
        <v>5.214</v>
      </c>
      <c r="G416" s="54">
        <f t="shared" si="3"/>
        <v>-1.75</v>
      </c>
      <c r="T416" s="26"/>
      <c r="U416" s="7"/>
      <c r="V416" s="7"/>
      <c r="W416" s="7"/>
      <c r="X416" s="7"/>
      <c r="Y416" s="7"/>
      <c r="Z416" s="7"/>
      <c r="AA416" s="7"/>
    </row>
    <row r="417" spans="1:28" ht="12.75">
      <c r="A417" s="20"/>
      <c r="B417" s="20"/>
      <c r="C417" s="52">
        <f>C416+$D$406/5</f>
        <v>1</v>
      </c>
      <c r="D417" s="53"/>
      <c r="E417" s="53">
        <f t="shared" si="1"/>
        <v>10.598</v>
      </c>
      <c r="F417" s="53">
        <f t="shared" si="2"/>
        <v>7.681</v>
      </c>
      <c r="G417" s="54">
        <f t="shared" si="3"/>
        <v>-3.354</v>
      </c>
      <c r="H417" s="20"/>
      <c r="I417" s="20"/>
      <c r="J417" s="20"/>
      <c r="K417" s="20"/>
      <c r="L417" s="20"/>
      <c r="M417" s="20"/>
      <c r="N417" s="20"/>
      <c r="O417" s="20"/>
      <c r="T417" s="27" t="s">
        <v>223</v>
      </c>
      <c r="U417" s="20"/>
      <c r="V417" s="20"/>
      <c r="W417" s="20"/>
      <c r="X417" s="20"/>
      <c r="Y417" s="20"/>
      <c r="Z417" s="20"/>
      <c r="AA417" s="20"/>
      <c r="AB417" s="20"/>
    </row>
    <row r="418" spans="3:27" s="20" customFormat="1" ht="12.75">
      <c r="C418" s="52">
        <f>C417+$D$406/5</f>
        <v>1.25</v>
      </c>
      <c r="D418" s="53">
        <f aca="true" t="shared" si="4" ref="D418:D423">C418-$C$418</f>
        <v>0</v>
      </c>
      <c r="E418" s="53">
        <f t="shared" si="1"/>
        <v>12.056</v>
      </c>
      <c r="F418" s="53">
        <f t="shared" si="2"/>
        <v>10.513</v>
      </c>
      <c r="G418" s="54">
        <f t="shared" si="3"/>
        <v>-5.621</v>
      </c>
      <c r="R418" s="20" t="s">
        <v>217</v>
      </c>
      <c r="S418" s="20">
        <f>'入力'!J20</f>
        <v>30</v>
      </c>
      <c r="T418" s="28"/>
      <c r="U418" s="7"/>
      <c r="V418" s="7"/>
      <c r="W418" s="7"/>
      <c r="X418" s="7"/>
      <c r="Y418" s="7"/>
      <c r="Z418" s="7"/>
      <c r="AA418" s="7"/>
    </row>
    <row r="419" spans="3:21" s="20" customFormat="1" ht="12.75">
      <c r="C419" s="52">
        <f>C418+$D$407/5</f>
        <v>1.535</v>
      </c>
      <c r="D419" s="53">
        <f t="shared" si="4"/>
        <v>0.2849999999999999</v>
      </c>
      <c r="E419" s="53">
        <f>ROUND($E$418+($H$403*$O$408+$H$405-$H$404)*D419,3)</f>
        <v>15.724</v>
      </c>
      <c r="F419" s="53">
        <f>ROUND($F$418+$E$418*D419+0.5*($H$403*$O$408+$H$405-$H$404)*D419^2,3)</f>
        <v>14.472</v>
      </c>
      <c r="G419" s="54">
        <f>ROUND($G$418-$F$418*D419-0.5*$E$418*D419^2-1/6*($H$403*$O$408+$H$405-$H$404)*D419^3,3)</f>
        <v>-9.156</v>
      </c>
      <c r="Q419" s="24"/>
      <c r="R419" s="24"/>
      <c r="S419" s="25" t="s">
        <v>218</v>
      </c>
      <c r="T419" s="28"/>
      <c r="U419" s="20">
        <f>S418</f>
        <v>30</v>
      </c>
    </row>
    <row r="420" spans="3:23" s="20" customFormat="1" ht="12.75">
      <c r="C420" s="52">
        <f>C419+$D$407/5</f>
        <v>1.8199999999999998</v>
      </c>
      <c r="D420" s="53">
        <f t="shared" si="4"/>
        <v>0.5699999999999998</v>
      </c>
      <c r="E420" s="53">
        <f>ROUND($E$418+($H$403*$O$408+$H$405-$H$404)*D420,3)</f>
        <v>19.392</v>
      </c>
      <c r="F420" s="53">
        <f>ROUND($F$418+$E$418*D420+0.5*($H$403*$O$408+$H$405-$H$404)*D420^2,3)</f>
        <v>19.476</v>
      </c>
      <c r="G420" s="54">
        <f>ROUND($G$418-$F$418*D420-0.5*$E$418*D420^2-1/6*($H$403*$O$408+$H$405-$H$404)*D420^3,3)</f>
        <v>-13.969</v>
      </c>
      <c r="Q420" s="27" t="s">
        <v>220</v>
      </c>
      <c r="R420" s="27" t="s">
        <v>221</v>
      </c>
      <c r="S420" s="27" t="s">
        <v>222</v>
      </c>
      <c r="T420" s="28"/>
      <c r="U420" s="24" t="s">
        <v>219</v>
      </c>
      <c r="V420" s="24"/>
      <c r="W420" s="24"/>
    </row>
    <row r="421" spans="3:23" s="20" customFormat="1" ht="12.75">
      <c r="C421" s="52">
        <f>C420+$D$407/5</f>
        <v>2.105</v>
      </c>
      <c r="D421" s="53">
        <f t="shared" si="4"/>
        <v>0.855</v>
      </c>
      <c r="E421" s="53">
        <f>ROUND($E$418+($H$403*$O$408+$H$405-$H$404)*D421,3)</f>
        <v>23.06</v>
      </c>
      <c r="F421" s="53">
        <f>ROUND($F$418+$E$418*D421+0.5*($H$403*$O$408+$H$405-$H$404)*D421^2,3)</f>
        <v>25.525</v>
      </c>
      <c r="G421" s="54">
        <f>ROUND($G$418-$F$418*D421-0.5*$E$418*D421^2-1/6*($H$403*$O$408+$H$405-$H$404)*D421^3,3)</f>
        <v>-20.357</v>
      </c>
      <c r="Q421" s="28">
        <v>0</v>
      </c>
      <c r="R421" s="28">
        <f>O76</f>
        <v>2.675</v>
      </c>
      <c r="S421" s="28"/>
      <c r="T421" s="28"/>
      <c r="U421" s="27" t="s">
        <v>222</v>
      </c>
      <c r="V421" s="27" t="s">
        <v>223</v>
      </c>
      <c r="W421" s="27" t="s">
        <v>224</v>
      </c>
    </row>
    <row r="422" spans="3:23" s="20" customFormat="1" ht="12.75">
      <c r="C422" s="52">
        <f>C421+$D$407/5</f>
        <v>2.39</v>
      </c>
      <c r="D422" s="53">
        <f t="shared" si="4"/>
        <v>1.1400000000000001</v>
      </c>
      <c r="E422" s="53">
        <f>ROUND($E$418+($H$403*$O$408+$H$405-$H$404)*D422,3)</f>
        <v>26.728</v>
      </c>
      <c r="F422" s="53">
        <f>ROUND($F$418+$E$418*D422+0.5*($H$403*$O$408+$H$405-$H$404)*D422^2,3)</f>
        <v>32.62</v>
      </c>
      <c r="G422" s="54">
        <f>ROUND($G$418-$F$418*D422-0.5*$E$418*D422^2-1/6*($H$403*$O$408+$H$405-$H$404)*D422^3,3)</f>
        <v>-28.618</v>
      </c>
      <c r="Q422" s="28">
        <v>0</v>
      </c>
      <c r="R422" s="28">
        <v>0</v>
      </c>
      <c r="S422" s="28"/>
      <c r="T422" s="28"/>
      <c r="U422" s="28"/>
      <c r="V422" s="28"/>
      <c r="W422" s="28"/>
    </row>
    <row r="423" spans="3:23" s="20" customFormat="1" ht="12.75">
      <c r="C423" s="55">
        <f>C422+$D$407/5</f>
        <v>2.6750000000000003</v>
      </c>
      <c r="D423" s="56">
        <f t="shared" si="4"/>
        <v>1.4250000000000003</v>
      </c>
      <c r="E423" s="53">
        <f>ROUND($E$418+($H$403*$O$408+$H$405-$H$404)*D423,3)</f>
        <v>30.396</v>
      </c>
      <c r="F423" s="53">
        <f>ROUND($F$418+$E$418*D423+0.5*($H$403*$O$408+$H$405-$H$404)*D423^2,3)</f>
        <v>40.76</v>
      </c>
      <c r="G423" s="54">
        <f>ROUND($G$418-$F$418*D423-0.5*$E$418*D423^2-1/6*($H$403*$O$408+$H$405-$H$404)*D423^3,3)</f>
        <v>-39.049</v>
      </c>
      <c r="Q423" s="28">
        <f>E428</f>
        <v>2.4</v>
      </c>
      <c r="R423" s="28">
        <v>0</v>
      </c>
      <c r="S423" s="28"/>
      <c r="T423" s="28"/>
      <c r="U423" s="28"/>
      <c r="V423" s="28"/>
      <c r="W423" s="28"/>
    </row>
    <row r="424" spans="5:23" s="20" customFormat="1" ht="12.75">
      <c r="E424" s="62" t="s">
        <v>278</v>
      </c>
      <c r="F424" s="60">
        <f>MAX(F413:F423)</f>
        <v>40.76</v>
      </c>
      <c r="G424" s="59">
        <f>MAX(G413:G423)</f>
        <v>0</v>
      </c>
      <c r="Q424" s="28">
        <f>Q423</f>
        <v>2.4</v>
      </c>
      <c r="R424" s="28">
        <f>R421</f>
        <v>2.675</v>
      </c>
      <c r="S424" s="28"/>
      <c r="T424" s="28"/>
      <c r="U424" s="28"/>
      <c r="V424" s="28"/>
      <c r="W424" s="28"/>
    </row>
    <row r="425" spans="5:23" s="20" customFormat="1" ht="12.75">
      <c r="E425" s="61" t="s">
        <v>277</v>
      </c>
      <c r="F425" s="56">
        <f>MIN(F413:F423)</f>
        <v>0</v>
      </c>
      <c r="G425" s="57">
        <f>MIN(G413:G423)</f>
        <v>-39.049</v>
      </c>
      <c r="Q425" s="28">
        <f>F413/$S$418</f>
        <v>0</v>
      </c>
      <c r="R425" s="28"/>
      <c r="S425" s="28">
        <f>$R$421-C413</f>
        <v>2.675</v>
      </c>
      <c r="T425" s="28"/>
      <c r="U425" s="28"/>
      <c r="V425" s="28"/>
      <c r="W425" s="28"/>
    </row>
    <row r="426" spans="17:23" s="20" customFormat="1" ht="12.75">
      <c r="Q426" s="28">
        <f aca="true" t="shared" si="5" ref="Q426:Q435">F414/$S$418</f>
        <v>0.045766666666666664</v>
      </c>
      <c r="R426" s="28"/>
      <c r="S426" s="28">
        <f aca="true" t="shared" si="6" ref="S426:S435">$R$421-C414</f>
        <v>2.425</v>
      </c>
      <c r="T426" s="28"/>
      <c r="U426" s="28"/>
      <c r="V426" s="28"/>
      <c r="W426" s="28"/>
    </row>
    <row r="427" spans="1:23" s="20" customFormat="1" ht="12.75">
      <c r="A427" s="20" t="s">
        <v>225</v>
      </c>
      <c r="Q427" s="28">
        <f t="shared" si="5"/>
        <v>0.1037</v>
      </c>
      <c r="R427" s="28"/>
      <c r="S427" s="28">
        <f t="shared" si="6"/>
        <v>2.175</v>
      </c>
      <c r="T427" s="28"/>
      <c r="U427" s="28"/>
      <c r="V427" s="28"/>
      <c r="W427" s="28"/>
    </row>
    <row r="428" spans="3:23" s="20" customFormat="1" ht="12.75">
      <c r="C428" s="20" t="s">
        <v>226</v>
      </c>
      <c r="D428" s="21" t="s">
        <v>227</v>
      </c>
      <c r="E428" s="20">
        <f>O77</f>
        <v>2.4</v>
      </c>
      <c r="F428" s="20" t="s">
        <v>74</v>
      </c>
      <c r="Q428" s="28">
        <f t="shared" si="5"/>
        <v>0.1738</v>
      </c>
      <c r="R428" s="28"/>
      <c r="S428" s="28">
        <f t="shared" si="6"/>
        <v>1.9249999999999998</v>
      </c>
      <c r="T428" s="28"/>
      <c r="U428" s="28"/>
      <c r="V428" s="28"/>
      <c r="W428" s="28"/>
    </row>
    <row r="429" spans="3:23" s="20" customFormat="1" ht="12.75">
      <c r="C429" s="20" t="s">
        <v>228</v>
      </c>
      <c r="D429" s="21" t="s">
        <v>186</v>
      </c>
      <c r="E429" s="20">
        <f>F295</f>
        <v>22.448999999999995</v>
      </c>
      <c r="F429" s="20" t="s">
        <v>187</v>
      </c>
      <c r="Q429" s="28">
        <f t="shared" si="5"/>
        <v>0.25603333333333333</v>
      </c>
      <c r="R429" s="28"/>
      <c r="S429" s="28">
        <f t="shared" si="6"/>
        <v>1.6749999999999998</v>
      </c>
      <c r="T429" s="28"/>
      <c r="U429" s="28"/>
      <c r="V429" s="28"/>
      <c r="W429" s="28"/>
    </row>
    <row r="430" spans="3:23" s="20" customFormat="1" ht="12.75">
      <c r="C430" s="20" t="s">
        <v>98</v>
      </c>
      <c r="D430" s="21" t="s">
        <v>99</v>
      </c>
      <c r="E430" s="20">
        <f>F291</f>
        <v>8.575</v>
      </c>
      <c r="F430" s="20" t="s">
        <v>178</v>
      </c>
      <c r="Q430" s="28">
        <f t="shared" si="5"/>
        <v>0.3504333333333333</v>
      </c>
      <c r="R430" s="28"/>
      <c r="S430" s="28">
        <f t="shared" si="6"/>
        <v>1.4249999999999998</v>
      </c>
      <c r="T430" s="28"/>
      <c r="U430" s="28"/>
      <c r="V430" s="28"/>
      <c r="W430" s="28"/>
    </row>
    <row r="431" spans="3:23" s="20" customFormat="1" ht="12.75">
      <c r="C431" s="20" t="s">
        <v>181</v>
      </c>
      <c r="D431" s="21" t="s">
        <v>229</v>
      </c>
      <c r="E431" s="20">
        <f>F293</f>
        <v>0</v>
      </c>
      <c r="F431" s="20" t="s">
        <v>182</v>
      </c>
      <c r="Q431" s="28">
        <f t="shared" si="5"/>
        <v>0.4824</v>
      </c>
      <c r="R431" s="28"/>
      <c r="S431" s="28">
        <f t="shared" si="6"/>
        <v>1.14</v>
      </c>
      <c r="T431" s="28"/>
      <c r="U431" s="28"/>
      <c r="V431" s="28"/>
      <c r="W431" s="28"/>
    </row>
    <row r="432" spans="3:23" s="20" customFormat="1" ht="12.75">
      <c r="C432" s="20" t="s">
        <v>183</v>
      </c>
      <c r="D432" s="21" t="s">
        <v>172</v>
      </c>
      <c r="E432" s="20">
        <f>F294</f>
        <v>-13.965</v>
      </c>
      <c r="F432" s="20" t="s">
        <v>184</v>
      </c>
      <c r="Q432" s="28">
        <f t="shared" si="5"/>
        <v>0.6492</v>
      </c>
      <c r="R432" s="28"/>
      <c r="S432" s="28">
        <f t="shared" si="6"/>
        <v>0.855</v>
      </c>
      <c r="T432" s="28"/>
      <c r="U432" s="28"/>
      <c r="V432" s="28"/>
      <c r="W432" s="28"/>
    </row>
    <row r="433" spans="4:23" s="20" customFormat="1" ht="12.75">
      <c r="D433" s="21" t="s">
        <v>230</v>
      </c>
      <c r="E433" s="20">
        <f>E429-(E430+E431+E432)</f>
        <v>27.838999999999995</v>
      </c>
      <c r="F433" s="20" t="s">
        <v>184</v>
      </c>
      <c r="Q433" s="28">
        <f t="shared" si="5"/>
        <v>0.8508333333333333</v>
      </c>
      <c r="R433" s="28"/>
      <c r="S433" s="28">
        <f t="shared" si="6"/>
        <v>0.5699999999999998</v>
      </c>
      <c r="T433" s="28">
        <v>0</v>
      </c>
      <c r="U433" s="28"/>
      <c r="V433" s="28"/>
      <c r="W433" s="28"/>
    </row>
    <row r="434" spans="3:23" s="20" customFormat="1" ht="12.75">
      <c r="C434" s="20" t="s">
        <v>96</v>
      </c>
      <c r="D434" s="21" t="s">
        <v>97</v>
      </c>
      <c r="E434" s="20">
        <f>N123</f>
        <v>18.559</v>
      </c>
      <c r="F434" s="20" t="s">
        <v>231</v>
      </c>
      <c r="Q434" s="28">
        <f t="shared" si="5"/>
        <v>1.0873333333333333</v>
      </c>
      <c r="R434" s="28"/>
      <c r="S434" s="28">
        <f t="shared" si="6"/>
        <v>0.2849999999999997</v>
      </c>
      <c r="T434" s="28">
        <f>D438/$S$418</f>
        <v>-1.1135666666666666</v>
      </c>
      <c r="U434" s="28"/>
      <c r="V434" s="28"/>
      <c r="W434" s="28"/>
    </row>
    <row r="435" spans="3:23" s="20" customFormat="1" ht="12.75">
      <c r="C435" s="20" t="s">
        <v>232</v>
      </c>
      <c r="D435" s="21" t="s">
        <v>233</v>
      </c>
      <c r="E435" s="20">
        <f>O227</f>
        <v>14.848</v>
      </c>
      <c r="F435" s="20" t="s">
        <v>234</v>
      </c>
      <c r="Q435" s="28">
        <f t="shared" si="5"/>
        <v>1.3586666666666667</v>
      </c>
      <c r="R435" s="28"/>
      <c r="S435" s="28">
        <f t="shared" si="6"/>
        <v>0</v>
      </c>
      <c r="T435" s="28">
        <f aca="true" t="shared" si="7" ref="T435:T444">D439/$S$418</f>
        <v>-1.0022</v>
      </c>
      <c r="U435" s="28"/>
      <c r="V435" s="28"/>
      <c r="W435" s="28"/>
    </row>
    <row r="436" spans="17:23" s="20" customFormat="1" ht="12.75">
      <c r="Q436" s="28">
        <v>0</v>
      </c>
      <c r="R436" s="28"/>
      <c r="S436" s="28"/>
      <c r="T436" s="28">
        <f t="shared" si="7"/>
        <v>-0.8908666666666666</v>
      </c>
      <c r="U436" s="28"/>
      <c r="V436" s="28"/>
      <c r="W436" s="28"/>
    </row>
    <row r="437" spans="3:23" s="20" customFormat="1" ht="12.75">
      <c r="C437" s="49" t="s">
        <v>235</v>
      </c>
      <c r="D437" s="50" t="s">
        <v>236</v>
      </c>
      <c r="E437" s="51" t="s">
        <v>237</v>
      </c>
      <c r="Q437" s="28">
        <f>C438</f>
        <v>0</v>
      </c>
      <c r="R437" s="28"/>
      <c r="S437" s="28"/>
      <c r="T437" s="28">
        <f t="shared" si="7"/>
        <v>-0.7795000000000001</v>
      </c>
      <c r="U437" s="28"/>
      <c r="V437" s="28"/>
      <c r="W437" s="28"/>
    </row>
    <row r="438" spans="3:23" s="20" customFormat="1" ht="12.75">
      <c r="C438" s="52">
        <v>0</v>
      </c>
      <c r="D438" s="53">
        <f>ROUND($E$433*C438-($E$434+$E$435),3)</f>
        <v>-33.407</v>
      </c>
      <c r="E438" s="54">
        <f aca="true" t="shared" si="8" ref="E438:E448">ROUND($G$423-0.5*$E$433*C438^2+($E$434+$E$435)*C438,3)</f>
        <v>-39.049</v>
      </c>
      <c r="Q438" s="28">
        <f aca="true" t="shared" si="9" ref="Q438:Q447">C439</f>
        <v>0.12</v>
      </c>
      <c r="R438" s="28"/>
      <c r="S438" s="28"/>
      <c r="T438" s="28">
        <f t="shared" si="7"/>
        <v>-0.6681333333333334</v>
      </c>
      <c r="U438" s="28"/>
      <c r="V438" s="28"/>
      <c r="W438" s="28"/>
    </row>
    <row r="439" spans="3:23" s="20" customFormat="1" ht="12.75">
      <c r="C439" s="52">
        <f>C438+$E$428/2/10</f>
        <v>0.12</v>
      </c>
      <c r="D439" s="53">
        <f aca="true" t="shared" si="10" ref="D439:D448">ROUND($E$433*C439-($E$434+$E$435),3)</f>
        <v>-30.066</v>
      </c>
      <c r="E439" s="54">
        <f t="shared" si="8"/>
        <v>-35.241</v>
      </c>
      <c r="Q439" s="28">
        <f t="shared" si="9"/>
        <v>0.24</v>
      </c>
      <c r="R439" s="28"/>
      <c r="S439" s="28"/>
      <c r="T439" s="28">
        <f t="shared" si="7"/>
        <v>-0.5568000000000001</v>
      </c>
      <c r="U439" s="28"/>
      <c r="V439" s="28"/>
      <c r="W439" s="28"/>
    </row>
    <row r="440" spans="3:23" s="20" customFormat="1" ht="12.75">
      <c r="C440" s="52">
        <f aca="true" t="shared" si="11" ref="C440:C448">C439+$E$428/2/10</f>
        <v>0.24</v>
      </c>
      <c r="D440" s="53">
        <f t="shared" si="10"/>
        <v>-26.726</v>
      </c>
      <c r="E440" s="54">
        <f t="shared" si="8"/>
        <v>-31.833</v>
      </c>
      <c r="Q440" s="28">
        <f t="shared" si="9"/>
        <v>0.36</v>
      </c>
      <c r="R440" s="28"/>
      <c r="S440" s="28"/>
      <c r="T440" s="28">
        <f t="shared" si="7"/>
        <v>-0.4454333333333333</v>
      </c>
      <c r="U440" s="28"/>
      <c r="V440" s="28"/>
      <c r="W440" s="28"/>
    </row>
    <row r="441" spans="3:23" s="20" customFormat="1" ht="12.75">
      <c r="C441" s="52">
        <f t="shared" si="11"/>
        <v>0.36</v>
      </c>
      <c r="D441" s="53">
        <f t="shared" si="10"/>
        <v>-23.385</v>
      </c>
      <c r="E441" s="54">
        <f t="shared" si="8"/>
        <v>-28.826</v>
      </c>
      <c r="Q441" s="28">
        <f t="shared" si="9"/>
        <v>0.48</v>
      </c>
      <c r="R441" s="28"/>
      <c r="S441" s="28"/>
      <c r="T441" s="28">
        <f>D445/$S$418</f>
        <v>-0.3340666666666667</v>
      </c>
      <c r="U441" s="28"/>
      <c r="V441" s="28"/>
      <c r="W441" s="28"/>
    </row>
    <row r="442" spans="3:23" s="20" customFormat="1" ht="12.75">
      <c r="C442" s="52">
        <f t="shared" si="11"/>
        <v>0.48</v>
      </c>
      <c r="D442" s="53">
        <f t="shared" si="10"/>
        <v>-20.044</v>
      </c>
      <c r="E442" s="54">
        <f t="shared" si="8"/>
        <v>-26.221</v>
      </c>
      <c r="Q442" s="28">
        <f t="shared" si="9"/>
        <v>0.6</v>
      </c>
      <c r="R442" s="28"/>
      <c r="S442" s="28"/>
      <c r="T442" s="28">
        <f t="shared" si="7"/>
        <v>-0.22273333333333334</v>
      </c>
      <c r="U442" s="28"/>
      <c r="V442" s="28"/>
      <c r="W442" s="28"/>
    </row>
    <row r="443" spans="3:23" s="20" customFormat="1" ht="12.75">
      <c r="C443" s="52">
        <f t="shared" si="11"/>
        <v>0.6</v>
      </c>
      <c r="D443" s="53">
        <f t="shared" si="10"/>
        <v>-16.704</v>
      </c>
      <c r="E443" s="54">
        <f t="shared" si="8"/>
        <v>-24.016</v>
      </c>
      <c r="Q443" s="28">
        <f t="shared" si="9"/>
        <v>0.72</v>
      </c>
      <c r="R443" s="28"/>
      <c r="S443" s="28"/>
      <c r="T443" s="28">
        <f t="shared" si="7"/>
        <v>-0.11136666666666667</v>
      </c>
      <c r="U443" s="28"/>
      <c r="V443" s="28"/>
      <c r="W443" s="28"/>
    </row>
    <row r="444" spans="3:23" s="20" customFormat="1" ht="12.75">
      <c r="C444" s="52">
        <f t="shared" si="11"/>
        <v>0.72</v>
      </c>
      <c r="D444" s="53">
        <f t="shared" si="10"/>
        <v>-13.363</v>
      </c>
      <c r="E444" s="54">
        <f t="shared" si="8"/>
        <v>-22.212</v>
      </c>
      <c r="Q444" s="28">
        <f t="shared" si="9"/>
        <v>0.84</v>
      </c>
      <c r="R444" s="28"/>
      <c r="S444" s="28"/>
      <c r="T444" s="28">
        <f t="shared" si="7"/>
        <v>0</v>
      </c>
      <c r="U444" s="28"/>
      <c r="V444" s="28"/>
      <c r="W444" s="28"/>
    </row>
    <row r="445" spans="3:23" s="20" customFormat="1" ht="12.75">
      <c r="C445" s="52">
        <f t="shared" si="11"/>
        <v>0.84</v>
      </c>
      <c r="D445" s="53">
        <f t="shared" si="10"/>
        <v>-10.022</v>
      </c>
      <c r="E445" s="54">
        <f t="shared" si="8"/>
        <v>-20.809</v>
      </c>
      <c r="Q445" s="28">
        <f>C446</f>
        <v>0.96</v>
      </c>
      <c r="R445" s="28"/>
      <c r="S445" s="28"/>
      <c r="T445" s="28"/>
      <c r="U445" s="28"/>
      <c r="V445" s="28"/>
      <c r="W445" s="28"/>
    </row>
    <row r="446" spans="3:23" s="20" customFormat="1" ht="12.75">
      <c r="C446" s="52">
        <f t="shared" si="11"/>
        <v>0.96</v>
      </c>
      <c r="D446" s="53">
        <f t="shared" si="10"/>
        <v>-6.682</v>
      </c>
      <c r="E446" s="54">
        <f t="shared" si="8"/>
        <v>-19.806</v>
      </c>
      <c r="Q446" s="28">
        <f t="shared" si="9"/>
        <v>1.08</v>
      </c>
      <c r="R446" s="28"/>
      <c r="S446" s="28"/>
      <c r="T446" s="28"/>
      <c r="U446" s="28"/>
      <c r="V446" s="28"/>
      <c r="W446" s="28"/>
    </row>
    <row r="447" spans="3:23" s="20" customFormat="1" ht="12.75">
      <c r="C447" s="52">
        <f>C446+$E$428/2/10</f>
        <v>1.08</v>
      </c>
      <c r="D447" s="53">
        <f t="shared" si="10"/>
        <v>-3.341</v>
      </c>
      <c r="E447" s="54">
        <f t="shared" si="8"/>
        <v>-19.205</v>
      </c>
      <c r="Q447" s="28">
        <f t="shared" si="9"/>
        <v>1.2000000000000002</v>
      </c>
      <c r="R447" s="28"/>
      <c r="S447" s="28"/>
      <c r="T447" s="28"/>
      <c r="U447" s="28"/>
      <c r="V447" s="28"/>
      <c r="W447" s="28"/>
    </row>
    <row r="448" spans="3:23" s="20" customFormat="1" ht="12.75">
      <c r="C448" s="55">
        <f t="shared" si="11"/>
        <v>1.2000000000000002</v>
      </c>
      <c r="D448" s="56">
        <f t="shared" si="10"/>
        <v>0</v>
      </c>
      <c r="E448" s="57">
        <f t="shared" si="8"/>
        <v>-19.005</v>
      </c>
      <c r="Q448" s="28">
        <f aca="true" t="shared" si="12" ref="Q448:Q458">$E$428-G413/$U$419</f>
        <v>2.4</v>
      </c>
      <c r="R448" s="28"/>
      <c r="S448" s="28"/>
      <c r="T448" s="28"/>
      <c r="U448" s="28"/>
      <c r="V448" s="28"/>
      <c r="W448" s="28"/>
    </row>
    <row r="449" spans="3:23" s="20" customFormat="1" ht="12.75">
      <c r="C449" s="61" t="s">
        <v>278</v>
      </c>
      <c r="D449" s="60">
        <f>MAX(D438:D448)</f>
        <v>0</v>
      </c>
      <c r="E449" s="59">
        <f>MAX(E438:E448)</f>
        <v>-19.005</v>
      </c>
      <c r="Q449" s="28">
        <f t="shared" si="12"/>
        <v>2.4054666666666664</v>
      </c>
      <c r="R449" s="28"/>
      <c r="S449" s="28"/>
      <c r="T449" s="28"/>
      <c r="U449" s="28">
        <f aca="true" t="shared" si="13" ref="U449:U459">S425</f>
        <v>2.675</v>
      </c>
      <c r="V449" s="28"/>
      <c r="W449" s="28"/>
    </row>
    <row r="450" spans="3:23" s="20" customFormat="1" ht="12.75">
      <c r="C450" s="61" t="s">
        <v>277</v>
      </c>
      <c r="D450" s="60">
        <f>MIN(D438:D448)</f>
        <v>-33.407</v>
      </c>
      <c r="E450" s="59">
        <f>MIN(E438:E448)</f>
        <v>-39.049</v>
      </c>
      <c r="Q450" s="28">
        <f t="shared" si="12"/>
        <v>2.4238999999999997</v>
      </c>
      <c r="R450" s="28"/>
      <c r="S450" s="28"/>
      <c r="T450" s="28"/>
      <c r="U450" s="28">
        <f t="shared" si="13"/>
        <v>2.425</v>
      </c>
      <c r="V450" s="28"/>
      <c r="W450" s="28"/>
    </row>
    <row r="451" spans="17:23" s="20" customFormat="1" ht="12.75">
      <c r="Q451" s="28">
        <f t="shared" si="12"/>
        <v>2.458333333333333</v>
      </c>
      <c r="R451" s="28"/>
      <c r="S451" s="28"/>
      <c r="T451" s="28"/>
      <c r="U451" s="28">
        <f t="shared" si="13"/>
        <v>2.175</v>
      </c>
      <c r="V451" s="28"/>
      <c r="W451" s="28"/>
    </row>
    <row r="452" spans="17:23" s="20" customFormat="1" ht="12.75">
      <c r="Q452" s="28">
        <f t="shared" si="12"/>
        <v>2.5118</v>
      </c>
      <c r="R452" s="28"/>
      <c r="S452" s="28"/>
      <c r="T452" s="28"/>
      <c r="U452" s="28">
        <f t="shared" si="13"/>
        <v>1.9249999999999998</v>
      </c>
      <c r="V452" s="28"/>
      <c r="W452" s="28"/>
    </row>
    <row r="453" spans="1:23" s="20" customFormat="1" ht="12.75">
      <c r="A453" s="20" t="s">
        <v>238</v>
      </c>
      <c r="Q453" s="28">
        <f t="shared" si="12"/>
        <v>2.5873666666666666</v>
      </c>
      <c r="R453" s="28"/>
      <c r="S453" s="28"/>
      <c r="T453" s="28"/>
      <c r="U453" s="28">
        <f t="shared" si="13"/>
        <v>1.6749999999999998</v>
      </c>
      <c r="V453" s="28"/>
      <c r="W453" s="28"/>
    </row>
    <row r="454" spans="17:23" s="20" customFormat="1" ht="12.75">
      <c r="Q454" s="28">
        <f t="shared" si="12"/>
        <v>2.7052</v>
      </c>
      <c r="R454" s="28"/>
      <c r="S454" s="28"/>
      <c r="T454" s="28"/>
      <c r="U454" s="28">
        <f t="shared" si="13"/>
        <v>1.4249999999999998</v>
      </c>
      <c r="V454" s="28"/>
      <c r="W454" s="28"/>
    </row>
    <row r="455" spans="17:23" s="20" customFormat="1" ht="12.75">
      <c r="Q455" s="28">
        <f t="shared" si="12"/>
        <v>2.8656333333333333</v>
      </c>
      <c r="R455" s="28"/>
      <c r="S455" s="28"/>
      <c r="T455" s="28"/>
      <c r="U455" s="28">
        <f t="shared" si="13"/>
        <v>1.14</v>
      </c>
      <c r="V455" s="28"/>
      <c r="W455" s="28"/>
    </row>
    <row r="456" spans="17:23" s="20" customFormat="1" ht="12.75">
      <c r="Q456" s="28">
        <f t="shared" si="12"/>
        <v>3.0785666666666667</v>
      </c>
      <c r="R456" s="28"/>
      <c r="S456" s="28"/>
      <c r="T456" s="28"/>
      <c r="U456" s="28">
        <f t="shared" si="13"/>
        <v>0.855</v>
      </c>
      <c r="V456" s="28"/>
      <c r="W456" s="28"/>
    </row>
    <row r="457" spans="17:23" s="20" customFormat="1" ht="12.75">
      <c r="Q457" s="28">
        <f t="shared" si="12"/>
        <v>3.353933333333333</v>
      </c>
      <c r="R457" s="28"/>
      <c r="S457" s="28"/>
      <c r="T457" s="28"/>
      <c r="U457" s="28">
        <f t="shared" si="13"/>
        <v>0.5699999999999998</v>
      </c>
      <c r="V457" s="28"/>
      <c r="W457" s="28"/>
    </row>
    <row r="458" spans="17:23" s="20" customFormat="1" ht="12.75">
      <c r="Q458" s="28">
        <f t="shared" si="12"/>
        <v>3.7016333333333336</v>
      </c>
      <c r="R458" s="28"/>
      <c r="S458" s="28"/>
      <c r="T458" s="28"/>
      <c r="U458" s="28">
        <f t="shared" si="13"/>
        <v>0.2849999999999997</v>
      </c>
      <c r="V458" s="28"/>
      <c r="W458" s="28"/>
    </row>
    <row r="459" spans="17:23" s="20" customFormat="1" ht="12.75">
      <c r="Q459" s="28">
        <f>E428</f>
        <v>2.4</v>
      </c>
      <c r="R459" s="28"/>
      <c r="S459" s="28"/>
      <c r="T459" s="28"/>
      <c r="U459" s="28">
        <f t="shared" si="13"/>
        <v>0</v>
      </c>
      <c r="V459" s="28"/>
      <c r="W459" s="28"/>
    </row>
    <row r="460" spans="17:23" s="20" customFormat="1" ht="12.75">
      <c r="Q460" s="28">
        <f>Q459</f>
        <v>2.4</v>
      </c>
      <c r="R460" s="28"/>
      <c r="S460" s="28"/>
      <c r="T460" s="28"/>
      <c r="U460" s="28">
        <v>0</v>
      </c>
      <c r="V460" s="28"/>
      <c r="W460" s="28"/>
    </row>
    <row r="461" spans="17:23" s="20" customFormat="1" ht="12.75">
      <c r="Q461" s="28">
        <f aca="true" t="shared" si="14" ref="Q461:Q471">$E$428-Q437</f>
        <v>2.4</v>
      </c>
      <c r="R461" s="28"/>
      <c r="S461" s="28"/>
      <c r="T461" s="28"/>
      <c r="U461" s="28"/>
      <c r="V461" s="28">
        <v>0</v>
      </c>
      <c r="W461" s="28"/>
    </row>
    <row r="462" spans="17:23" s="20" customFormat="1" ht="12.75">
      <c r="Q462" s="28">
        <f t="shared" si="14"/>
        <v>2.28</v>
      </c>
      <c r="R462" s="28"/>
      <c r="S462" s="28"/>
      <c r="T462" s="28"/>
      <c r="U462" s="28"/>
      <c r="V462" s="28">
        <f aca="true" t="shared" si="15" ref="V462:V472">E438/$U$419</f>
        <v>-1.3016333333333334</v>
      </c>
      <c r="W462" s="28"/>
    </row>
    <row r="463" spans="17:23" s="20" customFormat="1" ht="12.75">
      <c r="Q463" s="28">
        <f t="shared" si="14"/>
        <v>2.16</v>
      </c>
      <c r="R463" s="28"/>
      <c r="S463" s="28"/>
      <c r="T463" s="28"/>
      <c r="U463" s="28"/>
      <c r="V463" s="28">
        <f t="shared" si="15"/>
        <v>-1.1747</v>
      </c>
      <c r="W463" s="28"/>
    </row>
    <row r="464" spans="17:23" s="20" customFormat="1" ht="12.75">
      <c r="Q464" s="28">
        <f t="shared" si="14"/>
        <v>2.04</v>
      </c>
      <c r="R464" s="28"/>
      <c r="S464" s="28"/>
      <c r="T464" s="28"/>
      <c r="U464" s="28"/>
      <c r="V464" s="28">
        <f t="shared" si="15"/>
        <v>-1.0611</v>
      </c>
      <c r="W464" s="28"/>
    </row>
    <row r="465" spans="17:23" s="20" customFormat="1" ht="12.75">
      <c r="Q465" s="28">
        <f t="shared" si="14"/>
        <v>1.92</v>
      </c>
      <c r="R465" s="28"/>
      <c r="S465" s="28"/>
      <c r="T465" s="28"/>
      <c r="U465" s="28"/>
      <c r="V465" s="28">
        <f t="shared" si="15"/>
        <v>-0.9608666666666666</v>
      </c>
      <c r="W465" s="28"/>
    </row>
    <row r="466" spans="17:23" s="20" customFormat="1" ht="12.75">
      <c r="Q466" s="28">
        <f t="shared" si="14"/>
        <v>1.7999999999999998</v>
      </c>
      <c r="R466" s="28"/>
      <c r="S466" s="28"/>
      <c r="T466" s="28"/>
      <c r="U466" s="28"/>
      <c r="V466" s="28">
        <f t="shared" si="15"/>
        <v>-0.8740333333333333</v>
      </c>
      <c r="W466" s="28"/>
    </row>
    <row r="467" spans="17:23" s="20" customFormat="1" ht="12.75">
      <c r="Q467" s="28">
        <f t="shared" si="14"/>
        <v>1.68</v>
      </c>
      <c r="R467" s="28"/>
      <c r="S467" s="28"/>
      <c r="T467" s="28"/>
      <c r="U467" s="28"/>
      <c r="V467" s="28">
        <f t="shared" si="15"/>
        <v>-0.8005333333333333</v>
      </c>
      <c r="W467" s="28"/>
    </row>
    <row r="468" spans="17:23" s="20" customFormat="1" ht="12.75">
      <c r="Q468" s="28">
        <f t="shared" si="14"/>
        <v>1.56</v>
      </c>
      <c r="R468" s="28"/>
      <c r="S468" s="28"/>
      <c r="T468" s="28"/>
      <c r="U468" s="28"/>
      <c r="V468" s="28">
        <f t="shared" si="15"/>
        <v>-0.7404</v>
      </c>
      <c r="W468" s="28"/>
    </row>
    <row r="469" spans="17:23" s="20" customFormat="1" ht="12.75">
      <c r="Q469" s="28">
        <f t="shared" si="14"/>
        <v>1.44</v>
      </c>
      <c r="R469" s="28"/>
      <c r="S469" s="28"/>
      <c r="T469" s="28"/>
      <c r="U469" s="28"/>
      <c r="V469" s="28">
        <f t="shared" si="15"/>
        <v>-0.6936333333333333</v>
      </c>
      <c r="W469" s="28"/>
    </row>
    <row r="470" spans="17:28" s="20" customFormat="1" ht="12.75">
      <c r="Q470" s="28">
        <f t="shared" si="14"/>
        <v>1.3199999999999998</v>
      </c>
      <c r="R470" s="28"/>
      <c r="S470" s="28"/>
      <c r="T470" s="27"/>
      <c r="U470" s="28"/>
      <c r="V470" s="28">
        <f t="shared" si="15"/>
        <v>-0.6602</v>
      </c>
      <c r="W470" s="28"/>
      <c r="AB470" s="7"/>
    </row>
    <row r="471" spans="17:28" s="20" customFormat="1" ht="12.75">
      <c r="Q471" s="28">
        <f t="shared" si="14"/>
        <v>1.1999999999999997</v>
      </c>
      <c r="R471" s="28"/>
      <c r="S471" s="28"/>
      <c r="T471" s="7"/>
      <c r="U471" s="28"/>
      <c r="V471" s="28">
        <f t="shared" si="15"/>
        <v>-0.6401666666666667</v>
      </c>
      <c r="W471" s="28"/>
      <c r="AB471" s="7"/>
    </row>
    <row r="472" spans="2:28" s="20" customFormat="1" ht="12.75">
      <c r="B472" s="20" t="s">
        <v>321</v>
      </c>
      <c r="D472" s="20" t="s">
        <v>322</v>
      </c>
      <c r="Q472" s="28">
        <f>E428/2</f>
        <v>1.2</v>
      </c>
      <c r="R472" s="28"/>
      <c r="S472" s="28"/>
      <c r="T472" s="7"/>
      <c r="U472" s="28"/>
      <c r="V472" s="28">
        <f t="shared" si="15"/>
        <v>-0.6335</v>
      </c>
      <c r="W472" s="28"/>
      <c r="AB472" s="7"/>
    </row>
    <row r="473" spans="1:28" s="20" customFormat="1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Q473" s="27">
        <f>Q472</f>
        <v>1.2</v>
      </c>
      <c r="R473" s="27"/>
      <c r="S473" s="27"/>
      <c r="T473" s="7"/>
      <c r="U473" s="28"/>
      <c r="V473" s="28"/>
      <c r="W473" s="28">
        <f>R421*1.2</f>
        <v>3.2099999999999995</v>
      </c>
      <c r="AB473" s="7"/>
    </row>
    <row r="474" spans="21:28" ht="12.75">
      <c r="U474" s="27"/>
      <c r="V474" s="27"/>
      <c r="W474" s="27">
        <f>MIN(MIN(T433:T444),MIN(V461:V472))</f>
        <v>-1.3016333333333334</v>
      </c>
      <c r="X474" s="20"/>
      <c r="Y474" s="20"/>
      <c r="Z474" s="20"/>
      <c r="AA474" s="20"/>
      <c r="AB474" s="20"/>
    </row>
    <row r="475" spans="20:28" ht="12.75">
      <c r="T475" s="20"/>
      <c r="AB475" s="20"/>
    </row>
    <row r="476" ht="12.75">
      <c r="T476" s="20"/>
    </row>
    <row r="477" spans="1:28" ht="12.75">
      <c r="A477" s="20" t="s">
        <v>383</v>
      </c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AB477" s="20"/>
    </row>
    <row r="478" spans="1:27" s="20" customFormat="1" ht="12.75">
      <c r="A478" s="20" t="s">
        <v>239</v>
      </c>
      <c r="U478" s="7"/>
      <c r="V478" s="7"/>
      <c r="W478" s="7"/>
      <c r="X478" s="7"/>
      <c r="Y478" s="7"/>
      <c r="Z478" s="7"/>
      <c r="AA478" s="7"/>
    </row>
    <row r="479" spans="1:14" s="20" customFormat="1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28" ht="12.75">
      <c r="A480" s="20"/>
      <c r="B480" s="20" t="s">
        <v>193</v>
      </c>
      <c r="C480" s="20"/>
      <c r="D480" s="21" t="s">
        <v>194</v>
      </c>
      <c r="E480" s="20">
        <f>O238</f>
        <v>11.06</v>
      </c>
      <c r="F480" s="20" t="s">
        <v>195</v>
      </c>
      <c r="G480" s="20"/>
      <c r="H480" s="20"/>
      <c r="I480" s="20"/>
      <c r="J480" s="20"/>
      <c r="K480" s="20"/>
      <c r="L480" s="20"/>
      <c r="M480" s="20"/>
      <c r="N480" s="20"/>
      <c r="T480" s="20"/>
      <c r="U480" s="20"/>
      <c r="V480" s="20"/>
      <c r="W480" s="20"/>
      <c r="X480" s="20"/>
      <c r="Y480" s="20"/>
      <c r="Z480" s="20"/>
      <c r="AA480" s="20"/>
      <c r="AB480" s="20"/>
    </row>
    <row r="481" spans="2:27" s="20" customFormat="1" ht="12.75">
      <c r="B481" s="20" t="s">
        <v>240</v>
      </c>
      <c r="D481" s="20" t="s">
        <v>197</v>
      </c>
      <c r="E481" s="20" t="s">
        <v>198</v>
      </c>
      <c r="G481" s="21" t="s">
        <v>199</v>
      </c>
      <c r="H481" s="20">
        <f>E17</f>
        <v>19</v>
      </c>
      <c r="I481" s="20" t="s">
        <v>200</v>
      </c>
      <c r="U481" s="7"/>
      <c r="V481" s="7"/>
      <c r="W481" s="7"/>
      <c r="X481" s="7"/>
      <c r="Y481" s="7"/>
      <c r="Z481" s="7"/>
      <c r="AA481" s="7"/>
    </row>
    <row r="482" spans="5:9" s="20" customFormat="1" ht="12.75">
      <c r="E482" s="20" t="s">
        <v>201</v>
      </c>
      <c r="G482" s="21" t="s">
        <v>133</v>
      </c>
      <c r="H482" s="20">
        <f>H481-9</f>
        <v>10</v>
      </c>
      <c r="I482" s="20" t="s">
        <v>200</v>
      </c>
    </row>
    <row r="483" spans="4:9" s="20" customFormat="1" ht="12.75">
      <c r="D483" s="20" t="s">
        <v>202</v>
      </c>
      <c r="E483" s="20" t="s">
        <v>203</v>
      </c>
      <c r="G483" s="21" t="s">
        <v>204</v>
      </c>
      <c r="H483" s="20">
        <v>9.8</v>
      </c>
      <c r="I483" s="20" t="s">
        <v>205</v>
      </c>
    </row>
    <row r="484" spans="5:9" s="20" customFormat="1" ht="12.75">
      <c r="E484" s="20" t="s">
        <v>206</v>
      </c>
      <c r="G484" s="21" t="s">
        <v>207</v>
      </c>
      <c r="H484" s="20">
        <v>0</v>
      </c>
      <c r="I484" s="20" t="s">
        <v>208</v>
      </c>
    </row>
    <row r="485" spans="2:7" s="20" customFormat="1" ht="12.75">
      <c r="B485" s="20" t="s">
        <v>385</v>
      </c>
      <c r="C485" s="21" t="s">
        <v>386</v>
      </c>
      <c r="D485" s="20">
        <f>E23</f>
        <v>0.2</v>
      </c>
      <c r="E485" s="20" t="s">
        <v>46</v>
      </c>
      <c r="G485" s="21"/>
    </row>
    <row r="486" spans="3:7" s="20" customFormat="1" ht="12.75">
      <c r="C486" s="21" t="s">
        <v>387</v>
      </c>
      <c r="D486" s="20">
        <f>O76-E23</f>
        <v>2.4749999999999996</v>
      </c>
      <c r="E486" s="20" t="s">
        <v>46</v>
      </c>
      <c r="G486" s="21"/>
    </row>
    <row r="487" spans="2:28" s="20" customFormat="1" ht="12.75">
      <c r="B487" s="20" t="s">
        <v>384</v>
      </c>
      <c r="C487" s="21" t="s">
        <v>136</v>
      </c>
      <c r="D487" s="20">
        <f>O76</f>
        <v>2.675</v>
      </c>
      <c r="E487" s="20" t="s">
        <v>5</v>
      </c>
      <c r="AB487" s="7"/>
    </row>
    <row r="488" spans="3:20" s="20" customFormat="1" ht="12.75">
      <c r="C488" s="21" t="s">
        <v>137</v>
      </c>
      <c r="D488" s="20">
        <v>0</v>
      </c>
      <c r="E488" s="20" t="s">
        <v>5</v>
      </c>
      <c r="T488" s="7"/>
    </row>
    <row r="489" spans="2:28" s="20" customFormat="1" ht="12.75">
      <c r="B489" s="20" t="s">
        <v>209</v>
      </c>
      <c r="E489" s="21" t="s">
        <v>210</v>
      </c>
      <c r="F489" s="20" t="str">
        <f>$H$179&amp;"×cos("&amp;$O$175&amp;"+"&amp;$G$173&amp;")="&amp;N489</f>
        <v>0.341×cos(0.0997+0.3491)=0.307</v>
      </c>
      <c r="N489" s="20">
        <f>ROUND($H$179*COS($O$175+$G$173),3)</f>
        <v>0.307</v>
      </c>
      <c r="AB489" s="7"/>
    </row>
    <row r="490" spans="1:20" s="20" customFormat="1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T490" s="7"/>
    </row>
    <row r="491" spans="1:28" ht="12.75">
      <c r="A491" s="20"/>
      <c r="B491" s="20" t="s">
        <v>211</v>
      </c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T491" s="20"/>
      <c r="U491" s="20"/>
      <c r="V491" s="20"/>
      <c r="W491" s="20"/>
      <c r="X491" s="20"/>
      <c r="Y491" s="20"/>
      <c r="Z491" s="20"/>
      <c r="AA491" s="20"/>
      <c r="AB491" s="20"/>
    </row>
    <row r="492" spans="1:27" s="20" customFormat="1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U492" s="7"/>
      <c r="V492" s="7"/>
      <c r="W492" s="7"/>
      <c r="X492" s="7"/>
      <c r="Y492" s="7"/>
      <c r="Z492" s="7"/>
      <c r="AA492" s="7"/>
    </row>
    <row r="493" spans="1:28" ht="12.75">
      <c r="A493" s="20"/>
      <c r="B493" s="20"/>
      <c r="C493" s="49" t="s">
        <v>212</v>
      </c>
      <c r="D493" s="50" t="s">
        <v>214</v>
      </c>
      <c r="E493" s="50" t="s">
        <v>215</v>
      </c>
      <c r="F493" s="51" t="s">
        <v>216</v>
      </c>
      <c r="G493" s="20"/>
      <c r="H493" s="20"/>
      <c r="I493" s="20"/>
      <c r="J493" s="20"/>
      <c r="K493" s="20" t="str">
        <f>C493</f>
        <v>z(m)</v>
      </c>
      <c r="L493" s="50" t="s">
        <v>214</v>
      </c>
      <c r="M493" s="50" t="s">
        <v>215</v>
      </c>
      <c r="N493" s="51" t="s">
        <v>216</v>
      </c>
      <c r="T493" s="20"/>
      <c r="U493" s="20"/>
      <c r="V493" s="20"/>
      <c r="W493" s="20"/>
      <c r="X493" s="20"/>
      <c r="Y493" s="20"/>
      <c r="Z493" s="20"/>
      <c r="AA493" s="20"/>
      <c r="AB493" s="20"/>
    </row>
    <row r="494" spans="3:27" s="20" customFormat="1" ht="12.75">
      <c r="C494" s="52">
        <f>0</f>
        <v>0</v>
      </c>
      <c r="D494" s="53">
        <f>IF(C494&gt;=$D$485,ROUND(($E$480+$H$481*C494)*$O$408-(C494-$D$485)*$H$483,3),L494)</f>
        <v>3.395</v>
      </c>
      <c r="E494" s="53">
        <f>IF(C494&gt;=$D$485,ROUND(($E$480*C494+0.5*$H$481*C494^2)*$O$408-1/2*(C494-$D$485)^2*$H$483,3),M494)</f>
        <v>0</v>
      </c>
      <c r="F494" s="54">
        <f>IF(C494&gt;=$D$485,ROUND(1/6*(C494-$D$485)^3*$H$483-(1/2*$E$480*C494^2+1/6*$H$481*C494^3)*$O$408,3),N494)</f>
        <v>0</v>
      </c>
      <c r="K494" s="20">
        <f aca="true" t="shared" si="16" ref="K494:K504">C494</f>
        <v>0</v>
      </c>
      <c r="L494" s="53">
        <f>ROUND(($E$480+$H$481*K494)*$O$408-K494*$H$483*0,3)</f>
        <v>3.395</v>
      </c>
      <c r="M494" s="53">
        <f>ROUND(($E$480*K494+0.5*$H$481*K494^2)*$O$408-1/2*K494^2*$H$483*0,3)</f>
        <v>0</v>
      </c>
      <c r="N494" s="54">
        <f>ROUND(1/6*K494^3*$H$483*0-(1/2*$E$480*K494^2+1/6*$H$481*K494^3)*$O$408,3)</f>
        <v>0</v>
      </c>
      <c r="U494" s="7"/>
      <c r="V494" s="7"/>
      <c r="W494" s="7"/>
      <c r="X494" s="7"/>
      <c r="Y494" s="7"/>
      <c r="Z494" s="7"/>
      <c r="AA494" s="7"/>
    </row>
    <row r="495" spans="3:14" s="20" customFormat="1" ht="12.75">
      <c r="C495" s="52">
        <f>C494+$D$487/10</f>
        <v>0.26749999999999996</v>
      </c>
      <c r="D495" s="53">
        <f aca="true" t="shared" si="17" ref="D495:D504">IF(C495&gt;=$D$485,ROUND(($E$480+$H$481*C495)*$O$408-(C495-$D$485)*$H$483,3),L495)</f>
        <v>4.294</v>
      </c>
      <c r="E495" s="53">
        <f aca="true" t="shared" si="18" ref="E495:E504">IF(C495&gt;=$D$485,ROUND(($E$480*C495+0.5*$H$481*C495^2)*$O$408-1/2*(C495-$D$485)^2*$H$483,3),M495)</f>
        <v>1.095</v>
      </c>
      <c r="F495" s="54">
        <f aca="true" t="shared" si="19" ref="F495:F504">IF(C495&gt;=$D$485,ROUND(1/6*(C495-$D$485)^3*$H$483-(1/2*$E$480*C495^2+1/6*$H$481*C495^3)*$O$408,3),N495)</f>
        <v>-0.14</v>
      </c>
      <c r="K495" s="20">
        <f t="shared" si="16"/>
        <v>0.26749999999999996</v>
      </c>
      <c r="L495" s="53">
        <f aca="true" t="shared" si="20" ref="L495:L504">ROUND(($E$480+$H$481*K495)*$O$408-K495*$H$483*0,3)</f>
        <v>4.956</v>
      </c>
      <c r="M495" s="53">
        <f aca="true" t="shared" si="21" ref="M495:M504">ROUND(($E$480*K495+0.5*$H$481*K495^2)*$O$408-1/2*K495^2*$H$483*0,3)</f>
        <v>1.117</v>
      </c>
      <c r="N495" s="54">
        <f aca="true" t="shared" si="22" ref="N495:N504">ROUND(1/6*K495^3*$H$483*0-(1/2*$E$480*K495^2+1/6*$H$481*K495^3)*$O$408,3)</f>
        <v>-0.14</v>
      </c>
    </row>
    <row r="496" spans="3:14" s="20" customFormat="1" ht="12.75">
      <c r="C496" s="52">
        <f aca="true" t="shared" si="23" ref="C496:C504">C495+$D$487/10</f>
        <v>0.5349999999999999</v>
      </c>
      <c r="D496" s="53">
        <f t="shared" si="17"/>
        <v>3.233</v>
      </c>
      <c r="E496" s="53">
        <f t="shared" si="18"/>
        <v>2.101</v>
      </c>
      <c r="F496" s="54">
        <f t="shared" si="19"/>
        <v>-0.573</v>
      </c>
      <c r="K496" s="20">
        <f t="shared" si="16"/>
        <v>0.5349999999999999</v>
      </c>
      <c r="L496" s="53">
        <f t="shared" si="20"/>
        <v>6.516</v>
      </c>
      <c r="M496" s="53">
        <f t="shared" si="21"/>
        <v>2.651</v>
      </c>
      <c r="N496" s="54">
        <f t="shared" si="22"/>
        <v>-0.635</v>
      </c>
    </row>
    <row r="497" spans="3:14" s="20" customFormat="1" ht="12.75">
      <c r="C497" s="52">
        <f t="shared" si="23"/>
        <v>0.8024999999999999</v>
      </c>
      <c r="D497" s="53">
        <f t="shared" si="17"/>
        <v>2.172</v>
      </c>
      <c r="E497" s="53">
        <f t="shared" si="18"/>
        <v>2.824</v>
      </c>
      <c r="F497" s="54">
        <f t="shared" si="19"/>
        <v>-1.239</v>
      </c>
      <c r="K497" s="20">
        <f t="shared" si="16"/>
        <v>0.8024999999999999</v>
      </c>
      <c r="L497" s="53">
        <f t="shared" si="20"/>
        <v>8.076</v>
      </c>
      <c r="M497" s="53">
        <f t="shared" si="21"/>
        <v>4.603</v>
      </c>
      <c r="N497" s="54">
        <f t="shared" si="22"/>
        <v>-1.596</v>
      </c>
    </row>
    <row r="498" spans="3:14" s="20" customFormat="1" ht="12.75">
      <c r="C498" s="52">
        <f t="shared" si="23"/>
        <v>1.0699999999999998</v>
      </c>
      <c r="D498" s="53">
        <f t="shared" si="17"/>
        <v>1.111</v>
      </c>
      <c r="E498" s="53">
        <f t="shared" si="18"/>
        <v>3.263</v>
      </c>
      <c r="F498" s="54">
        <f t="shared" si="19"/>
        <v>-2.059</v>
      </c>
      <c r="K498" s="20">
        <f t="shared" si="16"/>
        <v>1.0699999999999998</v>
      </c>
      <c r="L498" s="53">
        <f t="shared" si="20"/>
        <v>9.637</v>
      </c>
      <c r="M498" s="53">
        <f t="shared" si="21"/>
        <v>6.972</v>
      </c>
      <c r="N498" s="54">
        <f t="shared" si="22"/>
        <v>-3.135</v>
      </c>
    </row>
    <row r="499" spans="3:14" s="20" customFormat="1" ht="12.75">
      <c r="C499" s="52">
        <f t="shared" si="23"/>
        <v>1.3375</v>
      </c>
      <c r="D499" s="53">
        <f t="shared" si="17"/>
        <v>0.05</v>
      </c>
      <c r="E499" s="53">
        <f t="shared" si="18"/>
        <v>3.419</v>
      </c>
      <c r="F499" s="54">
        <f t="shared" si="19"/>
        <v>-2.959</v>
      </c>
      <c r="K499" s="20">
        <f t="shared" si="16"/>
        <v>1.3375</v>
      </c>
      <c r="L499" s="53">
        <f t="shared" si="20"/>
        <v>11.197</v>
      </c>
      <c r="M499" s="53">
        <f t="shared" si="21"/>
        <v>9.759</v>
      </c>
      <c r="N499" s="54">
        <f t="shared" si="22"/>
        <v>-5.363</v>
      </c>
    </row>
    <row r="500" spans="3:14" s="20" customFormat="1" ht="12.75">
      <c r="C500" s="52">
        <f t="shared" si="23"/>
        <v>1.605</v>
      </c>
      <c r="D500" s="53">
        <f t="shared" si="17"/>
        <v>-1.012</v>
      </c>
      <c r="E500" s="53">
        <f t="shared" si="18"/>
        <v>3.29</v>
      </c>
      <c r="F500" s="54">
        <f t="shared" si="19"/>
        <v>-3.863</v>
      </c>
      <c r="K500" s="20">
        <f t="shared" si="16"/>
        <v>1.605</v>
      </c>
      <c r="L500" s="53">
        <f t="shared" si="20"/>
        <v>12.757</v>
      </c>
      <c r="M500" s="53">
        <f t="shared" si="21"/>
        <v>12.963</v>
      </c>
      <c r="N500" s="54">
        <f t="shared" si="22"/>
        <v>-8.393</v>
      </c>
    </row>
    <row r="501" spans="3:14" s="20" customFormat="1" ht="12.75">
      <c r="C501" s="52">
        <f t="shared" si="23"/>
        <v>1.8725</v>
      </c>
      <c r="D501" s="53">
        <f t="shared" si="17"/>
        <v>-2.073</v>
      </c>
      <c r="E501" s="53">
        <f t="shared" si="18"/>
        <v>2.877</v>
      </c>
      <c r="F501" s="54">
        <f t="shared" si="19"/>
        <v>-4.694</v>
      </c>
      <c r="K501" s="20">
        <f t="shared" si="16"/>
        <v>1.8725</v>
      </c>
      <c r="L501" s="53">
        <f t="shared" si="20"/>
        <v>14.318</v>
      </c>
      <c r="M501" s="53">
        <f t="shared" si="21"/>
        <v>16.584</v>
      </c>
      <c r="N501" s="54">
        <f t="shared" si="22"/>
        <v>-12.335</v>
      </c>
    </row>
    <row r="502" spans="3:28" s="20" customFormat="1" ht="12.75">
      <c r="C502" s="52">
        <f t="shared" si="23"/>
        <v>2.14</v>
      </c>
      <c r="D502" s="53">
        <f t="shared" si="17"/>
        <v>-3.134</v>
      </c>
      <c r="E502" s="53">
        <f t="shared" si="18"/>
        <v>2.181</v>
      </c>
      <c r="F502" s="54">
        <f t="shared" si="19"/>
        <v>-5.377</v>
      </c>
      <c r="K502" s="20">
        <f t="shared" si="16"/>
        <v>2.14</v>
      </c>
      <c r="L502" s="53">
        <f t="shared" si="20"/>
        <v>15.878</v>
      </c>
      <c r="M502" s="53">
        <f t="shared" si="21"/>
        <v>20.623</v>
      </c>
      <c r="N502" s="54">
        <f t="shared" si="22"/>
        <v>-17.302</v>
      </c>
      <c r="AB502" s="7"/>
    </row>
    <row r="503" spans="3:20" s="20" customFormat="1" ht="12.75">
      <c r="C503" s="52">
        <f t="shared" si="23"/>
        <v>2.4075</v>
      </c>
      <c r="D503" s="53">
        <f t="shared" si="17"/>
        <v>-4.195</v>
      </c>
      <c r="E503" s="53">
        <f t="shared" si="18"/>
        <v>1.201</v>
      </c>
      <c r="F503" s="54">
        <f t="shared" si="19"/>
        <v>-5.835</v>
      </c>
      <c r="K503" s="20">
        <f t="shared" si="16"/>
        <v>2.4075</v>
      </c>
      <c r="L503" s="53">
        <f t="shared" si="20"/>
        <v>17.438</v>
      </c>
      <c r="M503" s="53">
        <f t="shared" si="21"/>
        <v>25.079</v>
      </c>
      <c r="N503" s="54">
        <f t="shared" si="22"/>
        <v>-23.406</v>
      </c>
      <c r="T503" s="7"/>
    </row>
    <row r="504" spans="3:14" s="20" customFormat="1" ht="12.75">
      <c r="C504" s="55">
        <f t="shared" si="23"/>
        <v>2.6750000000000003</v>
      </c>
      <c r="D504" s="53">
        <f t="shared" si="17"/>
        <v>-5.256</v>
      </c>
      <c r="E504" s="53">
        <f t="shared" si="18"/>
        <v>-0.063</v>
      </c>
      <c r="F504" s="54">
        <f t="shared" si="19"/>
        <v>-5.994</v>
      </c>
      <c r="K504" s="20">
        <f t="shared" si="16"/>
        <v>2.6750000000000003</v>
      </c>
      <c r="L504" s="53">
        <f t="shared" si="20"/>
        <v>18.999</v>
      </c>
      <c r="M504" s="53">
        <f t="shared" si="21"/>
        <v>29.952</v>
      </c>
      <c r="N504" s="54">
        <f t="shared" si="22"/>
        <v>-30.757</v>
      </c>
    </row>
    <row r="505" spans="3:20" s="20" customFormat="1" ht="12.75">
      <c r="C505" s="34"/>
      <c r="D505" s="58" t="s">
        <v>278</v>
      </c>
      <c r="E505" s="60">
        <f>MAX(E494:E504)</f>
        <v>3.419</v>
      </c>
      <c r="F505" s="59">
        <f>MAX(F494:F504)</f>
        <v>0</v>
      </c>
      <c r="T505" s="20" t="s">
        <v>67</v>
      </c>
    </row>
    <row r="506" spans="1:28" ht="12.75">
      <c r="A506" s="20"/>
      <c r="B506" s="20"/>
      <c r="C506" s="34"/>
      <c r="D506" s="58" t="s">
        <v>277</v>
      </c>
      <c r="E506" s="60">
        <f>MIN(E494:E504)</f>
        <v>-0.063</v>
      </c>
      <c r="F506" s="59">
        <f>MIN(F494:F504)</f>
        <v>-5.994</v>
      </c>
      <c r="G506" s="20"/>
      <c r="H506" s="20"/>
      <c r="I506" s="20"/>
      <c r="J506" s="20"/>
      <c r="K506" s="20"/>
      <c r="L506" s="20"/>
      <c r="M506" s="20"/>
      <c r="N506" s="20"/>
      <c r="T506" s="26"/>
      <c r="U506" s="20"/>
      <c r="V506" s="20"/>
      <c r="W506" s="20"/>
      <c r="X506" s="20"/>
      <c r="Y506" s="20"/>
      <c r="Z506" s="20"/>
      <c r="AA506" s="20"/>
      <c r="AB506" s="20"/>
    </row>
    <row r="507" spans="1:27" s="20" customFormat="1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T507" s="27" t="s">
        <v>245</v>
      </c>
      <c r="U507" s="7"/>
      <c r="V507" s="7"/>
      <c r="W507" s="7"/>
      <c r="X507" s="7"/>
      <c r="Y507" s="7"/>
      <c r="Z507" s="7"/>
      <c r="AA507" s="7"/>
    </row>
    <row r="508" spans="1:20" s="20" customFormat="1" ht="12.75">
      <c r="A508" s="20" t="s">
        <v>225</v>
      </c>
      <c r="R508" s="20" t="s">
        <v>67</v>
      </c>
      <c r="S508" s="20">
        <f>'入力'!J20</f>
        <v>30</v>
      </c>
      <c r="T508" s="28"/>
    </row>
    <row r="509" spans="3:21" s="20" customFormat="1" ht="12.75">
      <c r="C509" s="20" t="s">
        <v>226</v>
      </c>
      <c r="D509" s="21" t="s">
        <v>227</v>
      </c>
      <c r="E509" s="20">
        <f>$O$77</f>
        <v>2.4</v>
      </c>
      <c r="F509" s="20" t="s">
        <v>74</v>
      </c>
      <c r="Q509" s="24"/>
      <c r="R509" s="24"/>
      <c r="S509" s="25" t="s">
        <v>241</v>
      </c>
      <c r="T509" s="28"/>
      <c r="U509" s="20">
        <f>S508</f>
        <v>30</v>
      </c>
    </row>
    <row r="510" spans="3:23" s="20" customFormat="1" ht="12.75">
      <c r="C510" s="20" t="s">
        <v>228</v>
      </c>
      <c r="D510" s="21" t="s">
        <v>186</v>
      </c>
      <c r="E510" s="20">
        <f>F305</f>
        <v>60.324</v>
      </c>
      <c r="F510" s="20" t="s">
        <v>187</v>
      </c>
      <c r="Q510" s="27" t="s">
        <v>242</v>
      </c>
      <c r="R510" s="27" t="s">
        <v>243</v>
      </c>
      <c r="S510" s="27" t="s">
        <v>244</v>
      </c>
      <c r="T510" s="28"/>
      <c r="U510" s="24" t="s">
        <v>219</v>
      </c>
      <c r="V510" s="24"/>
      <c r="W510" s="24"/>
    </row>
    <row r="511" spans="3:23" s="20" customFormat="1" ht="12.75">
      <c r="C511" s="20" t="s">
        <v>98</v>
      </c>
      <c r="D511" s="21" t="s">
        <v>99</v>
      </c>
      <c r="E511" s="20">
        <f>E430</f>
        <v>8.575</v>
      </c>
      <c r="F511" s="20" t="s">
        <v>178</v>
      </c>
      <c r="Q511" s="28">
        <v>0</v>
      </c>
      <c r="R511" s="28">
        <f>O76</f>
        <v>2.675</v>
      </c>
      <c r="S511" s="28"/>
      <c r="T511" s="28"/>
      <c r="U511" s="27" t="s">
        <v>244</v>
      </c>
      <c r="V511" s="27" t="s">
        <v>245</v>
      </c>
      <c r="W511" s="27" t="s">
        <v>246</v>
      </c>
    </row>
    <row r="512" spans="3:23" s="20" customFormat="1" ht="12.75">
      <c r="C512" s="20" t="s">
        <v>181</v>
      </c>
      <c r="D512" s="21" t="s">
        <v>229</v>
      </c>
      <c r="E512" s="20">
        <f>N278</f>
        <v>24.255</v>
      </c>
      <c r="F512" s="20" t="s">
        <v>182</v>
      </c>
      <c r="Q512" s="28">
        <v>0</v>
      </c>
      <c r="R512" s="28">
        <v>0</v>
      </c>
      <c r="S512" s="28"/>
      <c r="T512" s="28"/>
      <c r="U512" s="28"/>
      <c r="V512" s="28"/>
      <c r="W512" s="28"/>
    </row>
    <row r="513" spans="3:23" s="20" customFormat="1" ht="12.75">
      <c r="C513" s="20" t="s">
        <v>183</v>
      </c>
      <c r="D513" s="21" t="s">
        <v>172</v>
      </c>
      <c r="E513" s="20">
        <v>0</v>
      </c>
      <c r="F513" s="20" t="s">
        <v>184</v>
      </c>
      <c r="Q513" s="28">
        <f>E509</f>
        <v>2.4</v>
      </c>
      <c r="R513" s="28">
        <v>0</v>
      </c>
      <c r="S513" s="28"/>
      <c r="T513" s="28"/>
      <c r="U513" s="28"/>
      <c r="V513" s="28"/>
      <c r="W513" s="28"/>
    </row>
    <row r="514" spans="4:23" s="20" customFormat="1" ht="12.75">
      <c r="D514" s="21" t="s">
        <v>230</v>
      </c>
      <c r="E514" s="20">
        <f>E510-(E511+E512+E513)</f>
        <v>27.494</v>
      </c>
      <c r="F514" s="20" t="s">
        <v>184</v>
      </c>
      <c r="Q514" s="28">
        <f>Q513</f>
        <v>2.4</v>
      </c>
      <c r="R514" s="28">
        <f>R511</f>
        <v>2.675</v>
      </c>
      <c r="S514" s="28"/>
      <c r="T514" s="28"/>
      <c r="U514" s="28"/>
      <c r="V514" s="28"/>
      <c r="W514" s="28"/>
    </row>
    <row r="515" spans="3:23" s="20" customFormat="1" ht="12.75">
      <c r="C515" s="20" t="s">
        <v>96</v>
      </c>
      <c r="D515" s="21" t="s">
        <v>97</v>
      </c>
      <c r="E515" s="20">
        <f>E434</f>
        <v>18.559</v>
      </c>
      <c r="F515" s="20" t="s">
        <v>231</v>
      </c>
      <c r="Q515" s="28">
        <f>F494/$S$418</f>
        <v>0</v>
      </c>
      <c r="R515" s="28"/>
      <c r="S515" s="28">
        <f>$R$421-C494</f>
        <v>2.675</v>
      </c>
      <c r="T515" s="28"/>
      <c r="U515" s="28"/>
      <c r="V515" s="28"/>
      <c r="W515" s="28"/>
    </row>
    <row r="516" spans="3:23" s="20" customFormat="1" ht="12.75">
      <c r="C516" s="20" t="s">
        <v>232</v>
      </c>
      <c r="D516" s="21" t="s">
        <v>233</v>
      </c>
      <c r="E516" s="20">
        <f>O258</f>
        <v>14.434</v>
      </c>
      <c r="F516" s="20" t="s">
        <v>234</v>
      </c>
      <c r="Q516" s="28">
        <f>E495/$S$418</f>
        <v>0.0365</v>
      </c>
      <c r="R516" s="28"/>
      <c r="S516" s="28">
        <f aca="true" t="shared" si="24" ref="S516:S525">$R$421-C495</f>
        <v>2.4074999999999998</v>
      </c>
      <c r="T516" s="28"/>
      <c r="U516" s="28"/>
      <c r="V516" s="28"/>
      <c r="W516" s="28"/>
    </row>
    <row r="517" spans="4:23" s="20" customFormat="1" ht="12.75">
      <c r="D517" s="21"/>
      <c r="Q517" s="28">
        <f aca="true" t="shared" si="25" ref="Q517:Q525">E496/$S$418</f>
        <v>0.07003333333333334</v>
      </c>
      <c r="R517" s="28"/>
      <c r="S517" s="28">
        <f t="shared" si="24"/>
        <v>2.1399999999999997</v>
      </c>
      <c r="T517" s="28"/>
      <c r="U517" s="28"/>
      <c r="V517" s="28"/>
      <c r="W517" s="28"/>
    </row>
    <row r="518" spans="3:23" s="20" customFormat="1" ht="12.75">
      <c r="C518" s="49" t="s">
        <v>235</v>
      </c>
      <c r="D518" s="50" t="s">
        <v>236</v>
      </c>
      <c r="E518" s="51" t="s">
        <v>237</v>
      </c>
      <c r="Q518" s="28">
        <f t="shared" si="25"/>
        <v>0.09413333333333333</v>
      </c>
      <c r="R518" s="28"/>
      <c r="S518" s="28">
        <f t="shared" si="24"/>
        <v>1.8725</v>
      </c>
      <c r="T518" s="28"/>
      <c r="U518" s="28"/>
      <c r="V518" s="28"/>
      <c r="W518" s="28"/>
    </row>
    <row r="519" spans="3:23" s="20" customFormat="1" ht="12.75">
      <c r="C519" s="52">
        <v>0</v>
      </c>
      <c r="D519" s="53">
        <f>ROUND($E$514*C519-($E$515+$E$516),3)</f>
        <v>-32.993</v>
      </c>
      <c r="E519" s="54">
        <f aca="true" t="shared" si="26" ref="E519:E529">ROUND($F$504-0.5*$E$514*C519^2+($E$515+$E$516)*C519,3)</f>
        <v>-5.994</v>
      </c>
      <c r="Q519" s="28">
        <f t="shared" si="25"/>
        <v>0.10876666666666666</v>
      </c>
      <c r="R519" s="28"/>
      <c r="S519" s="28">
        <f t="shared" si="24"/>
        <v>1.605</v>
      </c>
      <c r="T519" s="28"/>
      <c r="U519" s="28"/>
      <c r="V519" s="28"/>
      <c r="W519" s="28"/>
    </row>
    <row r="520" spans="3:23" s="20" customFormat="1" ht="12.75">
      <c r="C520" s="52">
        <f>C519+$E$428/2/10</f>
        <v>0.12</v>
      </c>
      <c r="D520" s="53">
        <f aca="true" t="shared" si="27" ref="D520:D529">ROUND($E$514*C520-($E$515+$E$516),3)</f>
        <v>-29.694</v>
      </c>
      <c r="E520" s="54">
        <f t="shared" si="26"/>
        <v>-2.233</v>
      </c>
      <c r="Q520" s="28">
        <f t="shared" si="25"/>
        <v>0.11396666666666667</v>
      </c>
      <c r="R520" s="28"/>
      <c r="S520" s="28">
        <f t="shared" si="24"/>
        <v>1.3375</v>
      </c>
      <c r="T520" s="28"/>
      <c r="U520" s="28"/>
      <c r="V520" s="28"/>
      <c r="W520" s="28"/>
    </row>
    <row r="521" spans="3:23" s="20" customFormat="1" ht="12.75">
      <c r="C521" s="52">
        <f aca="true" t="shared" si="28" ref="C521:C527">C520+$E$428/2/10</f>
        <v>0.24</v>
      </c>
      <c r="D521" s="53">
        <f t="shared" si="27"/>
        <v>-26.394</v>
      </c>
      <c r="E521" s="54">
        <f t="shared" si="26"/>
        <v>1.132</v>
      </c>
      <c r="Q521" s="28">
        <f t="shared" si="25"/>
        <v>0.10966666666666666</v>
      </c>
      <c r="R521" s="28"/>
      <c r="S521" s="28">
        <f t="shared" si="24"/>
        <v>1.0699999999999998</v>
      </c>
      <c r="T521" s="28"/>
      <c r="U521" s="28"/>
      <c r="V521" s="28"/>
      <c r="W521" s="28"/>
    </row>
    <row r="522" spans="3:23" s="20" customFormat="1" ht="12.75">
      <c r="C522" s="52">
        <f t="shared" si="28"/>
        <v>0.36</v>
      </c>
      <c r="D522" s="53">
        <f t="shared" si="27"/>
        <v>-23.095</v>
      </c>
      <c r="E522" s="54">
        <f t="shared" si="26"/>
        <v>4.102</v>
      </c>
      <c r="Q522" s="28">
        <f t="shared" si="25"/>
        <v>0.0959</v>
      </c>
      <c r="R522" s="28"/>
      <c r="S522" s="28">
        <f t="shared" si="24"/>
        <v>0.8024999999999998</v>
      </c>
      <c r="T522" s="28"/>
      <c r="U522" s="28"/>
      <c r="V522" s="28"/>
      <c r="W522" s="28"/>
    </row>
    <row r="523" spans="3:23" s="20" customFormat="1" ht="12.75">
      <c r="C523" s="52">
        <f t="shared" si="28"/>
        <v>0.48</v>
      </c>
      <c r="D523" s="53">
        <f t="shared" si="27"/>
        <v>-19.796</v>
      </c>
      <c r="E523" s="54">
        <f t="shared" si="26"/>
        <v>6.675</v>
      </c>
      <c r="Q523" s="28">
        <f t="shared" si="25"/>
        <v>0.0727</v>
      </c>
      <c r="R523" s="28"/>
      <c r="S523" s="28">
        <f t="shared" si="24"/>
        <v>0.5349999999999997</v>
      </c>
      <c r="T523" s="28"/>
      <c r="U523" s="28"/>
      <c r="V523" s="28"/>
      <c r="W523" s="28"/>
    </row>
    <row r="524" spans="3:23" s="20" customFormat="1" ht="12.75">
      <c r="C524" s="52">
        <f t="shared" si="28"/>
        <v>0.6</v>
      </c>
      <c r="D524" s="53">
        <f t="shared" si="27"/>
        <v>-16.497</v>
      </c>
      <c r="E524" s="54">
        <f t="shared" si="26"/>
        <v>8.853</v>
      </c>
      <c r="Q524" s="28">
        <f t="shared" si="25"/>
        <v>0.04003333333333334</v>
      </c>
      <c r="R524" s="28"/>
      <c r="S524" s="28">
        <f t="shared" si="24"/>
        <v>0.2674999999999996</v>
      </c>
      <c r="T524" s="28">
        <v>0</v>
      </c>
      <c r="U524" s="28"/>
      <c r="V524" s="28"/>
      <c r="W524" s="28"/>
    </row>
    <row r="525" spans="3:23" s="20" customFormat="1" ht="12.75">
      <c r="C525" s="52">
        <f t="shared" si="28"/>
        <v>0.72</v>
      </c>
      <c r="D525" s="53">
        <f t="shared" si="27"/>
        <v>-13.197</v>
      </c>
      <c r="E525" s="54">
        <f t="shared" si="26"/>
        <v>10.635</v>
      </c>
      <c r="Q525" s="28">
        <f t="shared" si="25"/>
        <v>-0.0021</v>
      </c>
      <c r="R525" s="28"/>
      <c r="S525" s="28">
        <f t="shared" si="24"/>
        <v>0</v>
      </c>
      <c r="T525" s="28">
        <f aca="true" t="shared" si="29" ref="T525:T535">D519/$S$418</f>
        <v>-1.0997666666666668</v>
      </c>
      <c r="U525" s="28"/>
      <c r="V525" s="28"/>
      <c r="W525" s="28"/>
    </row>
    <row r="526" spans="3:23" s="20" customFormat="1" ht="12.75">
      <c r="C526" s="52">
        <f t="shared" si="28"/>
        <v>0.84</v>
      </c>
      <c r="D526" s="53">
        <f t="shared" si="27"/>
        <v>-9.898</v>
      </c>
      <c r="E526" s="54">
        <f t="shared" si="26"/>
        <v>12.02</v>
      </c>
      <c r="Q526" s="28">
        <v>0</v>
      </c>
      <c r="R526" s="28"/>
      <c r="S526" s="28">
        <v>0</v>
      </c>
      <c r="T526" s="28">
        <f t="shared" si="29"/>
        <v>-0.9898</v>
      </c>
      <c r="U526" s="28"/>
      <c r="V526" s="28"/>
      <c r="W526" s="28"/>
    </row>
    <row r="527" spans="3:23" s="20" customFormat="1" ht="12.75">
      <c r="C527" s="52">
        <f t="shared" si="28"/>
        <v>0.96</v>
      </c>
      <c r="D527" s="53">
        <f t="shared" si="27"/>
        <v>-6.599</v>
      </c>
      <c r="E527" s="54">
        <f t="shared" si="26"/>
        <v>13.01</v>
      </c>
      <c r="Q527" s="28">
        <v>0</v>
      </c>
      <c r="R527" s="28"/>
      <c r="S527" s="28"/>
      <c r="T527" s="28">
        <f t="shared" si="29"/>
        <v>-0.8797999999999999</v>
      </c>
      <c r="U527" s="28"/>
      <c r="V527" s="28"/>
      <c r="W527" s="28"/>
    </row>
    <row r="528" spans="3:23" s="20" customFormat="1" ht="12.75">
      <c r="C528" s="52">
        <f>C527+$E$428/2/10</f>
        <v>1.08</v>
      </c>
      <c r="D528" s="53">
        <f t="shared" si="27"/>
        <v>-3.299</v>
      </c>
      <c r="E528" s="54">
        <f t="shared" si="26"/>
        <v>13.604</v>
      </c>
      <c r="Q528" s="28">
        <f aca="true" t="shared" si="30" ref="Q528:Q538">C519</f>
        <v>0</v>
      </c>
      <c r="R528" s="28"/>
      <c r="S528" s="28"/>
      <c r="T528" s="28">
        <f t="shared" si="29"/>
        <v>-0.7698333333333333</v>
      </c>
      <c r="U528" s="28"/>
      <c r="V528" s="28"/>
      <c r="W528" s="28"/>
    </row>
    <row r="529" spans="3:23" s="20" customFormat="1" ht="12.75">
      <c r="C529" s="55">
        <f>C528+$E$428/2/10</f>
        <v>1.2000000000000002</v>
      </c>
      <c r="D529" s="56">
        <f t="shared" si="27"/>
        <v>0</v>
      </c>
      <c r="E529" s="57">
        <f t="shared" si="26"/>
        <v>13.802</v>
      </c>
      <c r="Q529" s="28">
        <f t="shared" si="30"/>
        <v>0.12</v>
      </c>
      <c r="R529" s="28"/>
      <c r="S529" s="28"/>
      <c r="T529" s="28">
        <f t="shared" si="29"/>
        <v>-0.6598666666666666</v>
      </c>
      <c r="U529" s="28"/>
      <c r="V529" s="28"/>
      <c r="W529" s="28"/>
    </row>
    <row r="530" spans="3:23" s="20" customFormat="1" ht="12.75">
      <c r="C530" s="58" t="s">
        <v>278</v>
      </c>
      <c r="D530" s="60">
        <f>MAX(D519:D529)</f>
        <v>0</v>
      </c>
      <c r="E530" s="59">
        <f>MAX(E519:E529)</f>
        <v>13.802</v>
      </c>
      <c r="Q530" s="28">
        <f t="shared" si="30"/>
        <v>0.24</v>
      </c>
      <c r="R530" s="28"/>
      <c r="S530" s="28"/>
      <c r="T530" s="28">
        <f t="shared" si="29"/>
        <v>-0.5498999999999999</v>
      </c>
      <c r="U530" s="28"/>
      <c r="V530" s="28"/>
      <c r="W530" s="28"/>
    </row>
    <row r="531" spans="3:23" s="20" customFormat="1" ht="12.75">
      <c r="C531" s="58" t="s">
        <v>277</v>
      </c>
      <c r="D531" s="60">
        <f>MIN(D519:D529)</f>
        <v>-32.993</v>
      </c>
      <c r="E531" s="59">
        <f>MIN(E519:E529)</f>
        <v>-5.994</v>
      </c>
      <c r="Q531" s="28">
        <f t="shared" si="30"/>
        <v>0.36</v>
      </c>
      <c r="R531" s="28"/>
      <c r="S531" s="28"/>
      <c r="T531" s="28">
        <f t="shared" si="29"/>
        <v>-0.43989999999999996</v>
      </c>
      <c r="U531" s="28"/>
      <c r="V531" s="28"/>
      <c r="W531" s="28"/>
    </row>
    <row r="532" spans="17:23" s="20" customFormat="1" ht="12.75">
      <c r="Q532" s="28">
        <f t="shared" si="30"/>
        <v>0.48</v>
      </c>
      <c r="R532" s="28"/>
      <c r="S532" s="28"/>
      <c r="T532" s="28">
        <f t="shared" si="29"/>
        <v>-0.3299333333333333</v>
      </c>
      <c r="U532" s="28"/>
      <c r="V532" s="28"/>
      <c r="W532" s="28"/>
    </row>
    <row r="533" spans="1:23" s="20" customFormat="1" ht="12.75">
      <c r="A533" s="20" t="s">
        <v>238</v>
      </c>
      <c r="Q533" s="28">
        <f t="shared" si="30"/>
        <v>0.6</v>
      </c>
      <c r="R533" s="28"/>
      <c r="S533" s="28"/>
      <c r="T533" s="28">
        <f t="shared" si="29"/>
        <v>-0.21996666666666667</v>
      </c>
      <c r="U533" s="28"/>
      <c r="V533" s="28"/>
      <c r="W533" s="28"/>
    </row>
    <row r="534" spans="17:23" s="20" customFormat="1" ht="12.75">
      <c r="Q534" s="28">
        <f t="shared" si="30"/>
        <v>0.72</v>
      </c>
      <c r="R534" s="28"/>
      <c r="S534" s="28"/>
      <c r="T534" s="28">
        <f t="shared" si="29"/>
        <v>-0.10996666666666667</v>
      </c>
      <c r="U534" s="28"/>
      <c r="V534" s="28"/>
      <c r="W534" s="28"/>
    </row>
    <row r="535" spans="17:23" s="20" customFormat="1" ht="12.75">
      <c r="Q535" s="28">
        <f t="shared" si="30"/>
        <v>0.84</v>
      </c>
      <c r="R535" s="28"/>
      <c r="S535" s="28"/>
      <c r="T535" s="28">
        <f t="shared" si="29"/>
        <v>0</v>
      </c>
      <c r="U535" s="28"/>
      <c r="V535" s="28"/>
      <c r="W535" s="28"/>
    </row>
    <row r="536" spans="17:23" s="20" customFormat="1" ht="12.75">
      <c r="Q536" s="28">
        <f t="shared" si="30"/>
        <v>0.96</v>
      </c>
      <c r="R536" s="28"/>
      <c r="S536" s="28"/>
      <c r="T536" s="28"/>
      <c r="U536" s="28"/>
      <c r="V536" s="28"/>
      <c r="W536" s="28"/>
    </row>
    <row r="537" spans="17:23" s="20" customFormat="1" ht="12.75">
      <c r="Q537" s="28">
        <f t="shared" si="30"/>
        <v>1.08</v>
      </c>
      <c r="R537" s="28"/>
      <c r="S537" s="28"/>
      <c r="T537" s="28"/>
      <c r="U537" s="28"/>
      <c r="V537" s="28"/>
      <c r="W537" s="28"/>
    </row>
    <row r="538" spans="17:28" s="20" customFormat="1" ht="12.75">
      <c r="Q538" s="28">
        <f t="shared" si="30"/>
        <v>1.2000000000000002</v>
      </c>
      <c r="R538" s="28"/>
      <c r="S538" s="28"/>
      <c r="T538" s="28"/>
      <c r="U538" s="28"/>
      <c r="V538" s="28"/>
      <c r="W538" s="28"/>
      <c r="AB538" s="7"/>
    </row>
    <row r="539" spans="15:28" s="20" customFormat="1" ht="12.75">
      <c r="O539" s="7"/>
      <c r="Q539" s="28">
        <f aca="true" t="shared" si="31" ref="Q539:Q549">$E$428-F494/$U$419</f>
        <v>2.4</v>
      </c>
      <c r="R539" s="28"/>
      <c r="S539" s="28"/>
      <c r="T539" s="18"/>
      <c r="U539" s="28"/>
      <c r="V539" s="28"/>
      <c r="W539" s="28"/>
      <c r="AB539" s="7"/>
    </row>
    <row r="540" spans="13:28" s="20" customFormat="1" ht="12.75">
      <c r="M540" s="29"/>
      <c r="N540" s="7"/>
      <c r="O540" s="7"/>
      <c r="Q540" s="28">
        <f t="shared" si="31"/>
        <v>2.4046666666666665</v>
      </c>
      <c r="R540" s="28"/>
      <c r="S540" s="28"/>
      <c r="T540" s="18"/>
      <c r="U540" s="28">
        <f aca="true" t="shared" si="32" ref="U540:U550">S515</f>
        <v>2.675</v>
      </c>
      <c r="V540" s="28"/>
      <c r="W540" s="28"/>
      <c r="AB540" s="7"/>
    </row>
    <row r="541" spans="13:28" s="20" customFormat="1" ht="12.75">
      <c r="M541" s="29"/>
      <c r="N541" s="7"/>
      <c r="O541" s="7"/>
      <c r="Q541" s="28">
        <f t="shared" si="31"/>
        <v>2.4191</v>
      </c>
      <c r="R541" s="28"/>
      <c r="S541" s="28"/>
      <c r="T541" s="18"/>
      <c r="U541" s="28">
        <f t="shared" si="32"/>
        <v>2.4074999999999998</v>
      </c>
      <c r="V541" s="28"/>
      <c r="W541" s="28"/>
      <c r="AB541" s="7"/>
    </row>
    <row r="542" spans="1:27" ht="12.7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9"/>
      <c r="Q542" s="18">
        <f t="shared" si="31"/>
        <v>2.4413</v>
      </c>
      <c r="R542" s="18"/>
      <c r="S542" s="18"/>
      <c r="T542" s="18"/>
      <c r="U542" s="28">
        <f t="shared" si="32"/>
        <v>2.1399999999999997</v>
      </c>
      <c r="V542" s="28"/>
      <c r="W542" s="28"/>
      <c r="X542" s="20"/>
      <c r="Y542" s="20"/>
      <c r="Z542" s="20"/>
      <c r="AA542" s="20"/>
    </row>
    <row r="543" spans="1:23" ht="12.7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9"/>
      <c r="Q543" s="18">
        <f t="shared" si="31"/>
        <v>2.4686333333333335</v>
      </c>
      <c r="R543" s="18"/>
      <c r="S543" s="18"/>
      <c r="T543" s="18"/>
      <c r="U543" s="18">
        <f t="shared" si="32"/>
        <v>1.8725</v>
      </c>
      <c r="V543" s="18"/>
      <c r="W543" s="18"/>
    </row>
    <row r="544" spans="13:23" ht="12.75">
      <c r="M544" s="29"/>
      <c r="Q544" s="18">
        <f t="shared" si="31"/>
        <v>2.4986333333333333</v>
      </c>
      <c r="R544" s="18"/>
      <c r="S544" s="18"/>
      <c r="T544" s="18"/>
      <c r="U544" s="18">
        <f t="shared" si="32"/>
        <v>1.605</v>
      </c>
      <c r="V544" s="18"/>
      <c r="W544" s="18"/>
    </row>
    <row r="545" spans="13:23" ht="12.75">
      <c r="M545" s="29"/>
      <c r="Q545" s="18">
        <f t="shared" si="31"/>
        <v>2.5287666666666664</v>
      </c>
      <c r="R545" s="18"/>
      <c r="S545" s="18"/>
      <c r="T545" s="18"/>
      <c r="U545" s="18">
        <f t="shared" si="32"/>
        <v>1.3375</v>
      </c>
      <c r="V545" s="18"/>
      <c r="W545" s="18"/>
    </row>
    <row r="546" spans="13:23" ht="12.75">
      <c r="M546" s="29"/>
      <c r="Q546" s="18">
        <f t="shared" si="31"/>
        <v>2.5564666666666667</v>
      </c>
      <c r="R546" s="18"/>
      <c r="S546" s="18"/>
      <c r="T546" s="18"/>
      <c r="U546" s="18">
        <f t="shared" si="32"/>
        <v>1.0699999999999998</v>
      </c>
      <c r="V546" s="18"/>
      <c r="W546" s="18"/>
    </row>
    <row r="547" spans="13:23" ht="12.75">
      <c r="M547" s="29"/>
      <c r="Q547" s="18">
        <f t="shared" si="31"/>
        <v>2.5792333333333333</v>
      </c>
      <c r="R547" s="18"/>
      <c r="S547" s="18"/>
      <c r="T547" s="18"/>
      <c r="U547" s="18">
        <f t="shared" si="32"/>
        <v>0.8024999999999998</v>
      </c>
      <c r="V547" s="18"/>
      <c r="W547" s="18"/>
    </row>
    <row r="548" spans="1:23" ht="12.75">
      <c r="A548" s="20"/>
      <c r="B548" s="20" t="s">
        <v>321</v>
      </c>
      <c r="C548" s="20"/>
      <c r="D548" s="20" t="s">
        <v>322</v>
      </c>
      <c r="E548" s="20"/>
      <c r="F548" s="20"/>
      <c r="G548" s="20"/>
      <c r="M548" s="29"/>
      <c r="Q548" s="18">
        <f t="shared" si="31"/>
        <v>2.5945</v>
      </c>
      <c r="R548" s="18"/>
      <c r="S548" s="18"/>
      <c r="T548" s="18"/>
      <c r="U548" s="18">
        <f t="shared" si="32"/>
        <v>0.5349999999999997</v>
      </c>
      <c r="V548" s="18"/>
      <c r="W548" s="18"/>
    </row>
    <row r="549" spans="17:23" ht="12.75">
      <c r="Q549" s="18">
        <f t="shared" si="31"/>
        <v>2.5998</v>
      </c>
      <c r="R549" s="18"/>
      <c r="S549" s="18"/>
      <c r="T549" s="18"/>
      <c r="U549" s="18">
        <f t="shared" si="32"/>
        <v>0.2674999999999996</v>
      </c>
      <c r="V549" s="18"/>
      <c r="W549" s="18"/>
    </row>
    <row r="550" spans="17:23" ht="12.75">
      <c r="Q550" s="18">
        <f>$E$428-F507/$U$419</f>
        <v>2.4</v>
      </c>
      <c r="R550" s="18"/>
      <c r="S550" s="18"/>
      <c r="T550" s="18"/>
      <c r="U550" s="18">
        <f t="shared" si="32"/>
        <v>0</v>
      </c>
      <c r="V550" s="18"/>
      <c r="W550" s="18"/>
    </row>
    <row r="551" spans="17:23" ht="12.75">
      <c r="Q551" s="18">
        <f>Q550</f>
        <v>2.4</v>
      </c>
      <c r="R551" s="18"/>
      <c r="S551" s="18"/>
      <c r="T551" s="18"/>
      <c r="U551" s="18">
        <v>0</v>
      </c>
      <c r="V551" s="18"/>
      <c r="W551" s="18"/>
    </row>
    <row r="552" spans="1:23" ht="12.75">
      <c r="A552" s="29" t="s">
        <v>247</v>
      </c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Q552" s="18">
        <f aca="true" t="shared" si="33" ref="Q552:Q562">$E$428-Q528</f>
        <v>2.4</v>
      </c>
      <c r="R552" s="18"/>
      <c r="S552" s="18"/>
      <c r="T552" s="18"/>
      <c r="U552" s="18"/>
      <c r="V552" s="18">
        <v>0</v>
      </c>
      <c r="W552" s="18"/>
    </row>
    <row r="553" spans="1:23" ht="12.75">
      <c r="A553" s="29" t="s">
        <v>248</v>
      </c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Q553" s="18">
        <f t="shared" si="33"/>
        <v>2.28</v>
      </c>
      <c r="R553" s="18"/>
      <c r="S553" s="18"/>
      <c r="T553" s="18"/>
      <c r="U553" s="18"/>
      <c r="V553" s="18">
        <f aca="true" t="shared" si="34" ref="V553:V563">E519/$U$419</f>
        <v>-0.1998</v>
      </c>
      <c r="W553" s="18"/>
    </row>
    <row r="554" spans="1:23" ht="12.75">
      <c r="A554" s="29" t="s">
        <v>271</v>
      </c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Q554" s="18">
        <f t="shared" si="33"/>
        <v>2.16</v>
      </c>
      <c r="R554" s="18"/>
      <c r="S554" s="18"/>
      <c r="T554" s="18"/>
      <c r="U554" s="18"/>
      <c r="V554" s="18">
        <f t="shared" si="34"/>
        <v>-0.07443333333333334</v>
      </c>
      <c r="W554" s="18"/>
    </row>
    <row r="555" spans="1:23" ht="12.75">
      <c r="A555" s="29"/>
      <c r="B555" s="29" t="s">
        <v>249</v>
      </c>
      <c r="C555" s="29"/>
      <c r="D555" s="68" t="s">
        <v>388</v>
      </c>
      <c r="E555" s="72">
        <f>G423</f>
        <v>-39.049</v>
      </c>
      <c r="F555" s="29" t="s">
        <v>250</v>
      </c>
      <c r="G555" s="29"/>
      <c r="H555" s="29"/>
      <c r="I555" s="29"/>
      <c r="J555" s="29">
        <f>ABS(E555)*1000000</f>
        <v>39049000</v>
      </c>
      <c r="K555" s="29"/>
      <c r="L555" s="29"/>
      <c r="Q555" s="18">
        <f t="shared" si="33"/>
        <v>2.04</v>
      </c>
      <c r="R555" s="18"/>
      <c r="S555" s="18"/>
      <c r="T555" s="18"/>
      <c r="U555" s="18"/>
      <c r="V555" s="18">
        <f t="shared" si="34"/>
        <v>0.03773333333333333</v>
      </c>
      <c r="W555" s="18"/>
    </row>
    <row r="556" spans="1:23" ht="12.75">
      <c r="A556" s="29"/>
      <c r="B556" s="29" t="s">
        <v>266</v>
      </c>
      <c r="C556" s="29"/>
      <c r="D556" s="68" t="s">
        <v>389</v>
      </c>
      <c r="E556" s="72">
        <f>F424</f>
        <v>40.76</v>
      </c>
      <c r="F556" s="29" t="s">
        <v>268</v>
      </c>
      <c r="G556" s="29"/>
      <c r="H556" s="29"/>
      <c r="I556" s="29"/>
      <c r="J556" s="29">
        <f>ABS(E556)*1000</f>
        <v>40760</v>
      </c>
      <c r="K556" s="29"/>
      <c r="L556" s="29"/>
      <c r="Q556" s="18">
        <f t="shared" si="33"/>
        <v>1.92</v>
      </c>
      <c r="R556" s="18"/>
      <c r="S556" s="18"/>
      <c r="T556" s="18"/>
      <c r="U556" s="18"/>
      <c r="V556" s="18">
        <f t="shared" si="34"/>
        <v>0.13673333333333335</v>
      </c>
      <c r="W556" s="18"/>
    </row>
    <row r="557" spans="1:23" ht="12.75">
      <c r="A557" s="29"/>
      <c r="B557" s="29" t="s">
        <v>269</v>
      </c>
      <c r="C557" s="29"/>
      <c r="D557" s="68" t="s">
        <v>390</v>
      </c>
      <c r="E557" s="73">
        <f>O120*1000</f>
        <v>400</v>
      </c>
      <c r="F557" s="29" t="s">
        <v>270</v>
      </c>
      <c r="G557" s="29"/>
      <c r="H557" s="29"/>
      <c r="I557" s="29"/>
      <c r="J557" s="29"/>
      <c r="K557" s="29"/>
      <c r="L557" s="29"/>
      <c r="Q557" s="18">
        <f t="shared" si="33"/>
        <v>1.7999999999999998</v>
      </c>
      <c r="R557" s="18"/>
      <c r="S557" s="18"/>
      <c r="T557" s="18"/>
      <c r="U557" s="18"/>
      <c r="V557" s="18">
        <f t="shared" si="34"/>
        <v>0.2225</v>
      </c>
      <c r="W557" s="18"/>
    </row>
    <row r="558" spans="1:23" ht="12.75">
      <c r="A558" s="29"/>
      <c r="B558" s="29" t="s">
        <v>251</v>
      </c>
      <c r="C558" s="29"/>
      <c r="D558" s="68" t="s">
        <v>391</v>
      </c>
      <c r="E558" s="68">
        <f>1000</f>
        <v>1000</v>
      </c>
      <c r="F558" s="29" t="s">
        <v>252</v>
      </c>
      <c r="G558" s="29"/>
      <c r="H558" s="29"/>
      <c r="I558" s="29"/>
      <c r="J558" s="29"/>
      <c r="K558" s="29"/>
      <c r="L558" s="29"/>
      <c r="Q558" s="18">
        <f t="shared" si="33"/>
        <v>1.68</v>
      </c>
      <c r="R558" s="18"/>
      <c r="S558" s="18"/>
      <c r="T558" s="18"/>
      <c r="U558" s="18"/>
      <c r="V558" s="18">
        <f t="shared" si="34"/>
        <v>0.2951</v>
      </c>
      <c r="W558" s="18"/>
    </row>
    <row r="559" spans="1:23" ht="12.75">
      <c r="A559" s="29"/>
      <c r="B559" s="29" t="s">
        <v>253</v>
      </c>
      <c r="C559" s="29"/>
      <c r="D559" s="68" t="s">
        <v>392</v>
      </c>
      <c r="E559" s="68">
        <f>F29</f>
        <v>25</v>
      </c>
      <c r="F559" s="29" t="s">
        <v>254</v>
      </c>
      <c r="G559" s="29"/>
      <c r="H559" s="29"/>
      <c r="I559" s="29"/>
      <c r="J559" s="29"/>
      <c r="K559" s="29"/>
      <c r="L559" s="29"/>
      <c r="Q559" s="18">
        <f t="shared" si="33"/>
        <v>1.56</v>
      </c>
      <c r="R559" s="18"/>
      <c r="S559" s="18"/>
      <c r="T559" s="18"/>
      <c r="U559" s="18"/>
      <c r="V559" s="18">
        <f t="shared" si="34"/>
        <v>0.3545</v>
      </c>
      <c r="W559" s="18"/>
    </row>
    <row r="560" spans="1:23" ht="12.75">
      <c r="A560" s="29"/>
      <c r="B560" s="29" t="s">
        <v>255</v>
      </c>
      <c r="C560" s="29"/>
      <c r="D560" s="68" t="s">
        <v>393</v>
      </c>
      <c r="E560" s="73">
        <f>E557-E559</f>
        <v>375</v>
      </c>
      <c r="F560" s="29" t="s">
        <v>252</v>
      </c>
      <c r="G560" s="29"/>
      <c r="H560" s="29"/>
      <c r="I560" s="29"/>
      <c r="J560" s="29"/>
      <c r="K560" s="29"/>
      <c r="L560" s="29"/>
      <c r="Q560" s="18">
        <f t="shared" si="33"/>
        <v>1.44</v>
      </c>
      <c r="R560" s="18"/>
      <c r="S560" s="18"/>
      <c r="T560" s="18"/>
      <c r="U560" s="18"/>
      <c r="V560" s="18">
        <f t="shared" si="34"/>
        <v>0.40066666666666667</v>
      </c>
      <c r="W560" s="18"/>
    </row>
    <row r="561" spans="1:23" ht="12.75">
      <c r="A561" s="29"/>
      <c r="B561" s="29" t="s">
        <v>256</v>
      </c>
      <c r="C561" s="29"/>
      <c r="D561" s="68"/>
      <c r="E561" s="68" t="str">
        <f>データ!C23</f>
        <v>D19</v>
      </c>
      <c r="F561" s="29"/>
      <c r="G561" s="29"/>
      <c r="H561" s="29"/>
      <c r="I561" s="29"/>
      <c r="J561" s="29"/>
      <c r="K561" s="29"/>
      <c r="L561" s="29"/>
      <c r="Q561" s="18">
        <f t="shared" si="33"/>
        <v>1.3199999999999998</v>
      </c>
      <c r="R561" s="18"/>
      <c r="S561" s="18"/>
      <c r="T561" s="19"/>
      <c r="U561" s="18"/>
      <c r="V561" s="18">
        <f t="shared" si="34"/>
        <v>0.43366666666666664</v>
      </c>
      <c r="W561" s="18"/>
    </row>
    <row r="562" spans="1:23" ht="12.75">
      <c r="A562" s="29"/>
      <c r="B562" s="29" t="s">
        <v>257</v>
      </c>
      <c r="C562" s="29"/>
      <c r="D562" s="68" t="s">
        <v>394</v>
      </c>
      <c r="E562" s="68">
        <f>'入力'!D21</f>
        <v>125</v>
      </c>
      <c r="F562" s="29" t="s">
        <v>254</v>
      </c>
      <c r="G562" s="29"/>
      <c r="H562" s="29"/>
      <c r="I562" s="29"/>
      <c r="J562" s="29"/>
      <c r="K562" s="29"/>
      <c r="L562" s="29"/>
      <c r="Q562" s="18">
        <f t="shared" si="33"/>
        <v>1.1999999999999997</v>
      </c>
      <c r="R562" s="18"/>
      <c r="S562" s="18"/>
      <c r="U562" s="18"/>
      <c r="V562" s="18">
        <f t="shared" si="34"/>
        <v>0.45346666666666663</v>
      </c>
      <c r="W562" s="18"/>
    </row>
    <row r="563" spans="1:23" ht="15">
      <c r="A563" s="29"/>
      <c r="B563" s="29" t="s">
        <v>258</v>
      </c>
      <c r="C563" s="29"/>
      <c r="D563" s="68" t="s">
        <v>395</v>
      </c>
      <c r="E563" s="74">
        <f>データ!D23*1000/E562</f>
        <v>2292</v>
      </c>
      <c r="F563" s="29" t="s">
        <v>259</v>
      </c>
      <c r="G563" s="29"/>
      <c r="H563" s="29"/>
      <c r="I563" s="29"/>
      <c r="J563" s="29"/>
      <c r="K563" s="29"/>
      <c r="L563" s="29"/>
      <c r="Q563" s="18">
        <f>E509/2</f>
        <v>1.2</v>
      </c>
      <c r="R563" s="18"/>
      <c r="S563" s="18"/>
      <c r="U563" s="18"/>
      <c r="V563" s="18">
        <f t="shared" si="34"/>
        <v>0.4600666666666667</v>
      </c>
      <c r="W563" s="18"/>
    </row>
    <row r="564" spans="1:23" ht="12.75">
      <c r="A564" s="29"/>
      <c r="B564" s="29" t="s">
        <v>396</v>
      </c>
      <c r="C564" s="29"/>
      <c r="D564" s="68" t="s">
        <v>397</v>
      </c>
      <c r="E564" s="68">
        <v>15</v>
      </c>
      <c r="F564" s="29"/>
      <c r="G564" s="29"/>
      <c r="H564" s="29"/>
      <c r="I564" s="29"/>
      <c r="J564" s="29"/>
      <c r="K564" s="29"/>
      <c r="L564" s="29"/>
      <c r="Q564" s="19">
        <f>Q563</f>
        <v>1.2</v>
      </c>
      <c r="R564" s="19"/>
      <c r="S564" s="19"/>
      <c r="U564" s="18"/>
      <c r="V564" s="18"/>
      <c r="W564" s="18">
        <f>R511*1.2</f>
        <v>3.2099999999999995</v>
      </c>
    </row>
    <row r="565" spans="1:23" ht="12.75">
      <c r="A565" s="29"/>
      <c r="B565" s="119" t="s">
        <v>398</v>
      </c>
      <c r="C565" s="126" t="s">
        <v>403</v>
      </c>
      <c r="D565" s="78" t="s">
        <v>399</v>
      </c>
      <c r="E565" s="122" t="str">
        <f>"=  15×"</f>
        <v>=  15×</v>
      </c>
      <c r="F565" s="76">
        <f>E563</f>
        <v>2292</v>
      </c>
      <c r="G565" s="119" t="str">
        <f>"="&amp;J565</f>
        <v>=0.0917</v>
      </c>
      <c r="J565" s="31">
        <f>ROUND(15*E563/(E558*E560),4)</f>
        <v>0.0917</v>
      </c>
      <c r="U565" s="19"/>
      <c r="V565" s="19"/>
      <c r="W565" s="19">
        <f>MIN(MIN(T524:T535),MIN(V552:V563))</f>
        <v>-1.0997666666666668</v>
      </c>
    </row>
    <row r="566" spans="1:7" ht="12.75">
      <c r="A566" s="29"/>
      <c r="B566" s="119"/>
      <c r="C566" s="126"/>
      <c r="D566" s="78" t="s">
        <v>402</v>
      </c>
      <c r="E566" s="122"/>
      <c r="F566" s="77" t="str">
        <f>E558&amp;"×"&amp;E560</f>
        <v>1000×375</v>
      </c>
      <c r="G566" s="119"/>
    </row>
    <row r="567" ht="12.75">
      <c r="A567" s="29"/>
    </row>
    <row r="568" spans="1:28" ht="12.75">
      <c r="A568" s="29"/>
      <c r="B568" s="7" t="s">
        <v>401</v>
      </c>
      <c r="C568" s="7" t="str">
        <f>"k= (np)^2+2np -np=   "&amp;J565&amp;"^2+2×"&amp;J565&amp;"-"&amp;J565&amp;" ="&amp;J568</f>
        <v>k= (np)^2+2np -np=   0.0917^2+2×0.0917-0.0917 =0.346</v>
      </c>
      <c r="J568" s="32">
        <f>ROUND((J565^2+2*J565)^0.5-J565,3)</f>
        <v>0.346</v>
      </c>
      <c r="AB568" s="20"/>
    </row>
    <row r="569" spans="1:28" ht="12.75">
      <c r="A569" s="29"/>
      <c r="T569" s="20"/>
      <c r="AB569" s="20"/>
    </row>
    <row r="570" spans="1:20" ht="12.75">
      <c r="A570" s="29"/>
      <c r="B570" s="71"/>
      <c r="C570" s="79" t="str">
        <f>"j=1-k/3= 1-"&amp;J568&amp;"/3="&amp;J570</f>
        <v>j=1-k/3= 1-0.346/3=0.885</v>
      </c>
      <c r="J570" s="32">
        <f>ROUND(1-J568/3,3)</f>
        <v>0.885</v>
      </c>
      <c r="M570" s="30"/>
      <c r="T570" s="20"/>
    </row>
    <row r="571" spans="1:28" ht="12.75">
      <c r="A571" s="29"/>
      <c r="C571" s="75"/>
      <c r="M571" s="29"/>
      <c r="AB571" s="20"/>
    </row>
    <row r="572" spans="1:27" s="20" customFormat="1" ht="12.75">
      <c r="A572" s="29"/>
      <c r="B572" s="7" t="s">
        <v>260</v>
      </c>
      <c r="C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U572" s="7"/>
      <c r="V572" s="7"/>
      <c r="W572" s="7"/>
      <c r="X572" s="7"/>
      <c r="Y572" s="7"/>
      <c r="Z572" s="7"/>
      <c r="AA572" s="7"/>
    </row>
    <row r="573" spans="1:15" s="20" customFormat="1" ht="14.25">
      <c r="A573" s="29"/>
      <c r="B573" s="122" t="s">
        <v>406</v>
      </c>
      <c r="C573" s="30" t="s">
        <v>404</v>
      </c>
      <c r="D573" s="120" t="str">
        <f>"2×"&amp;J555</f>
        <v>2×39049000</v>
      </c>
      <c r="E573" s="120"/>
      <c r="F573" s="125"/>
      <c r="G573" s="119" t="str">
        <f>"="&amp;J573&amp;K573&amp;L573&amp;M573&amp;N573&amp;O573</f>
        <v>=1.8N/mm2&lt;σca=7N/mm2</v>
      </c>
      <c r="H573" s="123"/>
      <c r="I573" s="123"/>
      <c r="J573" s="7">
        <f>ROUND(ABS(E555)*1000000*2/(J568*J570*E558*E560^2),1)</f>
        <v>1.8</v>
      </c>
      <c r="K573" s="7" t="s">
        <v>261</v>
      </c>
      <c r="L573" s="30" t="str">
        <f>IF(J573&gt;=N573,"&gt;","&lt;")</f>
        <v>&lt;</v>
      </c>
      <c r="M573" s="15" t="s">
        <v>262</v>
      </c>
      <c r="N573" s="33">
        <f>$F$26/3</f>
        <v>7</v>
      </c>
      <c r="O573" s="20" t="s">
        <v>261</v>
      </c>
    </row>
    <row r="574" spans="1:28" ht="14.25">
      <c r="A574" s="29"/>
      <c r="B574" s="122"/>
      <c r="C574" s="30" t="s">
        <v>405</v>
      </c>
      <c r="D574" s="120" t="str">
        <f>J568&amp;"×"&amp;J570&amp;"×"&amp;E558&amp;"×"&amp;E560&amp;"^2"</f>
        <v>0.346×0.885×1000×375^2</v>
      </c>
      <c r="E574" s="120"/>
      <c r="F574" s="125"/>
      <c r="G574" s="119"/>
      <c r="H574" s="123"/>
      <c r="I574" s="123"/>
      <c r="T574" s="20"/>
      <c r="U574" s="20"/>
      <c r="V574" s="20"/>
      <c r="W574" s="20"/>
      <c r="X574" s="20"/>
      <c r="Y574" s="20"/>
      <c r="Z574" s="20"/>
      <c r="AA574" s="20"/>
      <c r="AB574" s="20"/>
    </row>
    <row r="575" spans="1:28" s="20" customFormat="1" ht="16.5">
      <c r="A575" s="29"/>
      <c r="B575" s="7"/>
      <c r="C575" s="7"/>
      <c r="D575" s="7"/>
      <c r="E575" s="7"/>
      <c r="F575" s="7"/>
      <c r="G575" s="7"/>
      <c r="H575" s="7"/>
      <c r="I575" s="34" t="str">
        <f>IF(J573&gt;=N573,"OUT","SAFE")</f>
        <v>SAFE</v>
      </c>
      <c r="J575" s="20">
        <f>ROUND(ABS(E555)*1000000/(E563*J570*E560),0)</f>
        <v>51</v>
      </c>
      <c r="K575" s="20" t="s">
        <v>264</v>
      </c>
      <c r="L575" s="34" t="str">
        <f>IF(J575&gt;=N575,"&gt;","&lt;")</f>
        <v>&lt;</v>
      </c>
      <c r="M575" s="15" t="s">
        <v>265</v>
      </c>
      <c r="N575" s="35">
        <f>データ!$D$5</f>
        <v>160</v>
      </c>
      <c r="O575" s="20" t="s">
        <v>264</v>
      </c>
      <c r="U575" s="7"/>
      <c r="V575" s="7"/>
      <c r="W575" s="7"/>
      <c r="X575" s="7"/>
      <c r="Y575" s="7"/>
      <c r="Z575" s="7"/>
      <c r="AA575" s="7"/>
      <c r="AB575" s="7"/>
    </row>
    <row r="576" spans="1:28" s="20" customFormat="1" ht="12.75">
      <c r="A576" s="29"/>
      <c r="B576" s="7" t="s">
        <v>263</v>
      </c>
      <c r="C576" s="7"/>
      <c r="M576" s="29"/>
      <c r="N576" s="7"/>
      <c r="O576" s="7"/>
      <c r="T576" s="7"/>
      <c r="AB576" s="7"/>
    </row>
    <row r="577" spans="1:28" s="20" customFormat="1" ht="14.25">
      <c r="A577" s="29"/>
      <c r="B577" s="122" t="s">
        <v>407</v>
      </c>
      <c r="C577" s="34" t="s">
        <v>341</v>
      </c>
      <c r="D577" s="120">
        <f>J555</f>
        <v>39049000</v>
      </c>
      <c r="E577" s="120"/>
      <c r="F577" s="125"/>
      <c r="G577" s="119" t="str">
        <f>"="&amp;J575&amp;K575&amp;L575&amp;M575&amp;N575&amp;O575</f>
        <v>=51N/mm2&lt;σsa=160N/mm2</v>
      </c>
      <c r="H577" s="123"/>
      <c r="I577" s="123"/>
      <c r="J577" s="34"/>
      <c r="K577" s="34"/>
      <c r="L577" s="34"/>
      <c r="M577" s="29"/>
      <c r="N577" s="7"/>
      <c r="O577" s="7"/>
      <c r="T577" s="7"/>
      <c r="AB577" s="7"/>
    </row>
    <row r="578" spans="1:28" s="20" customFormat="1" ht="14.25">
      <c r="A578" s="29"/>
      <c r="B578" s="122"/>
      <c r="C578" s="34" t="s">
        <v>408</v>
      </c>
      <c r="D578" s="120" t="str">
        <f>E563&amp;"×"&amp;J570&amp;"×"&amp;E560</f>
        <v>2292×0.885×375</v>
      </c>
      <c r="E578" s="120"/>
      <c r="F578" s="125"/>
      <c r="G578" s="119"/>
      <c r="H578" s="123"/>
      <c r="I578" s="123"/>
      <c r="J578" s="29"/>
      <c r="K578" s="29"/>
      <c r="L578" s="29"/>
      <c r="M578" s="7"/>
      <c r="N578" s="7"/>
      <c r="O578" s="7"/>
      <c r="T578" s="7"/>
      <c r="AB578" s="7"/>
    </row>
    <row r="579" spans="1:27" ht="12.75">
      <c r="A579" s="29"/>
      <c r="G579" s="15"/>
      <c r="H579" s="20"/>
      <c r="I579" s="34" t="str">
        <f>IF(J575&gt;=N575,"OUT","SAFE")</f>
        <v>SAFE</v>
      </c>
      <c r="J579" s="20"/>
      <c r="K579" s="20"/>
      <c r="L579" s="20"/>
      <c r="U579" s="20"/>
      <c r="V579" s="20"/>
      <c r="W579" s="20"/>
      <c r="X579" s="20"/>
      <c r="Y579" s="20"/>
      <c r="Z579" s="20"/>
      <c r="AA579" s="20"/>
    </row>
    <row r="580" spans="2:12" ht="12.75">
      <c r="B580" s="29" t="s">
        <v>272</v>
      </c>
      <c r="C580" s="20"/>
      <c r="D580" s="20"/>
      <c r="E580" s="20"/>
      <c r="F580" s="20"/>
      <c r="G580" s="15"/>
      <c r="H580" s="20"/>
      <c r="I580" s="20"/>
      <c r="J580" s="20"/>
      <c r="K580" s="20"/>
      <c r="L580" s="20"/>
    </row>
    <row r="581" spans="2:15" ht="14.25">
      <c r="B581" s="122" t="s">
        <v>409</v>
      </c>
      <c r="C581" s="34" t="s">
        <v>339</v>
      </c>
      <c r="D581" s="120">
        <f>J556</f>
        <v>40760</v>
      </c>
      <c r="E581" s="120"/>
      <c r="F581" s="119" t="str">
        <f>"="&amp;J581&amp;K581&amp;L581&amp;M581&amp;N581&amp;O581</f>
        <v>=0.11N/mm2&lt;τca=0.36N/mm2</v>
      </c>
      <c r="G581" s="123"/>
      <c r="H581" s="123"/>
      <c r="J581" s="7">
        <f>ROUND(ABS(E556)*1000/(E558*E560),2)</f>
        <v>0.11</v>
      </c>
      <c r="K581" s="20" t="s">
        <v>264</v>
      </c>
      <c r="L581" s="34" t="str">
        <f>IF(J581&gt;=N581,"&gt;","&lt;")</f>
        <v>&lt;</v>
      </c>
      <c r="M581" s="15" t="s">
        <v>273</v>
      </c>
      <c r="N581" s="7">
        <f>$F$26/100+0.15</f>
        <v>0.36</v>
      </c>
      <c r="O581" s="20" t="s">
        <v>264</v>
      </c>
    </row>
    <row r="582" spans="2:12" ht="14.25">
      <c r="B582" s="122"/>
      <c r="C582" s="34" t="s">
        <v>400</v>
      </c>
      <c r="D582" s="124" t="str">
        <f>E558&amp;"×"&amp;E560</f>
        <v>1000×375</v>
      </c>
      <c r="E582" s="124"/>
      <c r="F582" s="123"/>
      <c r="G582" s="123"/>
      <c r="H582" s="123"/>
      <c r="J582" s="34"/>
      <c r="K582" s="34"/>
      <c r="L582" s="34"/>
    </row>
    <row r="583" spans="3:12" ht="12.75">
      <c r="C583" s="29"/>
      <c r="D583" s="29"/>
      <c r="E583" s="29"/>
      <c r="F583" s="29"/>
      <c r="G583" s="29"/>
      <c r="H583" s="29"/>
      <c r="I583" s="34" t="str">
        <f>IF(J581&gt;=N581,"OUT","SAFE")</f>
        <v>SAFE</v>
      </c>
      <c r="J583" s="29"/>
      <c r="K583" s="29"/>
      <c r="L583" s="29"/>
    </row>
    <row r="584" ht="12.75">
      <c r="O584" s="20"/>
    </row>
    <row r="585" spans="10:15" ht="12.75">
      <c r="J585" s="20"/>
      <c r="K585" s="20"/>
      <c r="L585" s="20"/>
      <c r="O585" s="20"/>
    </row>
    <row r="586" spans="10:12" ht="12.75">
      <c r="J586" s="34"/>
      <c r="K586" s="34"/>
      <c r="L586" s="34"/>
    </row>
    <row r="587" spans="13:15" ht="12.75">
      <c r="M587" s="20"/>
      <c r="N587" s="20"/>
      <c r="O587" s="20"/>
    </row>
    <row r="588" spans="1:15" ht="12.75">
      <c r="A588" s="29" t="s">
        <v>274</v>
      </c>
      <c r="M588" s="20"/>
      <c r="N588" s="20"/>
      <c r="O588" s="20"/>
    </row>
    <row r="589" spans="2:15" ht="12.75">
      <c r="B589" s="29" t="s">
        <v>249</v>
      </c>
      <c r="C589" s="29"/>
      <c r="D589" s="68" t="s">
        <v>388</v>
      </c>
      <c r="E589" s="72">
        <f>E438</f>
        <v>-39.049</v>
      </c>
      <c r="F589" s="29" t="s">
        <v>250</v>
      </c>
      <c r="G589" s="29"/>
      <c r="H589" s="29"/>
      <c r="I589" s="29"/>
      <c r="J589" s="29">
        <f>ABS(E589)*1000000</f>
        <v>39049000</v>
      </c>
      <c r="K589" s="29"/>
      <c r="L589" s="29"/>
      <c r="O589" s="20"/>
    </row>
    <row r="590" spans="2:15" ht="12.75">
      <c r="B590" s="29" t="s">
        <v>266</v>
      </c>
      <c r="C590" s="29"/>
      <c r="D590" s="68" t="s">
        <v>389</v>
      </c>
      <c r="E590" s="72">
        <f>D438</f>
        <v>-33.407</v>
      </c>
      <c r="F590" s="29" t="s">
        <v>268</v>
      </c>
      <c r="G590" s="29"/>
      <c r="H590" s="29"/>
      <c r="I590" s="29"/>
      <c r="J590" s="29">
        <f>ABS(E590)*1000</f>
        <v>33407</v>
      </c>
      <c r="K590" s="29"/>
      <c r="L590" s="29"/>
      <c r="M590" s="20"/>
      <c r="N590" s="20"/>
      <c r="O590" s="20"/>
    </row>
    <row r="591" spans="1:14" ht="12.75">
      <c r="A591" s="20"/>
      <c r="B591" s="29" t="s">
        <v>269</v>
      </c>
      <c r="C591" s="29"/>
      <c r="D591" s="68" t="s">
        <v>390</v>
      </c>
      <c r="E591" s="73">
        <f>E7*1000</f>
        <v>350</v>
      </c>
      <c r="F591" s="29" t="s">
        <v>270</v>
      </c>
      <c r="G591" s="29"/>
      <c r="H591" s="29"/>
      <c r="I591" s="29"/>
      <c r="J591" s="29"/>
      <c r="K591" s="29"/>
      <c r="L591" s="29"/>
      <c r="M591" s="20"/>
      <c r="N591" s="20"/>
    </row>
    <row r="592" spans="1:14" ht="12.75">
      <c r="A592" s="20"/>
      <c r="B592" s="29" t="s">
        <v>251</v>
      </c>
      <c r="C592" s="29"/>
      <c r="D592" s="68" t="s">
        <v>391</v>
      </c>
      <c r="E592" s="68">
        <f>1000</f>
        <v>1000</v>
      </c>
      <c r="F592" s="29" t="s">
        <v>252</v>
      </c>
      <c r="G592" s="29"/>
      <c r="H592" s="29"/>
      <c r="I592" s="29"/>
      <c r="J592" s="29"/>
      <c r="K592" s="29"/>
      <c r="L592" s="29"/>
      <c r="M592" s="20"/>
      <c r="N592" s="20"/>
    </row>
    <row r="593" spans="2:14" ht="12.75">
      <c r="B593" s="29" t="s">
        <v>253</v>
      </c>
      <c r="C593" s="29"/>
      <c r="D593" s="68" t="s">
        <v>392</v>
      </c>
      <c r="E593" s="68">
        <f>E559</f>
        <v>25</v>
      </c>
      <c r="F593" s="29" t="s">
        <v>254</v>
      </c>
      <c r="G593" s="29"/>
      <c r="H593" s="29"/>
      <c r="I593" s="29"/>
      <c r="J593" s="29"/>
      <c r="K593" s="29"/>
      <c r="L593" s="29"/>
      <c r="M593" s="20"/>
      <c r="N593" s="20"/>
    </row>
    <row r="594" spans="1:12" ht="12.75">
      <c r="A594" s="20"/>
      <c r="B594" s="29" t="s">
        <v>255</v>
      </c>
      <c r="C594" s="29"/>
      <c r="D594" s="68" t="s">
        <v>393</v>
      </c>
      <c r="E594" s="73">
        <f>E591-E593</f>
        <v>325</v>
      </c>
      <c r="F594" s="29" t="s">
        <v>252</v>
      </c>
      <c r="G594" s="29"/>
      <c r="H594" s="29"/>
      <c r="I594" s="29"/>
      <c r="J594" s="29"/>
      <c r="K594" s="29"/>
      <c r="L594" s="29"/>
    </row>
    <row r="595" spans="1:12" ht="12.75">
      <c r="A595" s="20"/>
      <c r="B595" s="29" t="s">
        <v>256</v>
      </c>
      <c r="C595" s="29"/>
      <c r="D595" s="68"/>
      <c r="E595" s="68" t="str">
        <f>E561</f>
        <v>D19</v>
      </c>
      <c r="F595" s="29"/>
      <c r="G595" s="29"/>
      <c r="H595" s="29"/>
      <c r="I595" s="29"/>
      <c r="J595" s="29"/>
      <c r="K595" s="29"/>
      <c r="L595" s="29"/>
    </row>
    <row r="596" spans="1:12" ht="12.75">
      <c r="A596" s="20"/>
      <c r="B596" s="29" t="s">
        <v>257</v>
      </c>
      <c r="C596" s="29"/>
      <c r="D596" s="68" t="s">
        <v>394</v>
      </c>
      <c r="E596" s="68">
        <f>E562</f>
        <v>125</v>
      </c>
      <c r="F596" s="29" t="s">
        <v>254</v>
      </c>
      <c r="G596" s="29"/>
      <c r="H596" s="29"/>
      <c r="I596" s="29"/>
      <c r="J596" s="29"/>
      <c r="K596" s="29"/>
      <c r="L596" s="29"/>
    </row>
    <row r="597" spans="1:12" ht="15">
      <c r="A597" s="29"/>
      <c r="B597" s="29" t="s">
        <v>258</v>
      </c>
      <c r="C597" s="29"/>
      <c r="D597" s="68" t="s">
        <v>395</v>
      </c>
      <c r="E597" s="74">
        <f>E563</f>
        <v>2292</v>
      </c>
      <c r="F597" s="29" t="s">
        <v>259</v>
      </c>
      <c r="G597" s="29"/>
      <c r="H597" s="29"/>
      <c r="I597" s="29"/>
      <c r="J597" s="29"/>
      <c r="K597" s="29"/>
      <c r="L597" s="29"/>
    </row>
    <row r="598" spans="1:12" ht="12.75">
      <c r="A598" s="29"/>
      <c r="B598" s="29" t="s">
        <v>396</v>
      </c>
      <c r="C598" s="29"/>
      <c r="D598" s="68" t="s">
        <v>397</v>
      </c>
      <c r="E598" s="68">
        <v>15</v>
      </c>
      <c r="F598" s="29"/>
      <c r="G598" s="29"/>
      <c r="H598" s="29"/>
      <c r="I598" s="29"/>
      <c r="J598" s="29"/>
      <c r="K598" s="29"/>
      <c r="L598" s="29"/>
    </row>
    <row r="599" spans="1:10" ht="12.75">
      <c r="A599" s="29"/>
      <c r="B599" s="119" t="s">
        <v>398</v>
      </c>
      <c r="C599" s="126" t="s">
        <v>403</v>
      </c>
      <c r="D599" s="78" t="s">
        <v>399</v>
      </c>
      <c r="E599" s="122" t="str">
        <f>"=  15×"</f>
        <v>=  15×</v>
      </c>
      <c r="F599" s="76">
        <f>E597</f>
        <v>2292</v>
      </c>
      <c r="G599" s="119" t="str">
        <f>"="&amp;J599</f>
        <v>=0.1058</v>
      </c>
      <c r="J599" s="31">
        <f>ROUND(15*E597/(E592*E594),4)</f>
        <v>0.1058</v>
      </c>
    </row>
    <row r="600" spans="1:7" ht="12.75">
      <c r="A600" s="29"/>
      <c r="B600" s="119"/>
      <c r="C600" s="126"/>
      <c r="D600" s="78" t="s">
        <v>402</v>
      </c>
      <c r="E600" s="122"/>
      <c r="F600" s="77" t="str">
        <f>E592&amp;"×"&amp;E594</f>
        <v>1000×325</v>
      </c>
      <c r="G600" s="119"/>
    </row>
    <row r="601" ht="12.75">
      <c r="A601" s="29"/>
    </row>
    <row r="602" spans="1:10" ht="12.75">
      <c r="A602" s="29"/>
      <c r="B602" s="7" t="s">
        <v>401</v>
      </c>
      <c r="C602" s="7" t="str">
        <f>"k= (np)^2+2np -np=   "&amp;J599&amp;"^2+2×"&amp;J599&amp;"-"&amp;J599&amp;" ="&amp;J602</f>
        <v>k= (np)^2+2np -np=   0.1058^2+2×0.1058-0.1058 =0.366</v>
      </c>
      <c r="J602" s="32">
        <f>ROUND((J599^2+2*J599)^0.5-J599,3)</f>
        <v>0.366</v>
      </c>
    </row>
    <row r="603" ht="12.75">
      <c r="A603" s="29"/>
    </row>
    <row r="604" spans="1:13" ht="12.75">
      <c r="A604" s="29"/>
      <c r="B604" s="71"/>
      <c r="C604" s="79" t="str">
        <f>"j=1-k/3= 1-"&amp;J602&amp;"/3="&amp;J604</f>
        <v>j=1-k/3= 1-0.366/3=0.878</v>
      </c>
      <c r="J604" s="32">
        <f>ROUND(1-J602/3,3)</f>
        <v>0.878</v>
      </c>
      <c r="M604" s="30"/>
    </row>
    <row r="605" spans="1:13" ht="12.75">
      <c r="A605" s="29"/>
      <c r="C605" s="75"/>
      <c r="M605" s="29"/>
    </row>
    <row r="606" spans="1:4" ht="12.75">
      <c r="A606" s="29"/>
      <c r="B606" s="7" t="s">
        <v>260</v>
      </c>
      <c r="D606" s="20"/>
    </row>
    <row r="607" spans="1:15" ht="14.25">
      <c r="A607" s="29"/>
      <c r="B607" s="122" t="s">
        <v>406</v>
      </c>
      <c r="C607" s="30" t="s">
        <v>404</v>
      </c>
      <c r="D607" s="120" t="str">
        <f>"2×"&amp;J589</f>
        <v>2×39049000</v>
      </c>
      <c r="E607" s="120"/>
      <c r="F607" s="125"/>
      <c r="G607" s="119" t="str">
        <f>"="&amp;J607&amp;K607&amp;L607&amp;M607&amp;N607&amp;O607</f>
        <v>=2.3N/mm2&lt;σca=7N/mm2</v>
      </c>
      <c r="H607" s="123"/>
      <c r="I607" s="123"/>
      <c r="J607" s="7">
        <f>ROUND(ABS(E589)*1000000*2/(J602*J604*E592*E594^2),1)</f>
        <v>2.3</v>
      </c>
      <c r="K607" s="7" t="s">
        <v>261</v>
      </c>
      <c r="L607" s="30" t="str">
        <f>IF(J607&gt;=N607,"&gt;","&lt;")</f>
        <v>&lt;</v>
      </c>
      <c r="M607" s="15" t="s">
        <v>262</v>
      </c>
      <c r="N607" s="33">
        <f>$F$26/3</f>
        <v>7</v>
      </c>
      <c r="O607" s="20" t="s">
        <v>261</v>
      </c>
    </row>
    <row r="608" spans="1:9" ht="14.25">
      <c r="A608" s="29"/>
      <c r="B608" s="122"/>
      <c r="C608" s="30" t="s">
        <v>405</v>
      </c>
      <c r="D608" s="120" t="str">
        <f>J602&amp;"×"&amp;J604&amp;"×"&amp;E592&amp;"×"&amp;E594&amp;"^2"</f>
        <v>0.366×0.878×1000×325^2</v>
      </c>
      <c r="E608" s="120"/>
      <c r="F608" s="125"/>
      <c r="G608" s="119"/>
      <c r="H608" s="123"/>
      <c r="I608" s="123"/>
    </row>
    <row r="609" spans="1:15" ht="16.5">
      <c r="A609" s="29"/>
      <c r="I609" s="34" t="str">
        <f>IF(J607&gt;=N607,"OUT","SAFE")</f>
        <v>SAFE</v>
      </c>
      <c r="J609" s="20">
        <f>ROUND(ABS(E589)*1000000/(E597*J604*E594),0)</f>
        <v>60</v>
      </c>
      <c r="K609" s="20" t="s">
        <v>264</v>
      </c>
      <c r="L609" s="34" t="str">
        <f>IF(J609&gt;=N609,"&gt;","&lt;")</f>
        <v>&lt;</v>
      </c>
      <c r="M609" s="15" t="s">
        <v>265</v>
      </c>
      <c r="N609" s="35">
        <f>データ!$D$5</f>
        <v>160</v>
      </c>
      <c r="O609" s="20" t="s">
        <v>264</v>
      </c>
    </row>
    <row r="610" spans="1:13" ht="12.75">
      <c r="A610" s="29"/>
      <c r="B610" s="7" t="s">
        <v>263</v>
      </c>
      <c r="D610" s="20"/>
      <c r="E610" s="20"/>
      <c r="F610" s="20"/>
      <c r="G610" s="20"/>
      <c r="H610" s="20"/>
      <c r="I610" s="20"/>
      <c r="J610" s="20"/>
      <c r="K610" s="20"/>
      <c r="L610" s="20"/>
      <c r="M610" s="29"/>
    </row>
    <row r="611" spans="1:13" ht="14.25">
      <c r="A611" s="29"/>
      <c r="B611" s="122" t="s">
        <v>407</v>
      </c>
      <c r="C611" s="34" t="s">
        <v>341</v>
      </c>
      <c r="D611" s="120">
        <f>J589</f>
        <v>39049000</v>
      </c>
      <c r="E611" s="120"/>
      <c r="F611" s="125"/>
      <c r="G611" s="119" t="str">
        <f>"="&amp;J609&amp;K609&amp;L609&amp;M609&amp;N609&amp;O609</f>
        <v>=60N/mm2&lt;σsa=160N/mm2</v>
      </c>
      <c r="H611" s="123"/>
      <c r="I611" s="123"/>
      <c r="J611" s="34"/>
      <c r="K611" s="34"/>
      <c r="L611" s="34"/>
      <c r="M611" s="29"/>
    </row>
    <row r="612" spans="1:12" ht="14.25">
      <c r="A612" s="29"/>
      <c r="B612" s="122"/>
      <c r="C612" s="34" t="s">
        <v>408</v>
      </c>
      <c r="D612" s="120" t="str">
        <f>E597&amp;"×"&amp;J604&amp;"×"&amp;E594</f>
        <v>2292×0.878×325</v>
      </c>
      <c r="E612" s="120"/>
      <c r="F612" s="125"/>
      <c r="G612" s="119"/>
      <c r="H612" s="123"/>
      <c r="I612" s="123"/>
      <c r="J612" s="29"/>
      <c r="K612" s="29"/>
      <c r="L612" s="29"/>
    </row>
    <row r="613" spans="1:12" ht="12.75">
      <c r="A613" s="29"/>
      <c r="G613" s="15"/>
      <c r="H613" s="20"/>
      <c r="I613" s="34" t="str">
        <f>IF(J609&gt;=N609,"OUT","SAFE")</f>
        <v>SAFE</v>
      </c>
      <c r="J613" s="20"/>
      <c r="K613" s="20"/>
      <c r="L613" s="20"/>
    </row>
    <row r="614" spans="1:12" ht="12.75">
      <c r="A614" s="29"/>
      <c r="B614" s="29" t="s">
        <v>272</v>
      </c>
      <c r="C614" s="20"/>
      <c r="D614" s="20"/>
      <c r="E614" s="20"/>
      <c r="F614" s="20"/>
      <c r="G614" s="15"/>
      <c r="H614" s="20"/>
      <c r="I614" s="20"/>
      <c r="J614" s="20"/>
      <c r="K614" s="20"/>
      <c r="L614" s="20"/>
    </row>
    <row r="615" spans="1:15" ht="14.25">
      <c r="A615" s="29"/>
      <c r="B615" s="122" t="s">
        <v>409</v>
      </c>
      <c r="C615" s="34" t="s">
        <v>339</v>
      </c>
      <c r="D615" s="120">
        <f>J590</f>
        <v>33407</v>
      </c>
      <c r="E615" s="120"/>
      <c r="F615" s="119" t="str">
        <f>"="&amp;J615&amp;K615&amp;L615&amp;M615&amp;N615&amp;O615</f>
        <v>=0.1N/mm2&lt;τca=0.36N/mm2</v>
      </c>
      <c r="G615" s="123"/>
      <c r="H615" s="123"/>
      <c r="J615" s="7">
        <f>ROUND(ABS(E590)*1000/(E592*E594),2)</f>
        <v>0.1</v>
      </c>
      <c r="K615" s="20" t="s">
        <v>264</v>
      </c>
      <c r="L615" s="34" t="str">
        <f>IF(J615&gt;=N615,"&gt;","&lt;")</f>
        <v>&lt;</v>
      </c>
      <c r="M615" s="15" t="s">
        <v>273</v>
      </c>
      <c r="N615" s="7">
        <f>$F$26/100+0.15</f>
        <v>0.36</v>
      </c>
      <c r="O615" s="20" t="s">
        <v>264</v>
      </c>
    </row>
    <row r="616" spans="1:12" ht="14.25">
      <c r="A616" s="29"/>
      <c r="B616" s="122"/>
      <c r="C616" s="34" t="s">
        <v>400</v>
      </c>
      <c r="D616" s="124" t="str">
        <f>E592&amp;"×"&amp;E594</f>
        <v>1000×325</v>
      </c>
      <c r="E616" s="124"/>
      <c r="F616" s="123"/>
      <c r="G616" s="123"/>
      <c r="H616" s="123"/>
      <c r="J616" s="34"/>
      <c r="K616" s="34"/>
      <c r="L616" s="34"/>
    </row>
    <row r="617" spans="1:12" ht="12.75">
      <c r="A617" s="29"/>
      <c r="C617" s="29"/>
      <c r="D617" s="29"/>
      <c r="E617" s="29"/>
      <c r="F617" s="29"/>
      <c r="G617" s="29"/>
      <c r="H617" s="29"/>
      <c r="I617" s="34" t="str">
        <f>IF(J615&gt;=N615,"OUT","SAFE")</f>
        <v>SAFE</v>
      </c>
      <c r="J617" s="29"/>
      <c r="K617" s="29"/>
      <c r="L617" s="29"/>
    </row>
    <row r="618" spans="9:13" ht="12.75">
      <c r="I618" s="34"/>
      <c r="J618" s="34"/>
      <c r="K618" s="34"/>
      <c r="L618" s="34"/>
      <c r="M618" s="29"/>
    </row>
    <row r="619" spans="1:13" ht="12.75">
      <c r="A619" s="29" t="s">
        <v>275</v>
      </c>
      <c r="M619" s="29"/>
    </row>
    <row r="620" spans="2:12" ht="12.75">
      <c r="B620" s="29" t="s">
        <v>249</v>
      </c>
      <c r="C620" s="29"/>
      <c r="D620" s="68" t="s">
        <v>410</v>
      </c>
      <c r="E620" s="72">
        <f>E448</f>
        <v>-19.005</v>
      </c>
      <c r="F620" s="29" t="s">
        <v>250</v>
      </c>
      <c r="G620" s="29"/>
      <c r="H620" s="29"/>
      <c r="I620" s="29"/>
      <c r="J620" s="29">
        <f>ABS(E620)*1000000</f>
        <v>19005000</v>
      </c>
      <c r="K620" s="29"/>
      <c r="L620" s="29"/>
    </row>
    <row r="621" spans="2:12" ht="12.75">
      <c r="B621" s="29" t="s">
        <v>266</v>
      </c>
      <c r="C621" s="29"/>
      <c r="D621" s="68" t="s">
        <v>411</v>
      </c>
      <c r="E621" s="72">
        <v>0</v>
      </c>
      <c r="F621" s="29" t="s">
        <v>268</v>
      </c>
      <c r="G621" s="29"/>
      <c r="H621" s="29"/>
      <c r="I621" s="29"/>
      <c r="J621" s="29">
        <f>ABS(E621)*1000</f>
        <v>0</v>
      </c>
      <c r="K621" s="29"/>
      <c r="L621" s="29"/>
    </row>
    <row r="622" spans="2:12" ht="12.75">
      <c r="B622" s="29" t="s">
        <v>269</v>
      </c>
      <c r="C622" s="29"/>
      <c r="D622" s="68" t="s">
        <v>412</v>
      </c>
      <c r="E622" s="73">
        <f>E591</f>
        <v>350</v>
      </c>
      <c r="F622" s="29" t="s">
        <v>270</v>
      </c>
      <c r="G622" s="29"/>
      <c r="H622" s="29"/>
      <c r="I622" s="29"/>
      <c r="J622" s="29"/>
      <c r="K622" s="29"/>
      <c r="L622" s="29"/>
    </row>
    <row r="623" spans="2:12" ht="12.75">
      <c r="B623" s="29" t="s">
        <v>251</v>
      </c>
      <c r="C623" s="29"/>
      <c r="D623" s="68" t="s">
        <v>413</v>
      </c>
      <c r="E623" s="68">
        <f>1000</f>
        <v>1000</v>
      </c>
      <c r="F623" s="29" t="s">
        <v>252</v>
      </c>
      <c r="G623" s="29"/>
      <c r="H623" s="29"/>
      <c r="I623" s="29"/>
      <c r="J623" s="29"/>
      <c r="K623" s="29"/>
      <c r="L623" s="29"/>
    </row>
    <row r="624" spans="2:12" ht="12.75">
      <c r="B624" s="29" t="s">
        <v>253</v>
      </c>
      <c r="C624" s="29"/>
      <c r="D624" s="68" t="s">
        <v>414</v>
      </c>
      <c r="E624" s="68">
        <f>IF($E$448&lt;0,F29,IF(データ!D42=0,E622-F29,F30))</f>
        <v>25</v>
      </c>
      <c r="F624" s="29" t="s">
        <v>254</v>
      </c>
      <c r="G624" s="29"/>
      <c r="H624" s="29"/>
      <c r="I624" s="29"/>
      <c r="J624" s="29"/>
      <c r="K624" s="29"/>
      <c r="L624" s="29"/>
    </row>
    <row r="625" spans="2:12" ht="12.75">
      <c r="B625" s="29" t="s">
        <v>255</v>
      </c>
      <c r="C625" s="29"/>
      <c r="D625" s="68" t="s">
        <v>415</v>
      </c>
      <c r="E625" s="73">
        <f>E622-E624</f>
        <v>325</v>
      </c>
      <c r="F625" s="29" t="s">
        <v>252</v>
      </c>
      <c r="G625" s="29"/>
      <c r="H625" s="29"/>
      <c r="I625" s="29"/>
      <c r="J625" s="29"/>
      <c r="K625" s="29"/>
      <c r="L625" s="29"/>
    </row>
    <row r="626" spans="2:12" ht="12.75">
      <c r="B626" s="29" t="s">
        <v>256</v>
      </c>
      <c r="C626" s="29"/>
      <c r="D626" s="68"/>
      <c r="E626" s="68" t="str">
        <f>IF($E$448&lt;0,$D$29,IF(データ!D42=0,D29,$D$30))</f>
        <v>D19</v>
      </c>
      <c r="F626" s="29"/>
      <c r="G626" s="29"/>
      <c r="H626" s="29"/>
      <c r="I626" s="29"/>
      <c r="J626" s="29"/>
      <c r="K626" s="29"/>
      <c r="L626" s="29"/>
    </row>
    <row r="627" spans="2:8" ht="12.75">
      <c r="B627" s="29" t="s">
        <v>257</v>
      </c>
      <c r="C627" s="29"/>
      <c r="D627" s="68" t="s">
        <v>416</v>
      </c>
      <c r="E627" s="68">
        <f>IF($E$448&lt;0,$E$29,IF(データ!D42=0,$E$29,E30))</f>
        <v>125</v>
      </c>
      <c r="F627" s="29" t="s">
        <v>254</v>
      </c>
      <c r="G627" s="29"/>
      <c r="H627" s="29"/>
    </row>
    <row r="628" spans="2:8" ht="15">
      <c r="B628" s="29" t="s">
        <v>258</v>
      </c>
      <c r="C628" s="29"/>
      <c r="D628" s="68" t="s">
        <v>417</v>
      </c>
      <c r="E628" s="68">
        <f>IF($E$448&gt;0,データ!$D$42*1000/E627,データ!$D$23*1000/E627)</f>
        <v>2292</v>
      </c>
      <c r="F628" s="29" t="s">
        <v>259</v>
      </c>
      <c r="G628" s="29"/>
      <c r="H628" s="29"/>
    </row>
    <row r="629" spans="2:12" ht="12.75">
      <c r="B629" s="29" t="s">
        <v>396</v>
      </c>
      <c r="C629" s="29"/>
      <c r="D629" s="68" t="s">
        <v>397</v>
      </c>
      <c r="E629" s="68">
        <v>15</v>
      </c>
      <c r="F629" s="29"/>
      <c r="G629" s="29"/>
      <c r="H629" s="29"/>
      <c r="I629" s="29"/>
      <c r="J629" s="29"/>
      <c r="K629" s="29"/>
      <c r="L629" s="29"/>
    </row>
    <row r="630" spans="2:10" ht="12.75">
      <c r="B630" s="119" t="s">
        <v>398</v>
      </c>
      <c r="C630" s="126" t="s">
        <v>403</v>
      </c>
      <c r="D630" s="78" t="s">
        <v>399</v>
      </c>
      <c r="E630" s="122" t="str">
        <f>"=  15×"</f>
        <v>=  15×</v>
      </c>
      <c r="F630" s="76">
        <f>E628</f>
        <v>2292</v>
      </c>
      <c r="G630" s="119" t="str">
        <f>"="&amp;J630</f>
        <v>=0.1058</v>
      </c>
      <c r="J630" s="31">
        <f>ROUND(15*E628/(E623*E625),4)</f>
        <v>0.1058</v>
      </c>
    </row>
    <row r="631" spans="2:7" ht="12.75">
      <c r="B631" s="119"/>
      <c r="C631" s="126"/>
      <c r="D631" s="78" t="s">
        <v>402</v>
      </c>
      <c r="E631" s="122"/>
      <c r="F631" s="77" t="str">
        <f>E623&amp;"×"&amp;E625</f>
        <v>1000×325</v>
      </c>
      <c r="G631" s="119"/>
    </row>
    <row r="633" spans="2:10" ht="12.75">
      <c r="B633" s="7" t="s">
        <v>401</v>
      </c>
      <c r="C633" s="7" t="str">
        <f>"k= (np)^2+2np -np=   "&amp;J630&amp;"^2+2×"&amp;J630&amp;"-"&amp;J630&amp;" ="&amp;J633</f>
        <v>k= (np)^2+2np -np=   0.1058^2+2×0.1058-0.1058 =0.366</v>
      </c>
      <c r="J633" s="32">
        <f>ROUND((J630^2+2*J630)^0.5-J630,3)</f>
        <v>0.366</v>
      </c>
    </row>
    <row r="635" spans="2:13" ht="12.75">
      <c r="B635" s="71"/>
      <c r="C635" s="79" t="str">
        <f>"j=1-k/3= 1-"&amp;J633&amp;"/3="&amp;J635</f>
        <v>j=1-k/3= 1-0.366/3=0.878</v>
      </c>
      <c r="J635" s="32">
        <f>ROUND(1-J633/3,3)</f>
        <v>0.878</v>
      </c>
      <c r="M635" s="30"/>
    </row>
    <row r="636" spans="3:13" ht="12.75">
      <c r="C636" s="75"/>
      <c r="M636" s="29"/>
    </row>
    <row r="637" spans="2:4" ht="12.75">
      <c r="B637" s="7" t="s">
        <v>260</v>
      </c>
      <c r="D637" s="20"/>
    </row>
    <row r="638" spans="2:15" ht="14.25">
      <c r="B638" s="122" t="s">
        <v>406</v>
      </c>
      <c r="C638" s="30" t="s">
        <v>404</v>
      </c>
      <c r="D638" s="120" t="str">
        <f>"2×"&amp;J620</f>
        <v>2×19005000</v>
      </c>
      <c r="E638" s="120"/>
      <c r="F638" s="125"/>
      <c r="G638" s="119" t="str">
        <f>"="&amp;J638&amp;K638&amp;L638&amp;M638&amp;N638&amp;O638</f>
        <v>=1.1N/mm2&lt;σca=7N/mm2</v>
      </c>
      <c r="H638" s="123"/>
      <c r="I638" s="123"/>
      <c r="J638" s="7">
        <f>ROUND(ABS(E620)*1000000*2/(J633*J635*E623*E625^2),1)</f>
        <v>1.1</v>
      </c>
      <c r="K638" s="7" t="s">
        <v>261</v>
      </c>
      <c r="L638" s="30" t="str">
        <f>IF(J638&gt;=N638,"&gt;","&lt;")</f>
        <v>&lt;</v>
      </c>
      <c r="M638" s="15" t="s">
        <v>262</v>
      </c>
      <c r="N638" s="33">
        <f>$F$26/3</f>
        <v>7</v>
      </c>
      <c r="O638" s="20" t="s">
        <v>261</v>
      </c>
    </row>
    <row r="639" spans="2:9" ht="14.25">
      <c r="B639" s="122"/>
      <c r="C639" s="30" t="s">
        <v>405</v>
      </c>
      <c r="D639" s="120" t="str">
        <f>J633&amp;"×"&amp;J635&amp;"×"&amp;E623&amp;"×"&amp;E625&amp;"^2"</f>
        <v>0.366×0.878×1000×325^2</v>
      </c>
      <c r="E639" s="120"/>
      <c r="F639" s="125"/>
      <c r="G639" s="119"/>
      <c r="H639" s="123"/>
      <c r="I639" s="123"/>
    </row>
    <row r="640" spans="9:15" ht="16.5">
      <c r="I640" s="34" t="str">
        <f>IF(J638&gt;=N638,"OUT","SAFE")</f>
        <v>SAFE</v>
      </c>
      <c r="J640" s="20">
        <f>ROUND(ABS(E620)*1000000/(E628*J635*E625),0)</f>
        <v>29</v>
      </c>
      <c r="K640" s="20" t="s">
        <v>264</v>
      </c>
      <c r="L640" s="34" t="str">
        <f>IF(J640&gt;=N640,"&gt;","&lt;")</f>
        <v>&lt;</v>
      </c>
      <c r="M640" s="15" t="s">
        <v>265</v>
      </c>
      <c r="N640" s="35">
        <f>データ!$D$5</f>
        <v>160</v>
      </c>
      <c r="O640" s="20" t="s">
        <v>264</v>
      </c>
    </row>
    <row r="641" spans="2:13" ht="12.75">
      <c r="B641" s="7" t="s">
        <v>263</v>
      </c>
      <c r="D641" s="20"/>
      <c r="E641" s="20"/>
      <c r="F641" s="20"/>
      <c r="G641" s="20"/>
      <c r="H641" s="20"/>
      <c r="I641" s="20"/>
      <c r="J641" s="20"/>
      <c r="K641" s="20"/>
      <c r="L641" s="20"/>
      <c r="M641" s="29"/>
    </row>
    <row r="642" spans="2:13" ht="14.25">
      <c r="B642" s="122" t="s">
        <v>407</v>
      </c>
      <c r="C642" s="34" t="s">
        <v>341</v>
      </c>
      <c r="D642" s="120">
        <f>J620</f>
        <v>19005000</v>
      </c>
      <c r="E642" s="120"/>
      <c r="F642" s="125"/>
      <c r="G642" s="119" t="str">
        <f>"="&amp;J640&amp;K640&amp;L640&amp;M640&amp;N640&amp;O640</f>
        <v>=29N/mm2&lt;σsa=160N/mm2</v>
      </c>
      <c r="H642" s="123"/>
      <c r="I642" s="123"/>
      <c r="J642" s="34"/>
      <c r="K642" s="34"/>
      <c r="L642" s="34"/>
      <c r="M642" s="29"/>
    </row>
    <row r="643" spans="2:12" ht="14.25">
      <c r="B643" s="122"/>
      <c r="C643" s="34" t="s">
        <v>408</v>
      </c>
      <c r="D643" s="120" t="str">
        <f>E628&amp;"×"&amp;J635&amp;"×"&amp;E625</f>
        <v>2292×0.878×325</v>
      </c>
      <c r="E643" s="120"/>
      <c r="F643" s="125"/>
      <c r="G643" s="119"/>
      <c r="H643" s="123"/>
      <c r="I643" s="123"/>
      <c r="J643" s="29"/>
      <c r="K643" s="29"/>
      <c r="L643" s="29"/>
    </row>
    <row r="644" spans="7:12" ht="12.75">
      <c r="G644" s="15"/>
      <c r="H644" s="20"/>
      <c r="I644" s="34" t="str">
        <f>IF(J640&gt;=N640,"OUT","SAFE")</f>
        <v>SAFE</v>
      </c>
      <c r="J644" s="20"/>
      <c r="K644" s="20"/>
      <c r="L644" s="20"/>
    </row>
    <row r="645" spans="2:12" ht="12.75">
      <c r="B645" s="29" t="s">
        <v>272</v>
      </c>
      <c r="C645" s="20"/>
      <c r="D645" s="20"/>
      <c r="E645" s="20"/>
      <c r="F645" s="20"/>
      <c r="G645" s="15"/>
      <c r="H645" s="20"/>
      <c r="I645" s="20"/>
      <c r="J645" s="20"/>
      <c r="K645" s="20"/>
      <c r="L645" s="20"/>
    </row>
    <row r="646" spans="2:15" ht="14.25">
      <c r="B646" s="122" t="s">
        <v>409</v>
      </c>
      <c r="C646" s="34" t="s">
        <v>339</v>
      </c>
      <c r="D646" s="120">
        <f>J621</f>
        <v>0</v>
      </c>
      <c r="E646" s="120"/>
      <c r="F646" s="119" t="str">
        <f>"="&amp;J646&amp;K646&amp;L646&amp;M646&amp;N646&amp;O646</f>
        <v>=0N/mm2&lt;τca=0.36N/mm2</v>
      </c>
      <c r="G646" s="123"/>
      <c r="H646" s="123"/>
      <c r="J646" s="7">
        <f>ROUND(ABS(E621)*1000/(E623*E625),2)</f>
        <v>0</v>
      </c>
      <c r="K646" s="20" t="s">
        <v>264</v>
      </c>
      <c r="L646" s="34" t="str">
        <f>IF(J646&gt;=N646,"&gt;","&lt;")</f>
        <v>&lt;</v>
      </c>
      <c r="M646" s="15" t="s">
        <v>273</v>
      </c>
      <c r="N646" s="7">
        <f>$F$26/100+0.15</f>
        <v>0.36</v>
      </c>
      <c r="O646" s="20" t="s">
        <v>264</v>
      </c>
    </row>
    <row r="647" spans="2:12" ht="14.25">
      <c r="B647" s="122"/>
      <c r="C647" s="34" t="s">
        <v>400</v>
      </c>
      <c r="D647" s="124" t="str">
        <f>E623&amp;"×"&amp;E625</f>
        <v>1000×325</v>
      </c>
      <c r="E647" s="124"/>
      <c r="F647" s="123"/>
      <c r="G647" s="123"/>
      <c r="H647" s="123"/>
      <c r="J647" s="34"/>
      <c r="K647" s="34"/>
      <c r="L647" s="34"/>
    </row>
    <row r="648" spans="3:12" ht="12.75">
      <c r="C648" s="29"/>
      <c r="D648" s="29"/>
      <c r="E648" s="29"/>
      <c r="F648" s="29"/>
      <c r="G648" s="29"/>
      <c r="H648" s="29"/>
      <c r="I648" s="34" t="str">
        <f>IF(J646&gt;=N646,"OUT","SAFE")</f>
        <v>SAFE</v>
      </c>
      <c r="J648" s="29"/>
      <c r="K648" s="29"/>
      <c r="L648" s="29"/>
    </row>
    <row r="649" ht="12.75">
      <c r="D649" s="31"/>
    </row>
    <row r="650" spans="1:8" ht="12.75">
      <c r="A650" s="29" t="s">
        <v>276</v>
      </c>
      <c r="B650" s="29"/>
      <c r="C650" s="29"/>
      <c r="D650" s="29"/>
      <c r="E650" s="29"/>
      <c r="F650" s="29"/>
      <c r="G650" s="29"/>
      <c r="H650" s="29"/>
    </row>
    <row r="651" spans="1:8" ht="12.75">
      <c r="A651" s="29" t="s">
        <v>271</v>
      </c>
      <c r="B651" s="29"/>
      <c r="C651" s="29"/>
      <c r="D651" s="29"/>
      <c r="E651" s="29"/>
      <c r="F651" s="29"/>
      <c r="G651" s="29"/>
      <c r="H651" s="29"/>
    </row>
    <row r="652" spans="1:16" ht="12.75">
      <c r="A652" s="29"/>
      <c r="B652" s="29" t="s">
        <v>249</v>
      </c>
      <c r="C652" s="29"/>
      <c r="D652" s="68" t="s">
        <v>410</v>
      </c>
      <c r="E652" s="72">
        <f>O654</f>
        <v>-5.994</v>
      </c>
      <c r="F652" s="29" t="s">
        <v>250</v>
      </c>
      <c r="G652" s="29"/>
      <c r="H652" s="29"/>
      <c r="J652" s="29">
        <f>ABS(E652)*1000000</f>
        <v>5994000</v>
      </c>
      <c r="N652" s="7" t="s">
        <v>358</v>
      </c>
      <c r="O652" s="7">
        <f>F505</f>
        <v>0</v>
      </c>
      <c r="P652" s="7">
        <f>ABS(O652)</f>
        <v>0</v>
      </c>
    </row>
    <row r="653" spans="1:16" ht="12.75">
      <c r="A653" s="29"/>
      <c r="B653" s="29" t="s">
        <v>266</v>
      </c>
      <c r="C653" s="29"/>
      <c r="D653" s="68" t="s">
        <v>411</v>
      </c>
      <c r="E653" s="72">
        <f>O658</f>
        <v>3.419</v>
      </c>
      <c r="F653" s="29" t="s">
        <v>268</v>
      </c>
      <c r="G653" s="29"/>
      <c r="H653" s="29"/>
      <c r="I653" s="29"/>
      <c r="J653" s="29">
        <f>ABS(E653)*1000</f>
        <v>3419</v>
      </c>
      <c r="K653" s="29"/>
      <c r="L653" s="29"/>
      <c r="N653" s="7" t="s">
        <v>359</v>
      </c>
      <c r="O653" s="7">
        <f>F506</f>
        <v>-5.994</v>
      </c>
      <c r="P653" s="7">
        <f>ABS(O653)</f>
        <v>5.994</v>
      </c>
    </row>
    <row r="654" spans="1:16" ht="12.75">
      <c r="A654" s="29"/>
      <c r="B654" s="29" t="s">
        <v>269</v>
      </c>
      <c r="C654" s="29"/>
      <c r="D654" s="68" t="s">
        <v>412</v>
      </c>
      <c r="E654" s="73">
        <f>E557</f>
        <v>400</v>
      </c>
      <c r="F654" s="29" t="s">
        <v>270</v>
      </c>
      <c r="G654" s="29"/>
      <c r="H654" s="29"/>
      <c r="I654" s="29"/>
      <c r="J654" s="29"/>
      <c r="K654" s="29"/>
      <c r="L654" s="29"/>
      <c r="N654" s="7" t="s">
        <v>360</v>
      </c>
      <c r="O654" s="7">
        <f>IF(ABS(O652)=P654,O652,O653)</f>
        <v>-5.994</v>
      </c>
      <c r="P654" s="7">
        <f>MAX(P652:P653)</f>
        <v>5.994</v>
      </c>
    </row>
    <row r="655" spans="1:12" ht="12.75">
      <c r="A655" s="29"/>
      <c r="B655" s="29" t="s">
        <v>251</v>
      </c>
      <c r="C655" s="29"/>
      <c r="D655" s="68" t="s">
        <v>413</v>
      </c>
      <c r="E655" s="68">
        <f>1000</f>
        <v>1000</v>
      </c>
      <c r="F655" s="29" t="s">
        <v>252</v>
      </c>
      <c r="G655" s="29"/>
      <c r="H655" s="29"/>
      <c r="I655" s="29"/>
      <c r="J655" s="29"/>
      <c r="K655" s="29"/>
      <c r="L655" s="29"/>
    </row>
    <row r="656" spans="1:16" ht="12.75">
      <c r="A656" s="29"/>
      <c r="B656" s="29" t="s">
        <v>253</v>
      </c>
      <c r="C656" s="29"/>
      <c r="D656" s="68" t="s">
        <v>414</v>
      </c>
      <c r="E656" s="68">
        <f>IF(E652&lt;0,F29,IF(データ!D42=0,E654-F29,F30))</f>
        <v>25</v>
      </c>
      <c r="F656" s="29" t="s">
        <v>254</v>
      </c>
      <c r="G656" s="29"/>
      <c r="H656" s="29"/>
      <c r="I656" s="29"/>
      <c r="J656" s="29"/>
      <c r="K656" s="29"/>
      <c r="L656" s="29"/>
      <c r="N656" s="7" t="s">
        <v>361</v>
      </c>
      <c r="O656" s="7">
        <f>E505</f>
        <v>3.419</v>
      </c>
      <c r="P656" s="7">
        <f>ABS(O656)</f>
        <v>3.419</v>
      </c>
    </row>
    <row r="657" spans="1:16" ht="12.75">
      <c r="A657" s="29"/>
      <c r="B657" s="29" t="s">
        <v>255</v>
      </c>
      <c r="C657" s="29"/>
      <c r="D657" s="68" t="s">
        <v>415</v>
      </c>
      <c r="E657" s="73">
        <f>E654-E656</f>
        <v>375</v>
      </c>
      <c r="F657" s="29" t="s">
        <v>252</v>
      </c>
      <c r="G657" s="29"/>
      <c r="H657" s="29"/>
      <c r="I657" s="29"/>
      <c r="J657" s="29"/>
      <c r="K657" s="29"/>
      <c r="L657" s="29"/>
      <c r="N657" s="7" t="s">
        <v>362</v>
      </c>
      <c r="O657" s="7">
        <f>E506</f>
        <v>-0.063</v>
      </c>
      <c r="P657" s="7">
        <f>ABS(O657)</f>
        <v>0.063</v>
      </c>
    </row>
    <row r="658" spans="1:16" ht="12.75">
      <c r="A658" s="29"/>
      <c r="B658" s="29" t="s">
        <v>256</v>
      </c>
      <c r="C658" s="29"/>
      <c r="D658" s="68"/>
      <c r="E658" s="68" t="str">
        <f>IF(E652&lt;0,D29,IF(データ!D42=0,D29,D30))</f>
        <v>D19</v>
      </c>
      <c r="F658" s="29"/>
      <c r="G658" s="29"/>
      <c r="H658" s="29"/>
      <c r="I658" s="29"/>
      <c r="J658" s="29"/>
      <c r="K658" s="29"/>
      <c r="L658" s="29"/>
      <c r="N658" s="7" t="s">
        <v>267</v>
      </c>
      <c r="O658" s="7">
        <f>IF(ABS(O656)=P658,O656,O657)</f>
        <v>3.419</v>
      </c>
      <c r="P658" s="7">
        <f>MAX(P656:P657)</f>
        <v>3.419</v>
      </c>
    </row>
    <row r="659" spans="1:12" ht="12.75">
      <c r="A659" s="29"/>
      <c r="B659" s="29" t="s">
        <v>257</v>
      </c>
      <c r="C659" s="29"/>
      <c r="D659" s="68" t="s">
        <v>416</v>
      </c>
      <c r="E659" s="68">
        <f>IF(E652&lt;0,E29,IF(データ!D42=0,E29,E30))</f>
        <v>125</v>
      </c>
      <c r="F659" s="29" t="s">
        <v>254</v>
      </c>
      <c r="G659" s="29"/>
      <c r="H659" s="29"/>
      <c r="I659" s="29"/>
      <c r="J659" s="29"/>
      <c r="K659" s="29"/>
      <c r="L659" s="29"/>
    </row>
    <row r="660" spans="1:12" ht="15">
      <c r="A660" s="29"/>
      <c r="B660" s="29" t="s">
        <v>258</v>
      </c>
      <c r="C660" s="29"/>
      <c r="D660" s="68" t="s">
        <v>417</v>
      </c>
      <c r="E660" s="68">
        <f>IF(E652&lt;0,データ!E23,IF(データ!D42=0,データ!E23,データ!E42))</f>
        <v>2292</v>
      </c>
      <c r="F660" s="29" t="s">
        <v>259</v>
      </c>
      <c r="G660" s="29"/>
      <c r="H660" s="29"/>
      <c r="I660" s="29"/>
      <c r="J660" s="29"/>
      <c r="K660" s="29"/>
      <c r="L660" s="29"/>
    </row>
    <row r="661" spans="1:12" ht="12.75">
      <c r="A661" s="29"/>
      <c r="B661" s="29" t="s">
        <v>396</v>
      </c>
      <c r="C661" s="29"/>
      <c r="D661" s="68" t="s">
        <v>397</v>
      </c>
      <c r="E661" s="68">
        <v>15</v>
      </c>
      <c r="F661" s="29"/>
      <c r="G661" s="29"/>
      <c r="H661" s="29"/>
      <c r="I661" s="29"/>
      <c r="J661" s="29"/>
      <c r="K661" s="29"/>
      <c r="L661" s="29"/>
    </row>
    <row r="662" spans="1:10" ht="12.75">
      <c r="A662" s="29"/>
      <c r="B662" s="119" t="s">
        <v>398</v>
      </c>
      <c r="C662" s="126" t="s">
        <v>403</v>
      </c>
      <c r="D662" s="78" t="s">
        <v>399</v>
      </c>
      <c r="E662" s="122" t="str">
        <f>"=  15×"</f>
        <v>=  15×</v>
      </c>
      <c r="F662" s="76">
        <f>E660</f>
        <v>2292</v>
      </c>
      <c r="G662" s="119" t="str">
        <f>"="&amp;J662</f>
        <v>=0.0917</v>
      </c>
      <c r="J662" s="31">
        <f>ROUND(15*E660/(E655*E657),4)</f>
        <v>0.0917</v>
      </c>
    </row>
    <row r="663" spans="1:7" ht="12.75">
      <c r="A663" s="29"/>
      <c r="B663" s="119"/>
      <c r="C663" s="126"/>
      <c r="D663" s="78" t="s">
        <v>402</v>
      </c>
      <c r="E663" s="122"/>
      <c r="F663" s="77" t="str">
        <f>E655&amp;"×"&amp;E657</f>
        <v>1000×375</v>
      </c>
      <c r="G663" s="119"/>
    </row>
    <row r="664" ht="12.75">
      <c r="A664" s="29"/>
    </row>
    <row r="665" spans="1:10" ht="12.75">
      <c r="A665" s="29"/>
      <c r="B665" s="7" t="s">
        <v>401</v>
      </c>
      <c r="C665" s="7" t="str">
        <f>"k= (np)^2+2np -np=   "&amp;J662&amp;"^2+2×"&amp;J662&amp;"-"&amp;J662&amp;" ="&amp;J665</f>
        <v>k= (np)^2+2np -np=   0.0917^2+2×0.0917-0.0917 =0.346</v>
      </c>
      <c r="J665" s="32">
        <f>ROUND((J662^2+2*J662)^0.5-J662,3)</f>
        <v>0.346</v>
      </c>
    </row>
    <row r="666" ht="12.75">
      <c r="A666" s="29"/>
    </row>
    <row r="667" spans="1:13" ht="12.75">
      <c r="A667" s="29"/>
      <c r="B667" s="71"/>
      <c r="C667" s="79" t="str">
        <f>"j=1-k/3= 1-"&amp;J665&amp;"/3="&amp;J667</f>
        <v>j=1-k/3= 1-0.346/3=0.885</v>
      </c>
      <c r="J667" s="32">
        <f>ROUND(1-J665/3,3)</f>
        <v>0.885</v>
      </c>
      <c r="M667" s="30"/>
    </row>
    <row r="668" spans="1:13" ht="12.75">
      <c r="A668" s="29"/>
      <c r="C668" s="75"/>
      <c r="M668" s="29"/>
    </row>
    <row r="669" spans="1:4" ht="12.75">
      <c r="A669" s="29"/>
      <c r="B669" s="7" t="s">
        <v>260</v>
      </c>
      <c r="D669" s="20"/>
    </row>
    <row r="670" spans="1:15" ht="14.25">
      <c r="A670" s="29"/>
      <c r="B670" s="122" t="s">
        <v>406</v>
      </c>
      <c r="C670" s="30" t="s">
        <v>404</v>
      </c>
      <c r="D670" s="120" t="str">
        <f>"2×"&amp;J652</f>
        <v>2×5994000</v>
      </c>
      <c r="E670" s="120"/>
      <c r="F670" s="125"/>
      <c r="G670" s="119" t="str">
        <f>"="&amp;J670&amp;K670&amp;L670&amp;M670&amp;N670&amp;O670</f>
        <v>=0.3N/mm2&lt;σca=7N/mm2</v>
      </c>
      <c r="H670" s="123"/>
      <c r="I670" s="123"/>
      <c r="J670" s="7">
        <f>ROUND(ABS(E652)*1000000*2/(J665*J667*E655*E657^2),1)</f>
        <v>0.3</v>
      </c>
      <c r="K670" s="7" t="s">
        <v>261</v>
      </c>
      <c r="L670" s="30" t="str">
        <f>IF(J670&gt;=N670,"&gt;","&lt;")</f>
        <v>&lt;</v>
      </c>
      <c r="M670" s="15" t="s">
        <v>262</v>
      </c>
      <c r="N670" s="33">
        <f>$F$26/3</f>
        <v>7</v>
      </c>
      <c r="O670" s="20" t="s">
        <v>261</v>
      </c>
    </row>
    <row r="671" spans="1:9" ht="14.25">
      <c r="A671" s="29"/>
      <c r="B671" s="122"/>
      <c r="C671" s="30" t="s">
        <v>405</v>
      </c>
      <c r="D671" s="120" t="str">
        <f>J665&amp;"×"&amp;J667&amp;"×"&amp;E655&amp;"×"&amp;E657&amp;"^2"</f>
        <v>0.346×0.885×1000×375^2</v>
      </c>
      <c r="E671" s="120"/>
      <c r="F671" s="125"/>
      <c r="G671" s="119"/>
      <c r="H671" s="123"/>
      <c r="I671" s="123"/>
    </row>
    <row r="672" spans="1:15" ht="16.5">
      <c r="A672" s="29"/>
      <c r="I672" s="34" t="str">
        <f>IF(J670&gt;=N670,"OUT","SAFE")</f>
        <v>SAFE</v>
      </c>
      <c r="J672" s="20">
        <f>ROUND(ABS(E652)*1000000/(E660*J667*E657),0)</f>
        <v>8</v>
      </c>
      <c r="K672" s="20" t="s">
        <v>264</v>
      </c>
      <c r="L672" s="34" t="str">
        <f>IF(J672&gt;=N672,"&gt;","&lt;")</f>
        <v>&lt;</v>
      </c>
      <c r="M672" s="15" t="s">
        <v>265</v>
      </c>
      <c r="N672" s="35">
        <f>データ!$D$5</f>
        <v>160</v>
      </c>
      <c r="O672" s="20" t="s">
        <v>264</v>
      </c>
    </row>
    <row r="673" spans="1:13" ht="12.75">
      <c r="A673" s="29"/>
      <c r="B673" s="7" t="s">
        <v>263</v>
      </c>
      <c r="D673" s="20"/>
      <c r="E673" s="20"/>
      <c r="F673" s="20"/>
      <c r="G673" s="20"/>
      <c r="H673" s="20"/>
      <c r="I673" s="20"/>
      <c r="J673" s="20"/>
      <c r="K673" s="20"/>
      <c r="L673" s="20"/>
      <c r="M673" s="29"/>
    </row>
    <row r="674" spans="1:13" ht="14.25">
      <c r="A674" s="29"/>
      <c r="B674" s="122" t="s">
        <v>407</v>
      </c>
      <c r="C674" s="34" t="s">
        <v>341</v>
      </c>
      <c r="D674" s="120">
        <f>J652</f>
        <v>5994000</v>
      </c>
      <c r="E674" s="120"/>
      <c r="F674" s="125"/>
      <c r="G674" s="119" t="str">
        <f>"="&amp;J672&amp;K672&amp;L672&amp;M672&amp;N672&amp;O672</f>
        <v>=8N/mm2&lt;σsa=160N/mm2</v>
      </c>
      <c r="H674" s="123"/>
      <c r="I674" s="123"/>
      <c r="J674" s="34"/>
      <c r="K674" s="34"/>
      <c r="L674" s="34"/>
      <c r="M674" s="29"/>
    </row>
    <row r="675" spans="1:12" ht="14.25">
      <c r="A675" s="29"/>
      <c r="B675" s="122"/>
      <c r="C675" s="34" t="s">
        <v>408</v>
      </c>
      <c r="D675" s="120" t="str">
        <f>E660&amp;"×"&amp;J667&amp;"×"&amp;E657</f>
        <v>2292×0.885×375</v>
      </c>
      <c r="E675" s="120"/>
      <c r="F675" s="125"/>
      <c r="G675" s="119"/>
      <c r="H675" s="123"/>
      <c r="I675" s="123"/>
      <c r="J675" s="29"/>
      <c r="K675" s="29"/>
      <c r="L675" s="29"/>
    </row>
    <row r="676" spans="1:12" ht="12.75">
      <c r="A676" s="29"/>
      <c r="G676" s="15"/>
      <c r="H676" s="20"/>
      <c r="I676" s="34" t="str">
        <f>IF(J672&gt;=N672,"OUT","SAFE")</f>
        <v>SAFE</v>
      </c>
      <c r="J676" s="20"/>
      <c r="K676" s="20"/>
      <c r="L676" s="20"/>
    </row>
    <row r="677" spans="1:12" ht="12.75">
      <c r="A677" s="29"/>
      <c r="B677" s="29" t="s">
        <v>272</v>
      </c>
      <c r="C677" s="20"/>
      <c r="D677" s="20"/>
      <c r="E677" s="20"/>
      <c r="F677" s="20"/>
      <c r="G677" s="15"/>
      <c r="H677" s="20"/>
      <c r="I677" s="20"/>
      <c r="J677" s="20"/>
      <c r="K677" s="20"/>
      <c r="L677" s="20"/>
    </row>
    <row r="678" spans="1:15" ht="14.25">
      <c r="A678" s="29"/>
      <c r="B678" s="122" t="s">
        <v>409</v>
      </c>
      <c r="C678" s="34" t="s">
        <v>339</v>
      </c>
      <c r="D678" s="120">
        <f>J653</f>
        <v>3419</v>
      </c>
      <c r="E678" s="120"/>
      <c r="F678" s="119" t="str">
        <f>"="&amp;J678&amp;K678&amp;L678&amp;M678&amp;N678&amp;O678</f>
        <v>=0.01N/mm2&lt;τca=0.36N/mm2</v>
      </c>
      <c r="G678" s="123"/>
      <c r="H678" s="123"/>
      <c r="J678" s="7">
        <f>ROUND(ABS(E653)*1000/(E655*E657),2)</f>
        <v>0.01</v>
      </c>
      <c r="K678" s="20" t="s">
        <v>264</v>
      </c>
      <c r="L678" s="34" t="str">
        <f>IF(J678&gt;=N678,"&gt;","&lt;")</f>
        <v>&lt;</v>
      </c>
      <c r="M678" s="15" t="s">
        <v>273</v>
      </c>
      <c r="N678" s="7">
        <f>$F$26/100+0.15</f>
        <v>0.36</v>
      </c>
      <c r="O678" s="20" t="s">
        <v>264</v>
      </c>
    </row>
    <row r="679" spans="2:12" ht="14.25">
      <c r="B679" s="122"/>
      <c r="C679" s="34" t="s">
        <v>400</v>
      </c>
      <c r="D679" s="124" t="str">
        <f>E655&amp;"×"&amp;E657</f>
        <v>1000×375</v>
      </c>
      <c r="E679" s="124"/>
      <c r="F679" s="123"/>
      <c r="G679" s="123"/>
      <c r="H679" s="123"/>
      <c r="J679" s="34"/>
      <c r="K679" s="34"/>
      <c r="L679" s="34"/>
    </row>
    <row r="680" spans="3:12" ht="12.75">
      <c r="C680" s="29"/>
      <c r="D680" s="29"/>
      <c r="E680" s="29"/>
      <c r="F680" s="29"/>
      <c r="G680" s="29"/>
      <c r="H680" s="29"/>
      <c r="I680" s="34" t="str">
        <f>IF(J678&gt;=N678,"OUT","SAFE")</f>
        <v>SAFE</v>
      </c>
      <c r="J680" s="29"/>
      <c r="K680" s="29"/>
      <c r="L680" s="29"/>
    </row>
    <row r="681" spans="2:12" ht="12.75">
      <c r="B681" s="20"/>
      <c r="C681" s="20"/>
      <c r="D681" s="20"/>
      <c r="E681" s="20"/>
      <c r="F681" s="20"/>
      <c r="G681" s="20"/>
      <c r="H681" s="20"/>
      <c r="I681" s="34"/>
      <c r="J681" s="34"/>
      <c r="K681" s="34"/>
      <c r="L681" s="34"/>
    </row>
    <row r="682" ht="12.75">
      <c r="M682" s="20"/>
    </row>
    <row r="683" spans="1:13" ht="12.75">
      <c r="A683" s="29" t="s">
        <v>274</v>
      </c>
      <c r="M683" s="20"/>
    </row>
    <row r="684" spans="2:17" ht="12.75">
      <c r="B684" s="29" t="s">
        <v>249</v>
      </c>
      <c r="C684" s="29"/>
      <c r="D684" s="68" t="s">
        <v>388</v>
      </c>
      <c r="E684" s="72">
        <f>E652</f>
        <v>-5.994</v>
      </c>
      <c r="F684" s="29" t="s">
        <v>250</v>
      </c>
      <c r="G684" s="29"/>
      <c r="H684" s="29"/>
      <c r="I684" s="29"/>
      <c r="J684" s="29">
        <f>ABS(E684)*1000000</f>
        <v>5994000</v>
      </c>
      <c r="K684" s="29"/>
      <c r="L684" s="29"/>
      <c r="Q684" s="7">
        <f>ABS(P684)</f>
        <v>0</v>
      </c>
    </row>
    <row r="685" spans="2:17" ht="12.75">
      <c r="B685" s="29" t="s">
        <v>266</v>
      </c>
      <c r="C685" s="29"/>
      <c r="D685" s="68" t="s">
        <v>389</v>
      </c>
      <c r="E685" s="72">
        <f>D519</f>
        <v>-32.993</v>
      </c>
      <c r="F685" s="29" t="s">
        <v>268</v>
      </c>
      <c r="G685" s="29"/>
      <c r="H685" s="29"/>
      <c r="I685" s="29"/>
      <c r="J685" s="29">
        <f>ABS(E685)*1000</f>
        <v>32993</v>
      </c>
      <c r="K685" s="29"/>
      <c r="L685" s="29"/>
      <c r="M685" s="20"/>
      <c r="Q685" s="7">
        <f>ABS(P685)</f>
        <v>0</v>
      </c>
    </row>
    <row r="686" spans="1:17" ht="12.75">
      <c r="A686" s="20"/>
      <c r="B686" s="29" t="s">
        <v>269</v>
      </c>
      <c r="C686" s="29"/>
      <c r="D686" s="68" t="s">
        <v>390</v>
      </c>
      <c r="E686" s="73">
        <f>E591</f>
        <v>350</v>
      </c>
      <c r="F686" s="29" t="s">
        <v>270</v>
      </c>
      <c r="G686" s="29"/>
      <c r="H686" s="29"/>
      <c r="I686" s="29"/>
      <c r="J686" s="29"/>
      <c r="K686" s="29"/>
      <c r="L686" s="29"/>
      <c r="M686" s="20"/>
      <c r="Q686" s="7">
        <f>MAX(Q684:Q685)</f>
        <v>0</v>
      </c>
    </row>
    <row r="687" spans="1:13" ht="12.75">
      <c r="A687" s="20"/>
      <c r="B687" s="29" t="s">
        <v>251</v>
      </c>
      <c r="C687" s="29"/>
      <c r="D687" s="68" t="s">
        <v>391</v>
      </c>
      <c r="E687" s="68">
        <f>1000</f>
        <v>1000</v>
      </c>
      <c r="F687" s="29" t="s">
        <v>252</v>
      </c>
      <c r="G687" s="29"/>
      <c r="H687" s="29"/>
      <c r="I687" s="29"/>
      <c r="J687" s="29"/>
      <c r="K687" s="29"/>
      <c r="L687" s="29"/>
      <c r="M687" s="20"/>
    </row>
    <row r="688" spans="2:13" ht="12.75">
      <c r="B688" s="29" t="s">
        <v>253</v>
      </c>
      <c r="C688" s="29"/>
      <c r="D688" s="68" t="s">
        <v>392</v>
      </c>
      <c r="E688" s="68">
        <f>E656</f>
        <v>25</v>
      </c>
      <c r="F688" s="29" t="s">
        <v>254</v>
      </c>
      <c r="G688" s="29"/>
      <c r="H688" s="29"/>
      <c r="I688" s="29"/>
      <c r="J688" s="29"/>
      <c r="K688" s="29"/>
      <c r="L688" s="29"/>
      <c r="M688" s="20"/>
    </row>
    <row r="689" spans="1:12" ht="12.75">
      <c r="A689" s="20"/>
      <c r="B689" s="29" t="s">
        <v>255</v>
      </c>
      <c r="C689" s="29"/>
      <c r="D689" s="68" t="s">
        <v>393</v>
      </c>
      <c r="E689" s="73">
        <f>E686-E688</f>
        <v>325</v>
      </c>
      <c r="F689" s="29" t="s">
        <v>252</v>
      </c>
      <c r="G689" s="29"/>
      <c r="H689" s="29"/>
      <c r="I689" s="29"/>
      <c r="J689" s="29"/>
      <c r="K689" s="29"/>
      <c r="L689" s="29"/>
    </row>
    <row r="690" spans="1:12" ht="12.75">
      <c r="A690" s="20"/>
      <c r="B690" s="29" t="s">
        <v>256</v>
      </c>
      <c r="C690" s="29"/>
      <c r="D690" s="68"/>
      <c r="E690" s="68" t="str">
        <f>E658</f>
        <v>D19</v>
      </c>
      <c r="F690" s="29"/>
      <c r="G690" s="29"/>
      <c r="H690" s="29"/>
      <c r="I690" s="29"/>
      <c r="J690" s="29"/>
      <c r="K690" s="29"/>
      <c r="L690" s="29"/>
    </row>
    <row r="691" spans="1:12" ht="12.75">
      <c r="A691" s="20"/>
      <c r="B691" s="29" t="s">
        <v>257</v>
      </c>
      <c r="C691" s="29"/>
      <c r="D691" s="68" t="s">
        <v>394</v>
      </c>
      <c r="E691" s="68">
        <f>E659</f>
        <v>125</v>
      </c>
      <c r="F691" s="29" t="s">
        <v>254</v>
      </c>
      <c r="G691" s="29"/>
      <c r="H691" s="29"/>
      <c r="I691" s="29"/>
      <c r="J691" s="29"/>
      <c r="K691" s="29"/>
      <c r="L691" s="29"/>
    </row>
    <row r="692" spans="1:12" ht="15">
      <c r="A692" s="29"/>
      <c r="B692" s="29" t="s">
        <v>258</v>
      </c>
      <c r="C692" s="29"/>
      <c r="D692" s="68" t="s">
        <v>395</v>
      </c>
      <c r="E692" s="74">
        <f>E660</f>
        <v>2292</v>
      </c>
      <c r="F692" s="29" t="s">
        <v>259</v>
      </c>
      <c r="G692" s="29"/>
      <c r="H692" s="29"/>
      <c r="I692" s="29"/>
      <c r="J692" s="29"/>
      <c r="K692" s="29"/>
      <c r="L692" s="29"/>
    </row>
    <row r="693" spans="1:12" ht="12.75">
      <c r="A693" s="29"/>
      <c r="B693" s="29" t="s">
        <v>396</v>
      </c>
      <c r="C693" s="29"/>
      <c r="D693" s="68" t="s">
        <v>397</v>
      </c>
      <c r="E693" s="68">
        <v>15</v>
      </c>
      <c r="F693" s="29"/>
      <c r="G693" s="29"/>
      <c r="H693" s="29"/>
      <c r="I693" s="29"/>
      <c r="J693" s="29"/>
      <c r="K693" s="29"/>
      <c r="L693" s="29"/>
    </row>
    <row r="694" spans="2:10" ht="12.75">
      <c r="B694" s="119" t="s">
        <v>398</v>
      </c>
      <c r="C694" s="126" t="s">
        <v>403</v>
      </c>
      <c r="D694" s="78" t="s">
        <v>399</v>
      </c>
      <c r="E694" s="122" t="str">
        <f>"=  15×"</f>
        <v>=  15×</v>
      </c>
      <c r="F694" s="76">
        <f>E692</f>
        <v>2292</v>
      </c>
      <c r="G694" s="119" t="str">
        <f>"="&amp;J694</f>
        <v>=0.1058</v>
      </c>
      <c r="J694" s="31">
        <f>ROUND(15*E692/(E687*E689),4)</f>
        <v>0.1058</v>
      </c>
    </row>
    <row r="695" spans="2:7" ht="12.75">
      <c r="B695" s="119"/>
      <c r="C695" s="126"/>
      <c r="D695" s="78" t="s">
        <v>402</v>
      </c>
      <c r="E695" s="122"/>
      <c r="F695" s="77" t="str">
        <f>E687&amp;"×"&amp;E689</f>
        <v>1000×325</v>
      </c>
      <c r="G695" s="119"/>
    </row>
    <row r="697" spans="2:10" ht="12.75">
      <c r="B697" s="7" t="s">
        <v>401</v>
      </c>
      <c r="C697" s="7" t="str">
        <f>"k= (np)^2+2np -np=   "&amp;J694&amp;"^2+2×"&amp;J694&amp;"-"&amp;J694&amp;" ="&amp;J697</f>
        <v>k= (np)^2+2np -np=   0.1058^2+2×0.1058-0.1058 =0.366</v>
      </c>
      <c r="J697" s="32">
        <f>ROUND((J694^2+2*J694)^0.5-J694,3)</f>
        <v>0.366</v>
      </c>
    </row>
    <row r="699" spans="2:13" ht="12.75">
      <c r="B699" s="71"/>
      <c r="C699" s="79" t="str">
        <f>"j=1-k/3= 1-"&amp;J697&amp;"/3="&amp;J699</f>
        <v>j=1-k/3= 1-0.366/3=0.878</v>
      </c>
      <c r="J699" s="32">
        <f>ROUND(1-J697/3,3)</f>
        <v>0.878</v>
      </c>
      <c r="M699" s="30"/>
    </row>
    <row r="700" spans="3:13" ht="12.75">
      <c r="C700" s="75"/>
      <c r="M700" s="29"/>
    </row>
    <row r="701" spans="2:4" ht="12.75">
      <c r="B701" s="7" t="s">
        <v>260</v>
      </c>
      <c r="D701" s="20"/>
    </row>
    <row r="702" spans="2:15" ht="14.25">
      <c r="B702" s="122" t="s">
        <v>406</v>
      </c>
      <c r="C702" s="30" t="s">
        <v>404</v>
      </c>
      <c r="D702" s="120" t="str">
        <f>"2×"&amp;J684</f>
        <v>2×5994000</v>
      </c>
      <c r="E702" s="120"/>
      <c r="F702" s="125"/>
      <c r="G702" s="119" t="str">
        <f>"="&amp;J702&amp;K702&amp;L702&amp;M702&amp;N702&amp;O702</f>
        <v>=0.4N/mm2&lt;σca=7N/mm2</v>
      </c>
      <c r="H702" s="123"/>
      <c r="I702" s="123"/>
      <c r="J702" s="7">
        <f>ROUND(ABS(E684)*1000000*2/(J697*J699*E687*E689^2),1)</f>
        <v>0.4</v>
      </c>
      <c r="K702" s="7" t="s">
        <v>261</v>
      </c>
      <c r="L702" s="30" t="str">
        <f>IF(J702&gt;=N702,"&gt;","&lt;")</f>
        <v>&lt;</v>
      </c>
      <c r="M702" s="15" t="s">
        <v>262</v>
      </c>
      <c r="N702" s="33">
        <f>$F$26/3</f>
        <v>7</v>
      </c>
      <c r="O702" s="20" t="s">
        <v>261</v>
      </c>
    </row>
    <row r="703" spans="2:9" ht="14.25">
      <c r="B703" s="122"/>
      <c r="C703" s="30" t="s">
        <v>405</v>
      </c>
      <c r="D703" s="120" t="str">
        <f>J697&amp;"×"&amp;J699&amp;"×"&amp;E687&amp;"×"&amp;E689&amp;"^2"</f>
        <v>0.366×0.878×1000×325^2</v>
      </c>
      <c r="E703" s="120"/>
      <c r="F703" s="125"/>
      <c r="G703" s="119"/>
      <c r="H703" s="123"/>
      <c r="I703" s="123"/>
    </row>
    <row r="704" spans="9:15" ht="16.5">
      <c r="I704" s="34" t="str">
        <f>IF(J702&gt;=N702,"OUT","SAFE")</f>
        <v>SAFE</v>
      </c>
      <c r="J704" s="20">
        <f>ROUND(ABS(E684)*1000000/(E692*J699*E689),0)</f>
        <v>9</v>
      </c>
      <c r="K704" s="20" t="s">
        <v>264</v>
      </c>
      <c r="L704" s="34" t="str">
        <f>IF(J704&gt;=N704,"&gt;","&lt;")</f>
        <v>&lt;</v>
      </c>
      <c r="M704" s="15" t="s">
        <v>265</v>
      </c>
      <c r="N704" s="35">
        <f>データ!$D$5</f>
        <v>160</v>
      </c>
      <c r="O704" s="20" t="s">
        <v>264</v>
      </c>
    </row>
    <row r="705" spans="2:13" ht="12.75">
      <c r="B705" s="7" t="s">
        <v>263</v>
      </c>
      <c r="D705" s="20"/>
      <c r="E705" s="20"/>
      <c r="F705" s="20"/>
      <c r="G705" s="20"/>
      <c r="H705" s="20"/>
      <c r="I705" s="20"/>
      <c r="J705" s="20"/>
      <c r="K705" s="20"/>
      <c r="L705" s="20"/>
      <c r="M705" s="29"/>
    </row>
    <row r="706" spans="2:13" ht="14.25">
      <c r="B706" s="122" t="s">
        <v>407</v>
      </c>
      <c r="C706" s="34" t="s">
        <v>341</v>
      </c>
      <c r="D706" s="120">
        <f>J684</f>
        <v>5994000</v>
      </c>
      <c r="E706" s="120"/>
      <c r="F706" s="125"/>
      <c r="G706" s="119" t="str">
        <f>"="&amp;J704&amp;K704&amp;L704&amp;M704&amp;N704&amp;O704</f>
        <v>=9N/mm2&lt;σsa=160N/mm2</v>
      </c>
      <c r="H706" s="123"/>
      <c r="I706" s="123"/>
      <c r="J706" s="34"/>
      <c r="K706" s="34"/>
      <c r="L706" s="34"/>
      <c r="M706" s="29"/>
    </row>
    <row r="707" spans="2:12" ht="14.25">
      <c r="B707" s="122"/>
      <c r="C707" s="34" t="s">
        <v>408</v>
      </c>
      <c r="D707" s="120" t="str">
        <f>E692&amp;"×"&amp;J699&amp;"×"&amp;E689</f>
        <v>2292×0.878×325</v>
      </c>
      <c r="E707" s="120"/>
      <c r="F707" s="125"/>
      <c r="G707" s="119"/>
      <c r="H707" s="123"/>
      <c r="I707" s="123"/>
      <c r="J707" s="29"/>
      <c r="K707" s="29"/>
      <c r="L707" s="29"/>
    </row>
    <row r="708" spans="7:12" ht="12.75">
      <c r="G708" s="15"/>
      <c r="H708" s="20"/>
      <c r="I708" s="34" t="str">
        <f>IF(J704&gt;=N704,"OUT","SAFE")</f>
        <v>SAFE</v>
      </c>
      <c r="J708" s="20"/>
      <c r="K708" s="20"/>
      <c r="L708" s="20"/>
    </row>
    <row r="709" spans="2:12" ht="12.75">
      <c r="B709" s="29" t="s">
        <v>272</v>
      </c>
      <c r="C709" s="20"/>
      <c r="D709" s="20"/>
      <c r="E709" s="20"/>
      <c r="F709" s="20"/>
      <c r="G709" s="15"/>
      <c r="H709" s="20"/>
      <c r="I709" s="20"/>
      <c r="J709" s="20"/>
      <c r="K709" s="20"/>
      <c r="L709" s="20"/>
    </row>
    <row r="710" spans="2:15" ht="14.25">
      <c r="B710" s="122" t="s">
        <v>409</v>
      </c>
      <c r="C710" s="34" t="s">
        <v>339</v>
      </c>
      <c r="D710" s="120">
        <f>J685</f>
        <v>32993</v>
      </c>
      <c r="E710" s="120"/>
      <c r="F710" s="119" t="str">
        <f>"="&amp;J710&amp;K710&amp;L710&amp;M710&amp;N710&amp;O710</f>
        <v>=0.1N/mm2&lt;τca=0.36N/mm2</v>
      </c>
      <c r="G710" s="123"/>
      <c r="H710" s="123"/>
      <c r="J710" s="7">
        <f>ROUND(ABS(E685)*1000/(E687*E689),2)</f>
        <v>0.1</v>
      </c>
      <c r="K710" s="20" t="s">
        <v>264</v>
      </c>
      <c r="L710" s="34" t="str">
        <f>IF(J710&gt;=N710,"&gt;","&lt;")</f>
        <v>&lt;</v>
      </c>
      <c r="M710" s="15" t="s">
        <v>273</v>
      </c>
      <c r="N710" s="7">
        <f>$F$26/100+0.15</f>
        <v>0.36</v>
      </c>
      <c r="O710" s="20" t="s">
        <v>264</v>
      </c>
    </row>
    <row r="711" spans="2:12" ht="14.25">
      <c r="B711" s="122"/>
      <c r="C711" s="34" t="s">
        <v>400</v>
      </c>
      <c r="D711" s="124" t="str">
        <f>E687&amp;"×"&amp;E689</f>
        <v>1000×325</v>
      </c>
      <c r="E711" s="124"/>
      <c r="F711" s="123"/>
      <c r="G711" s="123"/>
      <c r="H711" s="123"/>
      <c r="J711" s="34"/>
      <c r="K711" s="34"/>
      <c r="L711" s="34"/>
    </row>
    <row r="712" spans="3:12" ht="12.75">
      <c r="C712" s="29"/>
      <c r="D712" s="29"/>
      <c r="E712" s="29"/>
      <c r="F712" s="29"/>
      <c r="G712" s="29"/>
      <c r="H712" s="29"/>
      <c r="I712" s="34" t="str">
        <f>IF(J710&gt;=N710,"OUT","SAFE")</f>
        <v>SAFE</v>
      </c>
      <c r="J712" s="29"/>
      <c r="K712" s="29"/>
      <c r="L712" s="29"/>
    </row>
    <row r="713" spans="5:13" ht="12.75">
      <c r="E713" s="20"/>
      <c r="F713" s="34"/>
      <c r="G713" s="15"/>
      <c r="I713" s="20"/>
      <c r="J713" s="20"/>
      <c r="K713" s="20"/>
      <c r="L713" s="20"/>
      <c r="M713" s="29"/>
    </row>
    <row r="714" spans="9:13" ht="12.75">
      <c r="I714" s="34"/>
      <c r="J714" s="34"/>
      <c r="K714" s="34"/>
      <c r="L714" s="34"/>
      <c r="M714" s="29"/>
    </row>
    <row r="715" spans="1:13" ht="12.75">
      <c r="A715" s="29" t="s">
        <v>275</v>
      </c>
      <c r="M715" s="29"/>
    </row>
    <row r="716" spans="2:12" ht="12.75">
      <c r="B716" s="29" t="s">
        <v>249</v>
      </c>
      <c r="C716" s="29"/>
      <c r="D716" s="68" t="s">
        <v>388</v>
      </c>
      <c r="E716" s="72">
        <f>E529</f>
        <v>13.802</v>
      </c>
      <c r="F716" s="29" t="s">
        <v>250</v>
      </c>
      <c r="G716" s="29"/>
      <c r="H716" s="29"/>
      <c r="I716" s="29"/>
      <c r="J716" s="29">
        <f>ABS(E716)*1000000</f>
        <v>13802000</v>
      </c>
      <c r="K716" s="29"/>
      <c r="L716" s="29"/>
    </row>
    <row r="717" spans="2:12" ht="12.75">
      <c r="B717" s="29" t="s">
        <v>266</v>
      </c>
      <c r="C717" s="29"/>
      <c r="D717" s="68" t="s">
        <v>389</v>
      </c>
      <c r="E717" s="72">
        <v>0</v>
      </c>
      <c r="F717" s="29" t="s">
        <v>268</v>
      </c>
      <c r="G717" s="29"/>
      <c r="H717" s="29"/>
      <c r="I717" s="29"/>
      <c r="J717" s="29">
        <f>ABS(E717)*1000</f>
        <v>0</v>
      </c>
      <c r="K717" s="29"/>
      <c r="L717" s="29"/>
    </row>
    <row r="718" spans="2:12" ht="12.75">
      <c r="B718" s="29" t="s">
        <v>269</v>
      </c>
      <c r="C718" s="29"/>
      <c r="D718" s="68" t="s">
        <v>390</v>
      </c>
      <c r="E718" s="73">
        <f>E686</f>
        <v>350</v>
      </c>
      <c r="F718" s="29" t="s">
        <v>270</v>
      </c>
      <c r="G718" s="29"/>
      <c r="H718" s="29"/>
      <c r="I718" s="29"/>
      <c r="J718" s="29"/>
      <c r="K718" s="29"/>
      <c r="L718" s="29"/>
    </row>
    <row r="719" spans="2:12" ht="12.75">
      <c r="B719" s="29" t="s">
        <v>251</v>
      </c>
      <c r="C719" s="29"/>
      <c r="D719" s="68" t="s">
        <v>391</v>
      </c>
      <c r="E719" s="68">
        <f>1000</f>
        <v>1000</v>
      </c>
      <c r="F719" s="29" t="s">
        <v>252</v>
      </c>
      <c r="G719" s="29"/>
      <c r="H719" s="29"/>
      <c r="I719" s="29"/>
      <c r="J719" s="29"/>
      <c r="K719" s="29"/>
      <c r="L719" s="29"/>
    </row>
    <row r="720" spans="2:12" ht="12.75">
      <c r="B720" s="29" t="s">
        <v>253</v>
      </c>
      <c r="C720" s="29"/>
      <c r="D720" s="68" t="s">
        <v>392</v>
      </c>
      <c r="E720" s="68">
        <f>IF($E$529&lt;0,F29,IF(データ!D42=0,E718-F29,F30))</f>
        <v>25</v>
      </c>
      <c r="F720" s="29" t="s">
        <v>254</v>
      </c>
      <c r="G720" s="29"/>
      <c r="H720" s="29"/>
      <c r="I720" s="29"/>
      <c r="J720" s="29"/>
      <c r="K720" s="29"/>
      <c r="L720" s="29"/>
    </row>
    <row r="721" spans="2:12" ht="12.75">
      <c r="B721" s="29" t="s">
        <v>255</v>
      </c>
      <c r="C721" s="29"/>
      <c r="D721" s="68" t="s">
        <v>393</v>
      </c>
      <c r="E721" s="73">
        <f>E718-E720</f>
        <v>325</v>
      </c>
      <c r="F721" s="29" t="s">
        <v>252</v>
      </c>
      <c r="G721" s="29"/>
      <c r="H721" s="29"/>
      <c r="I721" s="29"/>
      <c r="J721" s="29"/>
      <c r="K721" s="29"/>
      <c r="L721" s="29"/>
    </row>
    <row r="722" spans="2:12" ht="12.75">
      <c r="B722" s="29" t="s">
        <v>256</v>
      </c>
      <c r="C722" s="29"/>
      <c r="D722" s="68"/>
      <c r="E722" s="68" t="str">
        <f>IF($E$529&lt;0,$D$29,IF(データ!D42=0,$D$29,D30))</f>
        <v>D16</v>
      </c>
      <c r="F722" s="29"/>
      <c r="G722" s="29"/>
      <c r="H722" s="29"/>
      <c r="I722" s="29"/>
      <c r="J722" s="29"/>
      <c r="K722" s="29"/>
      <c r="L722" s="29"/>
    </row>
    <row r="723" spans="2:8" ht="12.75">
      <c r="B723" s="29" t="s">
        <v>257</v>
      </c>
      <c r="C723" s="29"/>
      <c r="D723" s="68" t="s">
        <v>394</v>
      </c>
      <c r="E723" s="68">
        <f>IF($E$529&lt;0,$E$29,IF(データ!D42=0,$E$29,E30))</f>
        <v>250</v>
      </c>
      <c r="F723" s="29" t="s">
        <v>254</v>
      </c>
      <c r="G723" s="29"/>
      <c r="H723" s="29"/>
    </row>
    <row r="724" spans="2:8" ht="15">
      <c r="B724" s="29" t="s">
        <v>258</v>
      </c>
      <c r="C724" s="29"/>
      <c r="D724" s="68" t="s">
        <v>395</v>
      </c>
      <c r="E724" s="68">
        <f>IF(E716&lt;0,データ!E23,IF(データ!E42=0,データ!E23,データ!E42))</f>
        <v>794.4</v>
      </c>
      <c r="F724" s="29" t="s">
        <v>259</v>
      </c>
      <c r="G724" s="29"/>
      <c r="H724" s="29"/>
    </row>
    <row r="725" spans="2:12" ht="12.75">
      <c r="B725" s="29" t="s">
        <v>396</v>
      </c>
      <c r="C725" s="29"/>
      <c r="D725" s="68" t="s">
        <v>397</v>
      </c>
      <c r="E725" s="68">
        <v>15</v>
      </c>
      <c r="F725" s="29"/>
      <c r="G725" s="29"/>
      <c r="H725" s="29"/>
      <c r="I725" s="29"/>
      <c r="J725" s="29"/>
      <c r="K725" s="29"/>
      <c r="L725" s="29"/>
    </row>
    <row r="726" spans="2:10" ht="12.75">
      <c r="B726" s="119" t="s">
        <v>398</v>
      </c>
      <c r="C726" s="126" t="s">
        <v>403</v>
      </c>
      <c r="D726" s="78" t="s">
        <v>399</v>
      </c>
      <c r="E726" s="122" t="str">
        <f>"=  15×"</f>
        <v>=  15×</v>
      </c>
      <c r="F726" s="76">
        <f>E724</f>
        <v>794.4</v>
      </c>
      <c r="G726" s="119" t="str">
        <f>"="&amp;J726</f>
        <v>=0.0367</v>
      </c>
      <c r="J726" s="31">
        <f>ROUND(15*E724/(E719*E721),4)</f>
        <v>0.0367</v>
      </c>
    </row>
    <row r="727" spans="2:7" ht="12.75">
      <c r="B727" s="119"/>
      <c r="C727" s="126"/>
      <c r="D727" s="78" t="s">
        <v>402</v>
      </c>
      <c r="E727" s="122"/>
      <c r="F727" s="77" t="str">
        <f>E719&amp;"×"&amp;E721</f>
        <v>1000×325</v>
      </c>
      <c r="G727" s="119"/>
    </row>
    <row r="729" spans="2:10" ht="12.75">
      <c r="B729" s="7" t="s">
        <v>401</v>
      </c>
      <c r="C729" s="7" t="str">
        <f>"k= (np)^2+2np -np=   "&amp;J726&amp;"^2+2×"&amp;J726&amp;"-"&amp;J726&amp;" ="&amp;J729</f>
        <v>k= (np)^2+2np -np=   0.0367^2+2×0.0367-0.0367 =0.237</v>
      </c>
      <c r="J729" s="32">
        <f>ROUND((J726^2+2*J726)^0.5-J726,3)</f>
        <v>0.237</v>
      </c>
    </row>
    <row r="731" spans="2:13" ht="12.75">
      <c r="B731" s="71"/>
      <c r="C731" s="79" t="str">
        <f>"j=1-k/3= 1-"&amp;J729&amp;"/3="&amp;J731</f>
        <v>j=1-k/3= 1-0.237/3=0.921</v>
      </c>
      <c r="J731" s="32">
        <f>ROUND(1-J729/3,3)</f>
        <v>0.921</v>
      </c>
      <c r="M731" s="30"/>
    </row>
    <row r="732" spans="3:13" ht="12.75">
      <c r="C732" s="75"/>
      <c r="M732" s="29"/>
    </row>
    <row r="733" spans="2:4" ht="12.75">
      <c r="B733" s="7" t="s">
        <v>260</v>
      </c>
      <c r="D733" s="20"/>
    </row>
    <row r="734" spans="2:15" ht="14.25">
      <c r="B734" s="122" t="s">
        <v>406</v>
      </c>
      <c r="C734" s="30" t="s">
        <v>404</v>
      </c>
      <c r="D734" s="120" t="str">
        <f>"2×"&amp;J716</f>
        <v>2×13802000</v>
      </c>
      <c r="E734" s="120"/>
      <c r="F734" s="125"/>
      <c r="G734" s="119" t="str">
        <f>"="&amp;J734&amp;K734&amp;L734&amp;M734&amp;N734&amp;O734</f>
        <v>=1.2N/mm2&lt;σca=7N/mm2</v>
      </c>
      <c r="H734" s="123"/>
      <c r="I734" s="123"/>
      <c r="J734" s="7">
        <f>ROUND(ABS(E716)*1000000*2/(J729*J731*E719*E721^2),1)</f>
        <v>1.2</v>
      </c>
      <c r="K734" s="7" t="s">
        <v>261</v>
      </c>
      <c r="L734" s="30" t="str">
        <f>IF(J734&gt;=N734,"&gt;","&lt;")</f>
        <v>&lt;</v>
      </c>
      <c r="M734" s="15" t="s">
        <v>262</v>
      </c>
      <c r="N734" s="33">
        <f>$F$26/3</f>
        <v>7</v>
      </c>
      <c r="O734" s="20" t="s">
        <v>261</v>
      </c>
    </row>
    <row r="735" spans="2:9" ht="14.25">
      <c r="B735" s="122"/>
      <c r="C735" s="30" t="s">
        <v>405</v>
      </c>
      <c r="D735" s="120" t="str">
        <f>J729&amp;"×"&amp;J731&amp;"×"&amp;E719&amp;"×"&amp;E721&amp;"^2"</f>
        <v>0.237×0.921×1000×325^2</v>
      </c>
      <c r="E735" s="120"/>
      <c r="F735" s="125"/>
      <c r="G735" s="119"/>
      <c r="H735" s="123"/>
      <c r="I735" s="123"/>
    </row>
    <row r="736" spans="9:15" ht="16.5">
      <c r="I736" s="34" t="str">
        <f>IF(J734&gt;=N734,"OUT","SAFE")</f>
        <v>SAFE</v>
      </c>
      <c r="J736" s="20">
        <f>ROUND(ABS(E716)*1000000/(E724*J731*E721),0)</f>
        <v>58</v>
      </c>
      <c r="K736" s="20" t="s">
        <v>264</v>
      </c>
      <c r="L736" s="34" t="str">
        <f>IF(J736&gt;=N736,"&gt;","&lt;")</f>
        <v>&lt;</v>
      </c>
      <c r="M736" s="15" t="s">
        <v>265</v>
      </c>
      <c r="N736" s="35">
        <f>データ!$D$5</f>
        <v>160</v>
      </c>
      <c r="O736" s="20" t="s">
        <v>264</v>
      </c>
    </row>
    <row r="737" spans="2:13" ht="12.75">
      <c r="B737" s="7" t="s">
        <v>263</v>
      </c>
      <c r="D737" s="20"/>
      <c r="E737" s="20"/>
      <c r="F737" s="20"/>
      <c r="G737" s="20"/>
      <c r="H737" s="20"/>
      <c r="I737" s="20"/>
      <c r="J737" s="20"/>
      <c r="K737" s="20"/>
      <c r="L737" s="20"/>
      <c r="M737" s="29"/>
    </row>
    <row r="738" spans="2:13" ht="14.25">
      <c r="B738" s="122" t="s">
        <v>407</v>
      </c>
      <c r="C738" s="34" t="s">
        <v>341</v>
      </c>
      <c r="D738" s="120">
        <f>J716</f>
        <v>13802000</v>
      </c>
      <c r="E738" s="120"/>
      <c r="F738" s="125"/>
      <c r="G738" s="119" t="str">
        <f>"="&amp;J736&amp;K736&amp;L736&amp;M736&amp;N736&amp;O736</f>
        <v>=58N/mm2&lt;σsa=160N/mm2</v>
      </c>
      <c r="H738" s="123"/>
      <c r="I738" s="123"/>
      <c r="J738" s="34"/>
      <c r="K738" s="34"/>
      <c r="L738" s="34"/>
      <c r="M738" s="29"/>
    </row>
    <row r="739" spans="2:12" ht="14.25">
      <c r="B739" s="122"/>
      <c r="C739" s="34" t="s">
        <v>408</v>
      </c>
      <c r="D739" s="120" t="str">
        <f>E724&amp;"×"&amp;J731&amp;"×"&amp;E721</f>
        <v>794.4×0.921×325</v>
      </c>
      <c r="E739" s="120"/>
      <c r="F739" s="125"/>
      <c r="G739" s="119"/>
      <c r="H739" s="123"/>
      <c r="I739" s="123"/>
      <c r="J739" s="29"/>
      <c r="K739" s="29"/>
      <c r="L739" s="29"/>
    </row>
    <row r="740" spans="7:12" ht="12.75">
      <c r="G740" s="15"/>
      <c r="H740" s="20"/>
      <c r="I740" s="34" t="str">
        <f>IF(J736&gt;=N736,"OUT","SAFE")</f>
        <v>SAFE</v>
      </c>
      <c r="J740" s="20"/>
      <c r="K740" s="20"/>
      <c r="L740" s="20"/>
    </row>
    <row r="741" spans="2:12" ht="12.75">
      <c r="B741" s="29" t="s">
        <v>272</v>
      </c>
      <c r="C741" s="20"/>
      <c r="D741" s="20"/>
      <c r="E741" s="20"/>
      <c r="F741" s="20"/>
      <c r="G741" s="15"/>
      <c r="H741" s="20"/>
      <c r="I741" s="20"/>
      <c r="J741" s="20"/>
      <c r="K741" s="20"/>
      <c r="L741" s="20"/>
    </row>
    <row r="742" spans="2:15" ht="14.25">
      <c r="B742" s="122" t="s">
        <v>409</v>
      </c>
      <c r="C742" s="34" t="s">
        <v>339</v>
      </c>
      <c r="D742" s="120">
        <f>J717</f>
        <v>0</v>
      </c>
      <c r="E742" s="120"/>
      <c r="F742" s="119" t="str">
        <f>"="&amp;J742&amp;K742&amp;L742&amp;M742&amp;N742&amp;O742</f>
        <v>=0N/mm2&lt;τca=0.36N/mm2</v>
      </c>
      <c r="G742" s="123"/>
      <c r="H742" s="123"/>
      <c r="J742" s="7">
        <f>ROUND(ABS(E717)*1000/(E719*E721),2)</f>
        <v>0</v>
      </c>
      <c r="K742" s="20" t="s">
        <v>264</v>
      </c>
      <c r="L742" s="34" t="str">
        <f>IF(J742&gt;=N742,"&gt;","&lt;")</f>
        <v>&lt;</v>
      </c>
      <c r="M742" s="15" t="s">
        <v>273</v>
      </c>
      <c r="N742" s="7">
        <f>$F$26/100+0.15</f>
        <v>0.36</v>
      </c>
      <c r="O742" s="20" t="s">
        <v>264</v>
      </c>
    </row>
    <row r="743" spans="2:12" ht="14.25">
      <c r="B743" s="122"/>
      <c r="C743" s="34" t="s">
        <v>400</v>
      </c>
      <c r="D743" s="124" t="str">
        <f>E719&amp;"×"&amp;E721</f>
        <v>1000×325</v>
      </c>
      <c r="E743" s="124"/>
      <c r="F743" s="123"/>
      <c r="G743" s="123"/>
      <c r="H743" s="123"/>
      <c r="J743" s="34"/>
      <c r="K743" s="34"/>
      <c r="L743" s="34"/>
    </row>
    <row r="744" spans="3:12" ht="12.75">
      <c r="C744" s="29"/>
      <c r="D744" s="29"/>
      <c r="E744" s="29"/>
      <c r="F744" s="29"/>
      <c r="G744" s="29"/>
      <c r="H744" s="29"/>
      <c r="I744" s="34" t="str">
        <f>IF(J742&gt;=N742,"OUT","SAFE")</f>
        <v>SAFE</v>
      </c>
      <c r="J744" s="29"/>
      <c r="K744" s="29"/>
      <c r="L744" s="29"/>
    </row>
    <row r="745" spans="2:12" ht="12.75"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</row>
    <row r="746" spans="2:12" ht="12.75"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</row>
    <row r="748" spans="5:12" ht="12.75">
      <c r="E748" s="20"/>
      <c r="F748" s="34"/>
      <c r="G748" s="15"/>
      <c r="I748" s="20"/>
      <c r="J748" s="20"/>
      <c r="K748" s="20"/>
      <c r="L748" s="20"/>
    </row>
    <row r="749" spans="9:12" ht="12.75">
      <c r="I749" s="34"/>
      <c r="J749" s="34"/>
      <c r="K749" s="34"/>
      <c r="L749" s="34"/>
    </row>
    <row r="750" ht="12.75">
      <c r="A750" s="7" t="s">
        <v>279</v>
      </c>
    </row>
    <row r="752" ht="12.75">
      <c r="A752" s="7" t="s">
        <v>280</v>
      </c>
    </row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2.75">
      <c r="A769" s="7" t="s">
        <v>282</v>
      </c>
    </row>
    <row r="770" spans="2:5" ht="12.75">
      <c r="B770" s="7" t="s">
        <v>283</v>
      </c>
      <c r="C770" s="30" t="s">
        <v>285</v>
      </c>
      <c r="D770" s="80">
        <f>E4</f>
        <v>2.5</v>
      </c>
      <c r="E770" s="7" t="s">
        <v>46</v>
      </c>
    </row>
    <row r="771" spans="2:5" ht="12.75">
      <c r="B771" s="7" t="s">
        <v>284</v>
      </c>
      <c r="C771" s="30" t="s">
        <v>286</v>
      </c>
      <c r="D771" s="80">
        <f>E3</f>
        <v>2</v>
      </c>
      <c r="E771" s="7" t="s">
        <v>46</v>
      </c>
    </row>
    <row r="772" spans="2:5" ht="12.75">
      <c r="B772" s="7" t="s">
        <v>288</v>
      </c>
      <c r="C772" s="30" t="s">
        <v>418</v>
      </c>
      <c r="D772" s="80">
        <f>E5</f>
        <v>0.15</v>
      </c>
      <c r="E772" s="7" t="s">
        <v>46</v>
      </c>
    </row>
    <row r="773" spans="2:5" ht="12.75">
      <c r="B773" s="7" t="s">
        <v>287</v>
      </c>
      <c r="C773" s="30" t="s">
        <v>419</v>
      </c>
      <c r="D773" s="80">
        <f>O120</f>
        <v>0.4</v>
      </c>
      <c r="E773" s="7" t="s">
        <v>46</v>
      </c>
    </row>
    <row r="774" spans="2:5" ht="12.75">
      <c r="B774" s="7" t="s">
        <v>290</v>
      </c>
      <c r="C774" s="30" t="s">
        <v>289</v>
      </c>
      <c r="D774" s="80">
        <f>E7</f>
        <v>0.35</v>
      </c>
      <c r="E774" s="7" t="s">
        <v>46</v>
      </c>
    </row>
    <row r="775" spans="2:5" ht="12.75">
      <c r="B775" s="7" t="s">
        <v>292</v>
      </c>
      <c r="C775" s="30" t="s">
        <v>56</v>
      </c>
      <c r="D775" s="80">
        <f>D770+D774</f>
        <v>2.85</v>
      </c>
      <c r="E775" s="7" t="s">
        <v>46</v>
      </c>
    </row>
    <row r="776" spans="2:5" ht="12.75">
      <c r="B776" s="7" t="s">
        <v>291</v>
      </c>
      <c r="C776" s="30" t="s">
        <v>58</v>
      </c>
      <c r="D776" s="80">
        <f>D771+2*D773</f>
        <v>2.8</v>
      </c>
      <c r="E776" s="7" t="s">
        <v>46</v>
      </c>
    </row>
    <row r="777" spans="2:7" ht="12.75">
      <c r="B777" s="7" t="str">
        <f>'入力'!A7</f>
        <v>浮上り防止コンクリート</v>
      </c>
      <c r="C777" s="30"/>
      <c r="D777" s="80"/>
      <c r="E777" s="7" t="s">
        <v>463</v>
      </c>
      <c r="F777" s="7">
        <f>'入力'!D7</f>
        <v>0.2</v>
      </c>
      <c r="G777" s="7" t="s">
        <v>46</v>
      </c>
    </row>
    <row r="778" spans="3:4" ht="12.75">
      <c r="C778" s="30"/>
      <c r="D778" s="80"/>
    </row>
    <row r="779" spans="2:12" ht="12.75">
      <c r="B779" s="7" t="str">
        <f>"鉄筋コンクリート単位体積重量"&amp;J779&amp;K779&amp;L779</f>
        <v>鉄筋コンクリート単位体積重量γc1=24.5kN/m3</v>
      </c>
      <c r="J779" s="30" t="s">
        <v>464</v>
      </c>
      <c r="K779" s="30">
        <v>24.5</v>
      </c>
      <c r="L779" s="7" t="s">
        <v>64</v>
      </c>
    </row>
    <row r="780" spans="2:12" ht="12.75">
      <c r="B780" s="7" t="str">
        <f>"無筋コンクリート単位体積重量"&amp;J780&amp;K780&amp;L780</f>
        <v>無筋コンクリート単位体積重量γc2=23kN/m3</v>
      </c>
      <c r="J780" s="30" t="s">
        <v>465</v>
      </c>
      <c r="K780" s="30">
        <v>23</v>
      </c>
      <c r="L780" s="7" t="s">
        <v>64</v>
      </c>
    </row>
    <row r="782" spans="2:3" ht="12.75">
      <c r="B782" s="7" t="s">
        <v>281</v>
      </c>
      <c r="C782" s="7" t="str">
        <f>"W={BH-BoHo-Ho(tu-to)}γc1+Btcγc2"</f>
        <v>W={BH-BoHo-Ho(tu-to)}γc1+Btcγc2</v>
      </c>
    </row>
    <row r="783" spans="3:12" ht="12.75">
      <c r="C783" s="7" t="str">
        <f>"={"&amp;D776&amp;"×"&amp;D775&amp;"－"&amp;D771&amp;"×"&amp;D770&amp;"-"&amp;D770&amp;"×("&amp;D773&amp;"-"&amp;D772&amp;")}×"&amp;K779</f>
        <v>={2.8×2.85－2×2.5-2.5×(0.4-0.15)}×24.5</v>
      </c>
      <c r="J783" s="14" t="s">
        <v>420</v>
      </c>
      <c r="K783" s="7">
        <f>ROUND((D775*D776-D770*D771-D770*(D773-D772))*K779+D776*F777*K780,3)</f>
        <v>70.578</v>
      </c>
      <c r="L783" s="7" t="s">
        <v>65</v>
      </c>
    </row>
    <row r="784" ht="12.75">
      <c r="C784" s="7" t="str">
        <f>"+"&amp;D776&amp;"×"&amp;F777&amp;"×"&amp;K780&amp;"="&amp;K783&amp;L783</f>
        <v>+2.8×0.2×23=70.578kN/m</v>
      </c>
    </row>
    <row r="786" ht="12.75">
      <c r="A786" s="7" t="s">
        <v>293</v>
      </c>
    </row>
    <row r="788" spans="2:11" ht="12.75">
      <c r="B788" s="7" t="s">
        <v>52</v>
      </c>
      <c r="D788" s="7" t="str">
        <f>J788&amp;K788</f>
        <v>KA=0.341</v>
      </c>
      <c r="J788" s="14" t="s">
        <v>295</v>
      </c>
      <c r="K788" s="7">
        <f>H179</f>
        <v>0.341</v>
      </c>
    </row>
    <row r="790" ht="12.75">
      <c r="B790" s="7" t="s">
        <v>294</v>
      </c>
    </row>
    <row r="791" spans="3:15" ht="12.75">
      <c r="C791" s="20" t="str">
        <f>"KAV=KA×sin(α+δ)="&amp;K788&amp;"×sin("&amp;O$175&amp;"+"&amp;G$173&amp;")="&amp;O791</f>
        <v>KAV=KA×sin(α+δ)=0.341×sin(0.0997+0.3491)=0.148</v>
      </c>
      <c r="O791" s="7">
        <f>ROUND(K788*SIN(O175+G173),3)</f>
        <v>0.148</v>
      </c>
    </row>
    <row r="793" spans="2:15" ht="12.75">
      <c r="B793" s="20" t="s">
        <v>129</v>
      </c>
      <c r="C793" s="20"/>
      <c r="D793" s="20"/>
      <c r="E793" s="20"/>
      <c r="F793" s="20"/>
      <c r="G793" s="20"/>
      <c r="H793" s="20"/>
      <c r="M793" s="20"/>
      <c r="N793" s="20"/>
      <c r="O793" s="20"/>
    </row>
    <row r="794" spans="2:15" ht="12.75">
      <c r="B794" s="20"/>
      <c r="C794" s="20"/>
      <c r="D794" s="21" t="s">
        <v>466</v>
      </c>
      <c r="E794" s="90">
        <f>D775+F777</f>
        <v>3.0500000000000003</v>
      </c>
      <c r="F794" s="20" t="s">
        <v>46</v>
      </c>
      <c r="G794" s="20"/>
      <c r="H794" s="20"/>
      <c r="M794" s="20"/>
      <c r="N794" s="20"/>
      <c r="O794" s="20"/>
    </row>
    <row r="795" spans="2:15" ht="12.75">
      <c r="B795" s="20"/>
      <c r="C795" s="20"/>
      <c r="D795" s="21" t="s">
        <v>48</v>
      </c>
      <c r="E795" s="34">
        <f>$E$17</f>
        <v>19</v>
      </c>
      <c r="F795" s="20" t="s">
        <v>49</v>
      </c>
      <c r="G795" s="20" t="s">
        <v>132</v>
      </c>
      <c r="H795" s="20"/>
      <c r="M795" s="20"/>
      <c r="N795" s="20"/>
      <c r="O795" s="20"/>
    </row>
    <row r="796" spans="2:15" ht="12.75">
      <c r="B796" s="20"/>
      <c r="C796" s="20"/>
      <c r="D796" s="21" t="s">
        <v>133</v>
      </c>
      <c r="E796" s="34">
        <f>E795-9</f>
        <v>10</v>
      </c>
      <c r="F796" s="20" t="s">
        <v>49</v>
      </c>
      <c r="G796" s="20" t="s">
        <v>134</v>
      </c>
      <c r="H796" s="20"/>
      <c r="I796" s="20"/>
      <c r="J796" s="20"/>
      <c r="K796" s="20"/>
      <c r="L796" s="20"/>
      <c r="M796" s="20"/>
      <c r="N796" s="20"/>
      <c r="O796" s="20"/>
    </row>
    <row r="797" spans="2:15" ht="12.75">
      <c r="B797" s="20"/>
      <c r="C797" s="20" t="s">
        <v>135</v>
      </c>
      <c r="D797" s="21" t="s">
        <v>136</v>
      </c>
      <c r="E797" s="34">
        <f>G21</f>
        <v>1.25</v>
      </c>
      <c r="F797" s="20" t="s">
        <v>5</v>
      </c>
      <c r="G797" s="21" t="s">
        <v>137</v>
      </c>
      <c r="H797" s="34">
        <f>E794-E797</f>
        <v>1.8000000000000003</v>
      </c>
      <c r="I797" s="20" t="s">
        <v>5</v>
      </c>
      <c r="J797" s="20"/>
      <c r="K797" s="20"/>
      <c r="L797" s="20"/>
      <c r="M797" s="20"/>
      <c r="N797" s="20"/>
      <c r="O797" s="20"/>
    </row>
    <row r="798" spans="2:15" ht="12.75">
      <c r="B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</row>
    <row r="799" spans="2:15" ht="12.75">
      <c r="B799" s="20"/>
      <c r="C799" s="20" t="s">
        <v>138</v>
      </c>
      <c r="D799" s="20" t="str">
        <f>"q0=qw+qq="&amp;O151&amp;"+0="&amp;O151&amp;"kN/m2"</f>
        <v>q0=qw+qq=11.06+0=11.06kN/m2</v>
      </c>
      <c r="F799" s="20"/>
      <c r="G799" s="20"/>
      <c r="H799" s="20"/>
      <c r="I799" s="20"/>
      <c r="J799" s="20"/>
      <c r="K799" s="20"/>
      <c r="L799" s="20"/>
      <c r="M799" s="20"/>
      <c r="N799" s="21" t="s">
        <v>63</v>
      </c>
      <c r="O799" s="20">
        <f>O151</f>
        <v>11.06</v>
      </c>
    </row>
    <row r="800" spans="2:15" ht="12.75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1"/>
      <c r="O800" s="20"/>
    </row>
    <row r="801" spans="2:15" ht="12.75">
      <c r="B801" s="20" t="s">
        <v>140</v>
      </c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1"/>
      <c r="O801" s="20"/>
    </row>
    <row r="802" ht="12.75">
      <c r="N802" s="14"/>
    </row>
    <row r="803" spans="2:15" ht="12.75">
      <c r="B803" s="34" t="s">
        <v>141</v>
      </c>
      <c r="C803" s="20" t="str">
        <f>"pv0=q0・KAV="&amp;O799&amp;"×"&amp;O791&amp;"="&amp;O803&amp;"kN/m2"</f>
        <v>pv0=q0・KAV=11.06×0.148=1.637kN/m2</v>
      </c>
      <c r="E803" s="20"/>
      <c r="G803" s="20"/>
      <c r="H803" s="20"/>
      <c r="I803" s="20"/>
      <c r="J803" s="20"/>
      <c r="K803" s="20"/>
      <c r="L803" s="20"/>
      <c r="M803" s="20"/>
      <c r="N803" s="21" t="s">
        <v>142</v>
      </c>
      <c r="O803" s="20">
        <f>ROUND(O799*O791,3)</f>
        <v>1.637</v>
      </c>
    </row>
    <row r="804" spans="2:14" ht="12.75">
      <c r="B804" s="30"/>
      <c r="N804" s="14"/>
    </row>
    <row r="805" spans="2:15" ht="12.75">
      <c r="B805" s="34" t="s">
        <v>143</v>
      </c>
      <c r="C805" s="20" t="str">
        <f>"pv1=pv0+γ・hwu・KAV="&amp;O803&amp;"+"&amp;E795&amp;"×"&amp;E797&amp;"×"&amp;O791&amp;"="&amp;O805&amp;"kN/m2"</f>
        <v>pv1=pv0+γ・hwu・KAV=1.637+19×1.25×0.148=5.152kN/m2</v>
      </c>
      <c r="E805" s="20"/>
      <c r="G805" s="20"/>
      <c r="H805" s="20"/>
      <c r="I805" s="20"/>
      <c r="J805" s="20"/>
      <c r="K805" s="20"/>
      <c r="L805" s="20"/>
      <c r="M805" s="20"/>
      <c r="N805" s="21" t="s">
        <v>144</v>
      </c>
      <c r="O805" s="20">
        <f>ROUND(O803+E795*E797*O791,3)</f>
        <v>5.152</v>
      </c>
    </row>
    <row r="806" spans="2:14" ht="12.75">
      <c r="B806" s="30"/>
      <c r="N806" s="14"/>
    </row>
    <row r="807" spans="2:15" ht="12.75">
      <c r="B807" s="34" t="s">
        <v>467</v>
      </c>
      <c r="C807" s="20" t="str">
        <f>"pv2=pv1+γ'・hwl・KAV="&amp;O805&amp;"+"&amp;E796&amp;"×"&amp;H797&amp;"×"&amp;O791&amp;"="&amp;O807&amp;"kN/m2"</f>
        <v>pv2=pv1+γ'・hwl・KAV=5.152+10×1.8×0.148=7.816kN/m2</v>
      </c>
      <c r="E807" s="20"/>
      <c r="G807" s="20"/>
      <c r="H807" s="20"/>
      <c r="I807" s="20"/>
      <c r="J807" s="20"/>
      <c r="K807" s="20"/>
      <c r="L807" s="20"/>
      <c r="M807" s="20"/>
      <c r="N807" s="21" t="s">
        <v>146</v>
      </c>
      <c r="O807" s="20">
        <f>ROUND(O805+E796*H797*O791,3)</f>
        <v>7.816</v>
      </c>
    </row>
    <row r="809" ht="12.75">
      <c r="B809" s="20" t="s">
        <v>421</v>
      </c>
    </row>
    <row r="810" spans="3:15" ht="12.75">
      <c r="C810" s="20" t="s">
        <v>422</v>
      </c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>
        <f>ROUND(0.5*((O803+O805)*E797+(O805+O807)*H797),3)</f>
        <v>15.914</v>
      </c>
    </row>
    <row r="811" ht="12.75">
      <c r="C811" s="20" t="str">
        <f>"=1/2{("&amp;O803&amp;"+"&amp;O805&amp;")×"&amp;E797&amp;"+("&amp;O805&amp;"+"&amp;O807&amp;")×"&amp;H797&amp;"}="&amp;O810&amp;"kN/m"</f>
        <v>=1/2{(1.637+5.152)×1.25+(5.152+7.816)×1.8}=15.914kN/m</v>
      </c>
    </row>
    <row r="813" ht="12.75">
      <c r="A813" s="7" t="s">
        <v>296</v>
      </c>
    </row>
    <row r="814" ht="12.75">
      <c r="B814" s="7" t="s">
        <v>468</v>
      </c>
    </row>
    <row r="816" spans="3:15" ht="12.75">
      <c r="C816" s="7" t="str">
        <f>"={"&amp;E794&amp;"×("&amp;D775&amp;"-"&amp;E797&amp;")-"&amp;E8&amp;"×("&amp;D770&amp;"-"&amp;E797&amp;")}×9.8="&amp;O816&amp;"kN/m"</f>
        <v>={3.05×(2.85-1.25)-0.1×(2.5-1.25)}×9.8=46.599kN/m</v>
      </c>
      <c r="O816" s="7">
        <f>ROUND((E794*(D775-E797)-E8*(D770-E797))*9.8,3)</f>
        <v>46.599</v>
      </c>
    </row>
    <row r="819" ht="12.75">
      <c r="A819" s="7" t="s">
        <v>297</v>
      </c>
    </row>
    <row r="821" ht="12.75">
      <c r="B821" s="7" t="s">
        <v>357</v>
      </c>
    </row>
    <row r="822" spans="3:9" ht="14.25">
      <c r="C822" s="120" t="s">
        <v>423</v>
      </c>
      <c r="D822" s="120"/>
      <c r="E822" s="120" t="str">
        <f>K783&amp;"+1/2×(2×"&amp;O810&amp;")"</f>
        <v>70.578+1/2×(2×15.914)</v>
      </c>
      <c r="F822" s="120"/>
      <c r="G822" s="121"/>
      <c r="H822" s="119" t="str">
        <f>"="&amp;L823&amp;M823&amp;N823</f>
        <v>=1.86&gt;1.2</v>
      </c>
      <c r="I822" s="119"/>
    </row>
    <row r="823" spans="3:14" ht="14.25">
      <c r="C823" s="120" t="s">
        <v>424</v>
      </c>
      <c r="D823" s="120"/>
      <c r="E823" s="120">
        <f>O816</f>
        <v>46.599</v>
      </c>
      <c r="F823" s="120"/>
      <c r="G823" s="120"/>
      <c r="H823" s="119"/>
      <c r="I823" s="119"/>
      <c r="L823" s="7">
        <f>ROUND((K783+O810)/O816,2)</f>
        <v>1.86</v>
      </c>
      <c r="M823" s="30" t="str">
        <f>IF(L823&gt;=N823,"&gt;","&lt;")</f>
        <v>&gt;</v>
      </c>
      <c r="N823" s="7">
        <f>'入力'!D16</f>
        <v>1.2</v>
      </c>
    </row>
    <row r="824" spans="9:12" ht="12.75">
      <c r="I824" s="30" t="str">
        <f>IF(L823&gt;=N823,"SAFE","OUT")</f>
        <v>SAFE</v>
      </c>
      <c r="J824" s="30"/>
      <c r="K824" s="30"/>
      <c r="L824" s="30"/>
    </row>
  </sheetData>
  <sheetProtection sheet="1" objects="1" scenarios="1"/>
  <mergeCells count="104">
    <mergeCell ref="B28:C28"/>
    <mergeCell ref="B30:C30"/>
    <mergeCell ref="B29:C29"/>
    <mergeCell ref="B565:B566"/>
    <mergeCell ref="E565:E566"/>
    <mergeCell ref="G565:G566"/>
    <mergeCell ref="C565:C566"/>
    <mergeCell ref="B599:B600"/>
    <mergeCell ref="C599:C600"/>
    <mergeCell ref="E599:E600"/>
    <mergeCell ref="G599:G600"/>
    <mergeCell ref="B581:B582"/>
    <mergeCell ref="D581:E581"/>
    <mergeCell ref="D582:E582"/>
    <mergeCell ref="F581:H582"/>
    <mergeCell ref="G573:I574"/>
    <mergeCell ref="B577:B578"/>
    <mergeCell ref="D577:F577"/>
    <mergeCell ref="D578:F578"/>
    <mergeCell ref="G577:I578"/>
    <mergeCell ref="B573:B574"/>
    <mergeCell ref="D574:F574"/>
    <mergeCell ref="D573:F573"/>
    <mergeCell ref="B611:B612"/>
    <mergeCell ref="D611:F611"/>
    <mergeCell ref="G611:I612"/>
    <mergeCell ref="D612:F612"/>
    <mergeCell ref="B607:B608"/>
    <mergeCell ref="D607:F607"/>
    <mergeCell ref="G607:I608"/>
    <mergeCell ref="D608:F608"/>
    <mergeCell ref="B630:B631"/>
    <mergeCell ref="C630:C631"/>
    <mergeCell ref="E630:E631"/>
    <mergeCell ref="G630:G631"/>
    <mergeCell ref="B615:B616"/>
    <mergeCell ref="D615:E615"/>
    <mergeCell ref="F615:H616"/>
    <mergeCell ref="D616:E616"/>
    <mergeCell ref="B642:B643"/>
    <mergeCell ref="D642:F642"/>
    <mergeCell ref="G642:I643"/>
    <mergeCell ref="D643:F643"/>
    <mergeCell ref="B638:B639"/>
    <mergeCell ref="D638:F638"/>
    <mergeCell ref="G638:I639"/>
    <mergeCell ref="D639:F639"/>
    <mergeCell ref="B662:B663"/>
    <mergeCell ref="C662:C663"/>
    <mergeCell ref="E662:E663"/>
    <mergeCell ref="G662:G663"/>
    <mergeCell ref="B646:B647"/>
    <mergeCell ref="D646:E646"/>
    <mergeCell ref="F646:H647"/>
    <mergeCell ref="D647:E647"/>
    <mergeCell ref="B674:B675"/>
    <mergeCell ref="D674:F674"/>
    <mergeCell ref="G674:I675"/>
    <mergeCell ref="D675:F675"/>
    <mergeCell ref="B670:B671"/>
    <mergeCell ref="D670:F670"/>
    <mergeCell ref="G670:I671"/>
    <mergeCell ref="D671:F671"/>
    <mergeCell ref="B694:B695"/>
    <mergeCell ref="C694:C695"/>
    <mergeCell ref="E694:E695"/>
    <mergeCell ref="G694:G695"/>
    <mergeCell ref="B678:B679"/>
    <mergeCell ref="D678:E678"/>
    <mergeCell ref="F678:H679"/>
    <mergeCell ref="D679:E679"/>
    <mergeCell ref="B706:B707"/>
    <mergeCell ref="D706:F706"/>
    <mergeCell ref="G706:I707"/>
    <mergeCell ref="D707:F707"/>
    <mergeCell ref="B702:B703"/>
    <mergeCell ref="D702:F702"/>
    <mergeCell ref="G702:I703"/>
    <mergeCell ref="D703:F703"/>
    <mergeCell ref="B726:B727"/>
    <mergeCell ref="C726:C727"/>
    <mergeCell ref="E726:E727"/>
    <mergeCell ref="G726:G727"/>
    <mergeCell ref="B710:B711"/>
    <mergeCell ref="D710:E710"/>
    <mergeCell ref="F710:H711"/>
    <mergeCell ref="D711:E711"/>
    <mergeCell ref="B738:B739"/>
    <mergeCell ref="D738:F738"/>
    <mergeCell ref="G738:I739"/>
    <mergeCell ref="D739:F739"/>
    <mergeCell ref="B734:B735"/>
    <mergeCell ref="D734:F734"/>
    <mergeCell ref="G734:I735"/>
    <mergeCell ref="D735:F735"/>
    <mergeCell ref="H822:I823"/>
    <mergeCell ref="C822:D822"/>
    <mergeCell ref="C823:D823"/>
    <mergeCell ref="E822:G822"/>
    <mergeCell ref="E823:G823"/>
    <mergeCell ref="B742:B743"/>
    <mergeCell ref="D742:E742"/>
    <mergeCell ref="F742:H743"/>
    <mergeCell ref="D743:E743"/>
  </mergeCells>
  <printOptions/>
  <pageMargins left="0.75" right="0.75" top="1" bottom="1" header="0.512" footer="0.512"/>
  <pageSetup horizontalDpi="600" verticalDpi="600" orientation="portrait" paperSize="9" r:id="rId23"/>
  <headerFooter alignWithMargins="0">
    <oddHeader>&amp;C&amp;8土地改良用水路設計計算書</oddHeader>
    <oddFooter>&amp;C&amp;9&amp;P</oddFooter>
  </headerFooter>
  <rowBreaks count="19" manualBreakCount="19">
    <brk id="55" max="255" man="1"/>
    <brk id="112" max="255" man="1"/>
    <brk id="165" max="255" man="1"/>
    <brk id="183" max="255" man="1"/>
    <brk id="229" max="255" man="1"/>
    <brk id="260" max="255" man="1"/>
    <brk id="308" max="255" man="1"/>
    <brk id="375" max="255" man="1"/>
    <brk id="426" max="255" man="1"/>
    <brk id="476" max="255" man="1"/>
    <brk id="507" max="255" man="1"/>
    <brk id="551" max="255" man="1"/>
    <brk id="587" max="255" man="1"/>
    <brk id="618" max="255" man="1"/>
    <brk id="649" max="255" man="1"/>
    <brk id="682" max="255" man="1"/>
    <brk id="714" max="255" man="1"/>
    <brk id="749" max="255" man="1"/>
    <brk id="800" max="8" man="1"/>
  </rowBreaks>
  <drawing r:id="rId22"/>
  <legacyDrawing r:id="rId21"/>
  <oleObjects>
    <oleObject progId="Equation.3" shapeId="1642505" r:id="rId1"/>
    <oleObject progId="Equation.3" shapeId="1642506" r:id="rId2"/>
    <oleObject progId="Equation.3" shapeId="1642507" r:id="rId3"/>
    <oleObject progId="Equation.3" shapeId="1642508" r:id="rId4"/>
    <oleObject progId="Equation.3" shapeId="1643490" r:id="rId5"/>
    <oleObject progId="Equation.3" shapeId="1643491" r:id="rId6"/>
    <oleObject progId="Equation.3" shapeId="1643492" r:id="rId7"/>
    <oleObject progId="Equation.3" shapeId="1643493" r:id="rId8"/>
    <oleObject progId="Equation.3" shapeId="1644593" r:id="rId9"/>
    <oleObject progId="Equation.3" shapeId="1644594" r:id="rId10"/>
    <oleObject progId="Equation.3" shapeId="1644595" r:id="rId11"/>
    <oleObject progId="Equation.3" shapeId="1644596" r:id="rId12"/>
    <oleObject progId="Equation.3" shapeId="1645680" r:id="rId13"/>
    <oleObject progId="Equation.3" shapeId="1645681" r:id="rId14"/>
    <oleObject progId="Equation.3" shapeId="1645682" r:id="rId15"/>
    <oleObject progId="Equation.3" shapeId="1645683" r:id="rId16"/>
    <oleObject progId="Equation.3" shapeId="1646799" r:id="rId17"/>
    <oleObject progId="Equation.3" shapeId="1646800" r:id="rId18"/>
    <oleObject progId="Equation.3" shapeId="1646801" r:id="rId19"/>
    <oleObject progId="Equation.3" shapeId="1646802" r:id="rId2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異形棒鋼の本数と断面積 - コンクリートに関する数値表・単位換算表・公式集</dc:title>
  <dc:subject/>
  <dc:creator>DT-121</dc:creator>
  <cp:keywords/>
  <dc:description/>
  <cp:lastModifiedBy>Owner</cp:lastModifiedBy>
  <cp:lastPrinted>2007-08-21T12:42:13Z</cp:lastPrinted>
  <dcterms:created xsi:type="dcterms:W3CDTF">2002-01-09T08:42:13Z</dcterms:created>
  <dcterms:modified xsi:type="dcterms:W3CDTF">2014-02-17T10:49:02Z</dcterms:modified>
  <cp:category/>
  <cp:version/>
  <cp:contentType/>
  <cp:contentStatus/>
</cp:coreProperties>
</file>