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9360" windowHeight="12540" activeTab="0"/>
  </bookViews>
  <sheets>
    <sheet name="Sheet1" sheetId="1" r:id="rId1"/>
    <sheet name="Sheet2" sheetId="2" state="hidden" r:id="rId2"/>
  </sheets>
  <definedNames>
    <definedName name="bu">'Sheet1'!$E$5</definedName>
    <definedName name="cu">'Sheet1'!$E$12</definedName>
    <definedName name="H">'Sheet1'!$E$4</definedName>
    <definedName name="Ho">'Sheet1'!$E$8</definedName>
    <definedName name="kH">'Sheet1'!$E$14</definedName>
    <definedName name="Lo">'Sheet2'!$D$11</definedName>
    <definedName name="m">'Sheet1'!$E$9</definedName>
    <definedName name="nf">'Sheet1'!$E$6</definedName>
    <definedName name="nr">'Sheet1'!$E$7</definedName>
    <definedName name="_xlnm.Print_Area" localSheetId="0">'Sheet1'!$B$1:$P$37</definedName>
    <definedName name="q">'Sheet1'!$E$13</definedName>
    <definedName name="TH">'Sheet2'!$AE$4</definedName>
    <definedName name="zc">'Sheet2'!$AE$3</definedName>
    <definedName name="α">'Sheet2'!$D$4</definedName>
    <definedName name="β">'Sheet2'!$D$3</definedName>
    <definedName name="γ">'Sheet1'!$E$10</definedName>
    <definedName name="γc">'Sheet1'!$E$15</definedName>
    <definedName name="δ">'Sheet2'!$D$6</definedName>
    <definedName name="ΔH">'Sheet2'!$D$10</definedName>
    <definedName name="θ">'Sheet2'!$D$7</definedName>
    <definedName name="φ">'Sheet2'!$D$5</definedName>
  </definedNames>
  <calcPr fullCalcOnLoad="1"/>
</workbook>
</file>

<file path=xl/sharedStrings.xml><?xml version="1.0" encoding="utf-8"?>
<sst xmlns="http://schemas.openxmlformats.org/spreadsheetml/2006/main" count="195" uniqueCount="122">
  <si>
    <t>擁壁形状</t>
  </si>
  <si>
    <r>
      <t xml:space="preserve"> </t>
    </r>
    <r>
      <rPr>
        <sz val="11"/>
        <color indexed="8"/>
        <rFont val="ＭＳ 明朝"/>
        <family val="1"/>
      </rPr>
      <t>擁壁高さ</t>
    </r>
  </si>
  <si>
    <r>
      <t xml:space="preserve"> </t>
    </r>
    <r>
      <rPr>
        <sz val="11"/>
        <color indexed="8"/>
        <rFont val="ＭＳ 明朝"/>
        <family val="1"/>
      </rPr>
      <t>天端幅</t>
    </r>
  </si>
  <si>
    <r>
      <t xml:space="preserve"> </t>
    </r>
    <r>
      <rPr>
        <sz val="11"/>
        <color indexed="8"/>
        <rFont val="ＭＳ 明朝"/>
        <family val="1"/>
      </rPr>
      <t>嵩上げ高</t>
    </r>
  </si>
  <si>
    <r>
      <t xml:space="preserve"> </t>
    </r>
    <r>
      <rPr>
        <sz val="11"/>
        <color indexed="8"/>
        <rFont val="ＭＳ 明朝"/>
        <family val="1"/>
      </rPr>
      <t>単位重量</t>
    </r>
  </si>
  <si>
    <r>
      <t xml:space="preserve"> </t>
    </r>
    <r>
      <rPr>
        <sz val="11"/>
        <color indexed="8"/>
        <rFont val="ＭＳ 明朝"/>
        <family val="1"/>
      </rPr>
      <t>内部摩擦角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</si>
  <si>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  <r>
      <rPr>
        <sz val="11"/>
        <rFont val="Times New Roman"/>
        <family val="1"/>
      </rPr>
      <t>1: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</si>
  <si>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r</t>
    </r>
    <r>
      <rPr>
        <i/>
        <sz val="11"/>
        <rFont val="Times New Roman"/>
        <family val="1"/>
      </rPr>
      <t>=</t>
    </r>
    <r>
      <rPr>
        <sz val="11"/>
        <rFont val="Times New Roman"/>
        <family val="1"/>
      </rPr>
      <t>1:</t>
    </r>
  </si>
  <si>
    <t>Ho=</t>
  </si>
  <si>
    <t>m</t>
  </si>
  <si>
    <t>β=</t>
  </si>
  <si>
    <t>rad</t>
  </si>
  <si>
    <t>deg</t>
  </si>
  <si>
    <t>α=</t>
  </si>
  <si>
    <t>φ=</t>
  </si>
  <si>
    <t>δ=</t>
  </si>
  <si>
    <t>θ=</t>
  </si>
  <si>
    <t>H=</t>
  </si>
  <si>
    <t>ΔH=</t>
  </si>
  <si>
    <t>z</t>
  </si>
  <si>
    <t>Lo=</t>
  </si>
  <si>
    <t>ω</t>
  </si>
  <si>
    <t>z=</t>
  </si>
  <si>
    <t>b</t>
  </si>
  <si>
    <t>W</t>
  </si>
  <si>
    <t>P</t>
  </si>
  <si>
    <t>max</t>
  </si>
  <si>
    <t>Δω=</t>
  </si>
  <si>
    <t>ωmin=</t>
  </si>
  <si>
    <t>ωmax=</t>
  </si>
  <si>
    <t>KA=</t>
  </si>
  <si>
    <t>①</t>
  </si>
  <si>
    <t>KA</t>
  </si>
  <si>
    <t>PA</t>
  </si>
  <si>
    <t>PAH</t>
  </si>
  <si>
    <t>PAV</t>
  </si>
  <si>
    <t>Wc</t>
  </si>
  <si>
    <t>Hc</t>
  </si>
  <si>
    <t>B</t>
  </si>
  <si>
    <t>xc</t>
  </si>
  <si>
    <t>yc</t>
  </si>
  <si>
    <t>xA</t>
  </si>
  <si>
    <t>yA</t>
  </si>
  <si>
    <t>d</t>
  </si>
  <si>
    <t>e</t>
  </si>
  <si>
    <t>ΣV</t>
  </si>
  <si>
    <t>ΣH</t>
  </si>
  <si>
    <t>x</t>
  </si>
  <si>
    <t>擁壁</t>
  </si>
  <si>
    <t>盛土</t>
  </si>
  <si>
    <t>載荷重</t>
  </si>
  <si>
    <t>中心線</t>
  </si>
  <si>
    <t>中心-B/6</t>
  </si>
  <si>
    <t>中心+B/6</t>
  </si>
  <si>
    <t>B=</t>
  </si>
  <si>
    <t>土圧計算</t>
  </si>
  <si>
    <t>ωdeg</t>
  </si>
  <si>
    <t>すべり面</t>
  </si>
  <si>
    <t>水平</t>
  </si>
  <si>
    <t>一様</t>
  </si>
  <si>
    <t>嵩上げ</t>
  </si>
  <si>
    <t>粘着力</t>
  </si>
  <si>
    <t>lc</t>
  </si>
  <si>
    <t>zc=</t>
  </si>
  <si>
    <t>TH=</t>
  </si>
  <si>
    <t>ωo=</t>
  </si>
  <si>
    <t>擁壁</t>
  </si>
  <si>
    <t>（１）インプットデータ</t>
  </si>
  <si>
    <t>主働すべり角</t>
  </si>
  <si>
    <t>主働土圧</t>
  </si>
  <si>
    <t>水平分力</t>
  </si>
  <si>
    <t>鉛直分力</t>
  </si>
  <si>
    <t>主働土圧係数</t>
  </si>
  <si>
    <t>粘着力自立高</t>
  </si>
  <si>
    <t>度</t>
  </si>
  <si>
    <t>擁壁天端からの深さ</t>
  </si>
  <si>
    <t>擁壁部材厚さ</t>
  </si>
  <si>
    <t>自重</t>
  </si>
  <si>
    <t>慣性力</t>
  </si>
  <si>
    <t>重心位置</t>
  </si>
  <si>
    <t>合力作用位置</t>
  </si>
  <si>
    <t>鉛直力</t>
  </si>
  <si>
    <t>水平力</t>
  </si>
  <si>
    <t>荷重</t>
  </si>
  <si>
    <t>偏心量</t>
  </si>
  <si>
    <r>
      <t>b</t>
    </r>
    <r>
      <rPr>
        <i/>
        <vertAlign val="subscript"/>
        <sz val="11"/>
        <rFont val="Times New Roman"/>
        <family val="1"/>
      </rPr>
      <t>u</t>
    </r>
    <r>
      <rPr>
        <i/>
        <sz val="11"/>
        <rFont val="Times New Roman"/>
        <family val="1"/>
      </rPr>
      <t>=</t>
    </r>
  </si>
  <si>
    <r>
      <t xml:space="preserve"> </t>
    </r>
    <r>
      <rPr>
        <sz val="11"/>
        <color indexed="8"/>
        <rFont val="ＭＳ 明朝"/>
        <family val="1"/>
      </rPr>
      <t>前面勾配</t>
    </r>
  </si>
  <si>
    <r>
      <t xml:space="preserve"> </t>
    </r>
    <r>
      <rPr>
        <sz val="11"/>
        <color indexed="8"/>
        <rFont val="ＭＳ 明朝"/>
        <family val="1"/>
      </rPr>
      <t>背面勾配</t>
    </r>
  </si>
  <si>
    <t>盛土</t>
  </si>
  <si>
    <r>
      <t>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</t>
    </r>
  </si>
  <si>
    <r>
      <t xml:space="preserve"> </t>
    </r>
    <r>
      <rPr>
        <sz val="11"/>
        <color indexed="8"/>
        <rFont val="ＭＳ 明朝"/>
        <family val="1"/>
      </rPr>
      <t>盛土勾配</t>
    </r>
  </si>
  <si>
    <r>
      <t>1:</t>
    </r>
    <r>
      <rPr>
        <i/>
        <sz val="11"/>
        <rFont val="Times New Roman"/>
        <family val="1"/>
      </rPr>
      <t>m</t>
    </r>
    <r>
      <rPr>
        <sz val="11"/>
        <rFont val="Times New Roman"/>
        <family val="1"/>
      </rPr>
      <t>=1: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</si>
  <si>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</si>
  <si>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kN/m</t>
    </r>
    <r>
      <rPr>
        <vertAlign val="superscript"/>
        <sz val="11"/>
        <rFont val="Times New Roman"/>
        <family val="1"/>
      </rPr>
      <t>2</t>
    </r>
  </si>
  <si>
    <t>載荷重</t>
  </si>
  <si>
    <t>q=</t>
  </si>
  <si>
    <r>
      <t xml:space="preserve"> </t>
    </r>
    <r>
      <rPr>
        <sz val="11"/>
        <color indexed="8"/>
        <rFont val="ＭＳ 明朝"/>
        <family val="1"/>
      </rPr>
      <t>水平震度</t>
    </r>
  </si>
  <si>
    <t>（２）アウトプットデータ</t>
  </si>
  <si>
    <r>
      <t>z(</t>
    </r>
    <r>
      <rPr>
        <sz val="11"/>
        <rFont val="Times New Roman"/>
        <family val="1"/>
      </rPr>
      <t>m)</t>
    </r>
  </si>
  <si>
    <r>
      <t>B</t>
    </r>
    <r>
      <rPr>
        <sz val="11"/>
        <rFont val="Times New Roman"/>
        <family val="1"/>
      </rPr>
      <t>(m)</t>
    </r>
  </si>
  <si>
    <r>
      <t>W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(kN)</t>
    </r>
  </si>
  <si>
    <r>
      <t>H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(kN)</t>
    </r>
  </si>
  <si>
    <r>
      <t>x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(m)</t>
    </r>
  </si>
  <si>
    <r>
      <t>y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(m)</t>
    </r>
  </si>
  <si>
    <r>
      <t>P</t>
    </r>
    <r>
      <rPr>
        <i/>
        <vertAlign val="subscript"/>
        <sz val="11"/>
        <rFont val="Times New Roman"/>
        <family val="1"/>
      </rPr>
      <t>AV</t>
    </r>
    <r>
      <rPr>
        <sz val="11"/>
        <rFont val="Times New Roman"/>
        <family val="1"/>
      </rPr>
      <t>(kN)</t>
    </r>
  </si>
  <si>
    <r>
      <t>P</t>
    </r>
    <r>
      <rPr>
        <i/>
        <vertAlign val="subscript"/>
        <sz val="11"/>
        <rFont val="Times New Roman"/>
        <family val="1"/>
      </rPr>
      <t>AH</t>
    </r>
    <r>
      <rPr>
        <sz val="11"/>
        <rFont val="Times New Roman"/>
        <family val="1"/>
      </rPr>
      <t>(kN)</t>
    </r>
  </si>
  <si>
    <r>
      <t>x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(m)</t>
    </r>
  </si>
  <si>
    <r>
      <t>y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(m)</t>
    </r>
  </si>
  <si>
    <r>
      <t>Σ</t>
    </r>
    <r>
      <rPr>
        <i/>
        <sz val="11"/>
        <rFont val="Times New Roman"/>
        <family val="1"/>
      </rPr>
      <t>V</t>
    </r>
    <r>
      <rPr>
        <sz val="11"/>
        <rFont val="Times New Roman"/>
        <family val="1"/>
      </rPr>
      <t>(kN)</t>
    </r>
  </si>
  <si>
    <r>
      <t>Σ</t>
    </r>
    <r>
      <rPr>
        <i/>
        <sz val="11"/>
        <rFont val="Times New Roman"/>
        <family val="1"/>
      </rPr>
      <t>H</t>
    </r>
    <r>
      <rPr>
        <sz val="11"/>
        <rFont val="Times New Roman"/>
        <family val="1"/>
      </rPr>
      <t>(kN)</t>
    </r>
  </si>
  <si>
    <r>
      <t>e</t>
    </r>
    <r>
      <rPr>
        <sz val="11"/>
        <rFont val="Times New Roman"/>
        <family val="1"/>
      </rPr>
      <t>(m)</t>
    </r>
  </si>
  <si>
    <r>
      <t>K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</si>
  <si>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ω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</si>
  <si>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z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</si>
  <si>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γ</t>
    </r>
    <r>
      <rPr>
        <sz val="11"/>
        <rFont val="Times New Roman"/>
        <family val="1"/>
      </rPr>
      <t>=</t>
    </r>
  </si>
  <si>
    <r>
      <t>φ</t>
    </r>
    <r>
      <rPr>
        <sz val="11"/>
        <rFont val="Times New Roman"/>
        <family val="1"/>
      </rPr>
      <t>=</t>
    </r>
  </si>
  <si>
    <t>示力線</t>
  </si>
  <si>
    <r>
      <t>γ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</si>
  <si>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k</t>
    </r>
    <r>
      <rPr>
        <i/>
        <vertAlign val="subscript"/>
        <sz val="11"/>
        <rFont val="Times New Roman"/>
        <family val="1"/>
      </rPr>
      <t>H</t>
    </r>
    <r>
      <rPr>
        <i/>
        <sz val="11"/>
        <rFont val="Times New Roman"/>
        <family val="1"/>
      </rPr>
      <t>=</t>
    </r>
  </si>
  <si>
    <r>
      <t>c</t>
    </r>
    <r>
      <rPr>
        <sz val="11"/>
        <rFont val="Times New Roman"/>
        <family val="1"/>
      </rPr>
      <t>=</t>
    </r>
  </si>
  <si>
    <t>断面核</t>
  </si>
  <si>
    <r>
      <t>k</t>
    </r>
    <r>
      <rPr>
        <sz val="11"/>
        <rFont val="Times New Roman"/>
        <family val="1"/>
      </rPr>
      <t>(m)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</si>
</sst>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0"/>
    <numFmt numFmtId="179" formatCode="0.00000"/>
    <numFmt numFmtId="180" formatCode="0.0000"/>
  </numFmts>
  <fonts count="15">
    <font>
      <sz val="11"/>
      <name val="ＭＳ 明朝"/>
      <family val="1"/>
    </font>
    <font>
      <sz val="6"/>
      <name val="ＭＳ Ｐ明朝"/>
      <family val="1"/>
    </font>
    <font>
      <sz val="11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ＭＳ 明朝"/>
      <family val="1"/>
    </font>
    <font>
      <sz val="11.75"/>
      <name val="ＭＳ 明朝"/>
      <family val="1"/>
    </font>
    <font>
      <sz val="11"/>
      <name val="ＭＳ Ｐ明朝"/>
      <family val="1"/>
    </font>
    <font>
      <i/>
      <sz val="11"/>
      <name val="ＭＳ Ｐ明朝"/>
      <family val="1"/>
    </font>
    <font>
      <b/>
      <sz val="11"/>
      <name val="ＭＳ 明朝"/>
      <family val="1"/>
    </font>
    <font>
      <u val="single"/>
      <sz val="14.4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 quotePrefix="1">
      <alignment horizontal="left" vertical="center"/>
    </xf>
    <xf numFmtId="0" fontId="5" fillId="2" borderId="0" xfId="0" applyFont="1" applyFill="1" applyAlignment="1" quotePrefix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2" fillId="2" borderId="0" xfId="0" applyFont="1" applyFill="1" applyAlignment="1" quotePrefix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4" fillId="2" borderId="0" xfId="0" applyFont="1" applyFill="1" applyBorder="1" applyAlignment="1" quotePrefix="1">
      <alignment horizontal="left" vertical="center" shrinkToFit="1"/>
    </xf>
    <xf numFmtId="0" fontId="5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horizontal="left" vertical="center" shrinkToFit="1"/>
    </xf>
    <xf numFmtId="0" fontId="0" fillId="2" borderId="0" xfId="0" applyFont="1" applyFill="1" applyAlignment="1">
      <alignment horizontal="left" vertical="center"/>
    </xf>
    <xf numFmtId="180" fontId="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2" fontId="2" fillId="2" borderId="0" xfId="0" applyNumberFormat="1" applyFont="1" applyFill="1" applyAlignment="1">
      <alignment vertical="center"/>
    </xf>
    <xf numFmtId="177" fontId="2" fillId="2" borderId="0" xfId="0" applyNumberFormat="1" applyFont="1" applyFill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75"/>
          <c:w val="0.982"/>
          <c:h val="0.95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Sheet2!$C$32</c:f>
              <c:strCache>
                <c:ptCount val="1"/>
                <c:pt idx="0">
                  <c:v>擁壁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Sheet2!$B$33:$B$63</c:f>
              <c:numCache>
                <c:ptCount val="31"/>
                <c:pt idx="0">
                  <c:v>0</c:v>
                </c:pt>
                <c:pt idx="1">
                  <c:v>0.44999999999999996</c:v>
                </c:pt>
                <c:pt idx="2">
                  <c:v>0.85</c:v>
                </c:pt>
                <c:pt idx="3">
                  <c:v>1.6</c:v>
                </c:pt>
                <c:pt idx="4">
                  <c:v>0</c:v>
                </c:pt>
                <c:pt idx="5">
                  <c:v>0.85</c:v>
                </c:pt>
                <c:pt idx="6">
                  <c:v>1.6</c:v>
                </c:pt>
                <c:pt idx="7">
                  <c:v>5.103509944375515</c:v>
                </c:pt>
                <c:pt idx="8">
                  <c:v>1.6</c:v>
                </c:pt>
                <c:pt idx="9">
                  <c:v>1.6</c:v>
                </c:pt>
                <c:pt idx="10">
                  <c:v>5.103509944375515</c:v>
                </c:pt>
                <c:pt idx="11">
                  <c:v>0.8</c:v>
                </c:pt>
                <c:pt idx="12">
                  <c:v>0.6499999999999999</c:v>
                </c:pt>
                <c:pt idx="13">
                  <c:v>0.5333333333333334</c:v>
                </c:pt>
                <c:pt idx="14">
                  <c:v>0.5833333333333333</c:v>
                </c:pt>
                <c:pt idx="15">
                  <c:v>1.0666666666666667</c:v>
                </c:pt>
                <c:pt idx="16">
                  <c:v>0.7166666666666666</c:v>
                </c:pt>
                <c:pt idx="17">
                  <c:v>0.6499999999999999</c:v>
                </c:pt>
                <c:pt idx="18">
                  <c:v>0.667671706933509</c:v>
                </c:pt>
                <c:pt idx="19">
                  <c:v>0.6693748249704126</c:v>
                </c:pt>
                <c:pt idx="20">
                  <c:v>0.6621320459628839</c:v>
                </c:pt>
                <c:pt idx="21">
                  <c:v>0.6493746119274608</c:v>
                </c:pt>
                <c:pt idx="22">
                  <c:v>0.632977922563045</c:v>
                </c:pt>
                <c:pt idx="23">
                  <c:v>0.6140535892246606</c:v>
                </c:pt>
                <c:pt idx="24">
                  <c:v>0.5933023358973584</c:v>
                </c:pt>
                <c:pt idx="25">
                  <c:v>0.5711877863733561</c:v>
                </c:pt>
                <c:pt idx="26">
                  <c:v>0.5480289257207069</c:v>
                </c:pt>
                <c:pt idx="27">
                  <c:v>0.5240524238435199</c:v>
                </c:pt>
                <c:pt idx="28">
                  <c:v>1.6</c:v>
                </c:pt>
                <c:pt idx="29">
                  <c:v>3.5035099443755158</c:v>
                </c:pt>
                <c:pt idx="30">
                  <c:v>3.5035099443755158</c:v>
                </c:pt>
              </c:numCache>
            </c:numRef>
          </c:xVal>
          <c:yVal>
            <c:numRef>
              <c:f>Sheet2!$C$33:$C$63</c:f>
              <c:numCache>
                <c:ptCount val="31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Sheet2!$D$32</c:f>
              <c:strCache>
                <c:ptCount val="1"/>
                <c:pt idx="0">
                  <c:v>盛土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Sheet2!$B$33:$B$63</c:f>
              <c:numCache>
                <c:ptCount val="31"/>
                <c:pt idx="0">
                  <c:v>0</c:v>
                </c:pt>
                <c:pt idx="1">
                  <c:v>0.44999999999999996</c:v>
                </c:pt>
                <c:pt idx="2">
                  <c:v>0.85</c:v>
                </c:pt>
                <c:pt idx="3">
                  <c:v>1.6</c:v>
                </c:pt>
                <c:pt idx="4">
                  <c:v>0</c:v>
                </c:pt>
                <c:pt idx="5">
                  <c:v>0.85</c:v>
                </c:pt>
                <c:pt idx="6">
                  <c:v>1.6</c:v>
                </c:pt>
                <c:pt idx="7">
                  <c:v>5.103509944375515</c:v>
                </c:pt>
                <c:pt idx="8">
                  <c:v>1.6</c:v>
                </c:pt>
                <c:pt idx="9">
                  <c:v>1.6</c:v>
                </c:pt>
                <c:pt idx="10">
                  <c:v>5.103509944375515</c:v>
                </c:pt>
                <c:pt idx="11">
                  <c:v>0.8</c:v>
                </c:pt>
                <c:pt idx="12">
                  <c:v>0.6499999999999999</c:v>
                </c:pt>
                <c:pt idx="13">
                  <c:v>0.5333333333333334</c:v>
                </c:pt>
                <c:pt idx="14">
                  <c:v>0.5833333333333333</c:v>
                </c:pt>
                <c:pt idx="15">
                  <c:v>1.0666666666666667</c:v>
                </c:pt>
                <c:pt idx="16">
                  <c:v>0.7166666666666666</c:v>
                </c:pt>
                <c:pt idx="17">
                  <c:v>0.6499999999999999</c:v>
                </c:pt>
                <c:pt idx="18">
                  <c:v>0.667671706933509</c:v>
                </c:pt>
                <c:pt idx="19">
                  <c:v>0.6693748249704126</c:v>
                </c:pt>
                <c:pt idx="20">
                  <c:v>0.6621320459628839</c:v>
                </c:pt>
                <c:pt idx="21">
                  <c:v>0.6493746119274608</c:v>
                </c:pt>
                <c:pt idx="22">
                  <c:v>0.632977922563045</c:v>
                </c:pt>
                <c:pt idx="23">
                  <c:v>0.6140535892246606</c:v>
                </c:pt>
                <c:pt idx="24">
                  <c:v>0.5933023358973584</c:v>
                </c:pt>
                <c:pt idx="25">
                  <c:v>0.5711877863733561</c:v>
                </c:pt>
                <c:pt idx="26">
                  <c:v>0.5480289257207069</c:v>
                </c:pt>
                <c:pt idx="27">
                  <c:v>0.5240524238435199</c:v>
                </c:pt>
                <c:pt idx="28">
                  <c:v>1.6</c:v>
                </c:pt>
                <c:pt idx="29">
                  <c:v>3.5035099443755158</c:v>
                </c:pt>
                <c:pt idx="30">
                  <c:v>3.5035099443755158</c:v>
                </c:pt>
              </c:numCache>
            </c:numRef>
          </c:xVal>
          <c:yVal>
            <c:numRef>
              <c:f>Sheet2!$D$33:$D$63</c:f>
              <c:numCache>
                <c:ptCount val="31"/>
                <c:pt idx="5">
                  <c:v>3</c:v>
                </c:pt>
                <c:pt idx="6">
                  <c:v>3.5</c:v>
                </c:pt>
                <c:pt idx="7">
                  <c:v>3.5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Sheet2!$E$32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Sheet2!$B$33:$B$63</c:f>
              <c:numCache>
                <c:ptCount val="31"/>
                <c:pt idx="0">
                  <c:v>0</c:v>
                </c:pt>
                <c:pt idx="1">
                  <c:v>0.44999999999999996</c:v>
                </c:pt>
                <c:pt idx="2">
                  <c:v>0.85</c:v>
                </c:pt>
                <c:pt idx="3">
                  <c:v>1.6</c:v>
                </c:pt>
                <c:pt idx="4">
                  <c:v>0</c:v>
                </c:pt>
                <c:pt idx="5">
                  <c:v>0.85</c:v>
                </c:pt>
                <c:pt idx="6">
                  <c:v>1.6</c:v>
                </c:pt>
                <c:pt idx="7">
                  <c:v>5.103509944375515</c:v>
                </c:pt>
                <c:pt idx="8">
                  <c:v>1.6</c:v>
                </c:pt>
                <c:pt idx="9">
                  <c:v>1.6</c:v>
                </c:pt>
                <c:pt idx="10">
                  <c:v>5.103509944375515</c:v>
                </c:pt>
                <c:pt idx="11">
                  <c:v>0.8</c:v>
                </c:pt>
                <c:pt idx="12">
                  <c:v>0.6499999999999999</c:v>
                </c:pt>
                <c:pt idx="13">
                  <c:v>0.5333333333333334</c:v>
                </c:pt>
                <c:pt idx="14">
                  <c:v>0.5833333333333333</c:v>
                </c:pt>
                <c:pt idx="15">
                  <c:v>1.0666666666666667</c:v>
                </c:pt>
                <c:pt idx="16">
                  <c:v>0.7166666666666666</c:v>
                </c:pt>
                <c:pt idx="17">
                  <c:v>0.6499999999999999</c:v>
                </c:pt>
                <c:pt idx="18">
                  <c:v>0.667671706933509</c:v>
                </c:pt>
                <c:pt idx="19">
                  <c:v>0.6693748249704126</c:v>
                </c:pt>
                <c:pt idx="20">
                  <c:v>0.6621320459628839</c:v>
                </c:pt>
                <c:pt idx="21">
                  <c:v>0.6493746119274608</c:v>
                </c:pt>
                <c:pt idx="22">
                  <c:v>0.632977922563045</c:v>
                </c:pt>
                <c:pt idx="23">
                  <c:v>0.6140535892246606</c:v>
                </c:pt>
                <c:pt idx="24">
                  <c:v>0.5933023358973584</c:v>
                </c:pt>
                <c:pt idx="25">
                  <c:v>0.5711877863733561</c:v>
                </c:pt>
                <c:pt idx="26">
                  <c:v>0.5480289257207069</c:v>
                </c:pt>
                <c:pt idx="27">
                  <c:v>0.5240524238435199</c:v>
                </c:pt>
                <c:pt idx="28">
                  <c:v>1.6</c:v>
                </c:pt>
                <c:pt idx="29">
                  <c:v>3.5035099443755158</c:v>
                </c:pt>
                <c:pt idx="30">
                  <c:v>3.5035099443755158</c:v>
                </c:pt>
              </c:numCache>
            </c:numRef>
          </c:xVal>
          <c:yVal>
            <c:numRef>
              <c:f>Sheet2!$E$33:$E$63</c:f>
              <c:numCache>
                <c:ptCount val="31"/>
                <c:pt idx="8">
                  <c:v>3.5</c:v>
                </c:pt>
                <c:pt idx="9">
                  <c:v>4</c:v>
                </c:pt>
                <c:pt idx="10">
                  <c:v>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Sheet2!$F$32</c:f>
              <c:strCache>
                <c:ptCount val="1"/>
                <c:pt idx="0">
                  <c:v>中心線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Sheet2!$B$33:$B$63</c:f>
              <c:numCache>
                <c:ptCount val="31"/>
                <c:pt idx="0">
                  <c:v>0</c:v>
                </c:pt>
                <c:pt idx="1">
                  <c:v>0.44999999999999996</c:v>
                </c:pt>
                <c:pt idx="2">
                  <c:v>0.85</c:v>
                </c:pt>
                <c:pt idx="3">
                  <c:v>1.6</c:v>
                </c:pt>
                <c:pt idx="4">
                  <c:v>0</c:v>
                </c:pt>
                <c:pt idx="5">
                  <c:v>0.85</c:v>
                </c:pt>
                <c:pt idx="6">
                  <c:v>1.6</c:v>
                </c:pt>
                <c:pt idx="7">
                  <c:v>5.103509944375515</c:v>
                </c:pt>
                <c:pt idx="8">
                  <c:v>1.6</c:v>
                </c:pt>
                <c:pt idx="9">
                  <c:v>1.6</c:v>
                </c:pt>
                <c:pt idx="10">
                  <c:v>5.103509944375515</c:v>
                </c:pt>
                <c:pt idx="11">
                  <c:v>0.8</c:v>
                </c:pt>
                <c:pt idx="12">
                  <c:v>0.6499999999999999</c:v>
                </c:pt>
                <c:pt idx="13">
                  <c:v>0.5333333333333334</c:v>
                </c:pt>
                <c:pt idx="14">
                  <c:v>0.5833333333333333</c:v>
                </c:pt>
                <c:pt idx="15">
                  <c:v>1.0666666666666667</c:v>
                </c:pt>
                <c:pt idx="16">
                  <c:v>0.7166666666666666</c:v>
                </c:pt>
                <c:pt idx="17">
                  <c:v>0.6499999999999999</c:v>
                </c:pt>
                <c:pt idx="18">
                  <c:v>0.667671706933509</c:v>
                </c:pt>
                <c:pt idx="19">
                  <c:v>0.6693748249704126</c:v>
                </c:pt>
                <c:pt idx="20">
                  <c:v>0.6621320459628839</c:v>
                </c:pt>
                <c:pt idx="21">
                  <c:v>0.6493746119274608</c:v>
                </c:pt>
                <c:pt idx="22">
                  <c:v>0.632977922563045</c:v>
                </c:pt>
                <c:pt idx="23">
                  <c:v>0.6140535892246606</c:v>
                </c:pt>
                <c:pt idx="24">
                  <c:v>0.5933023358973584</c:v>
                </c:pt>
                <c:pt idx="25">
                  <c:v>0.5711877863733561</c:v>
                </c:pt>
                <c:pt idx="26">
                  <c:v>0.5480289257207069</c:v>
                </c:pt>
                <c:pt idx="27">
                  <c:v>0.5240524238435199</c:v>
                </c:pt>
                <c:pt idx="28">
                  <c:v>1.6</c:v>
                </c:pt>
                <c:pt idx="29">
                  <c:v>3.5035099443755158</c:v>
                </c:pt>
                <c:pt idx="30">
                  <c:v>3.5035099443755158</c:v>
                </c:pt>
              </c:numCache>
            </c:numRef>
          </c:xVal>
          <c:yVal>
            <c:numRef>
              <c:f>Sheet2!$F$33:$F$63</c:f>
              <c:numCache>
                <c:ptCount val="31"/>
                <c:pt idx="11">
                  <c:v>0</c:v>
                </c:pt>
                <c:pt idx="12">
                  <c:v>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Sheet2!$G$32</c:f>
              <c:strCache>
                <c:ptCount val="1"/>
                <c:pt idx="0">
                  <c:v>中心-B/6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3366FF"/>
                </a:solidFill>
              </a:ln>
            </c:spPr>
            <c:marker>
              <c:symbol val="none"/>
            </c:marker>
          </c:dPt>
          <c:xVal>
            <c:numRef>
              <c:f>Sheet2!$B$33:$B$63</c:f>
              <c:numCache>
                <c:ptCount val="31"/>
                <c:pt idx="0">
                  <c:v>0</c:v>
                </c:pt>
                <c:pt idx="1">
                  <c:v>0.44999999999999996</c:v>
                </c:pt>
                <c:pt idx="2">
                  <c:v>0.85</c:v>
                </c:pt>
                <c:pt idx="3">
                  <c:v>1.6</c:v>
                </c:pt>
                <c:pt idx="4">
                  <c:v>0</c:v>
                </c:pt>
                <c:pt idx="5">
                  <c:v>0.85</c:v>
                </c:pt>
                <c:pt idx="6">
                  <c:v>1.6</c:v>
                </c:pt>
                <c:pt idx="7">
                  <c:v>5.103509944375515</c:v>
                </c:pt>
                <c:pt idx="8">
                  <c:v>1.6</c:v>
                </c:pt>
                <c:pt idx="9">
                  <c:v>1.6</c:v>
                </c:pt>
                <c:pt idx="10">
                  <c:v>5.103509944375515</c:v>
                </c:pt>
                <c:pt idx="11">
                  <c:v>0.8</c:v>
                </c:pt>
                <c:pt idx="12">
                  <c:v>0.6499999999999999</c:v>
                </c:pt>
                <c:pt idx="13">
                  <c:v>0.5333333333333334</c:v>
                </c:pt>
                <c:pt idx="14">
                  <c:v>0.5833333333333333</c:v>
                </c:pt>
                <c:pt idx="15">
                  <c:v>1.0666666666666667</c:v>
                </c:pt>
                <c:pt idx="16">
                  <c:v>0.7166666666666666</c:v>
                </c:pt>
                <c:pt idx="17">
                  <c:v>0.6499999999999999</c:v>
                </c:pt>
                <c:pt idx="18">
                  <c:v>0.667671706933509</c:v>
                </c:pt>
                <c:pt idx="19">
                  <c:v>0.6693748249704126</c:v>
                </c:pt>
                <c:pt idx="20">
                  <c:v>0.6621320459628839</c:v>
                </c:pt>
                <c:pt idx="21">
                  <c:v>0.6493746119274608</c:v>
                </c:pt>
                <c:pt idx="22">
                  <c:v>0.632977922563045</c:v>
                </c:pt>
                <c:pt idx="23">
                  <c:v>0.6140535892246606</c:v>
                </c:pt>
                <c:pt idx="24">
                  <c:v>0.5933023358973584</c:v>
                </c:pt>
                <c:pt idx="25">
                  <c:v>0.5711877863733561</c:v>
                </c:pt>
                <c:pt idx="26">
                  <c:v>0.5480289257207069</c:v>
                </c:pt>
                <c:pt idx="27">
                  <c:v>0.5240524238435199</c:v>
                </c:pt>
                <c:pt idx="28">
                  <c:v>1.6</c:v>
                </c:pt>
                <c:pt idx="29">
                  <c:v>3.5035099443755158</c:v>
                </c:pt>
                <c:pt idx="30">
                  <c:v>3.5035099443755158</c:v>
                </c:pt>
              </c:numCache>
            </c:numRef>
          </c:xVal>
          <c:yVal>
            <c:numRef>
              <c:f>Sheet2!$G$33:$G$63</c:f>
              <c:numCache>
                <c:ptCount val="31"/>
                <c:pt idx="13">
                  <c:v>0</c:v>
                </c:pt>
                <c:pt idx="14">
                  <c:v>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Sheet2!$H$32</c:f>
              <c:strCache>
                <c:ptCount val="1"/>
                <c:pt idx="0">
                  <c:v>中心+B/6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Sheet2!$B$33:$B$63</c:f>
              <c:numCache>
                <c:ptCount val="31"/>
                <c:pt idx="0">
                  <c:v>0</c:v>
                </c:pt>
                <c:pt idx="1">
                  <c:v>0.44999999999999996</c:v>
                </c:pt>
                <c:pt idx="2">
                  <c:v>0.85</c:v>
                </c:pt>
                <c:pt idx="3">
                  <c:v>1.6</c:v>
                </c:pt>
                <c:pt idx="4">
                  <c:v>0</c:v>
                </c:pt>
                <c:pt idx="5">
                  <c:v>0.85</c:v>
                </c:pt>
                <c:pt idx="6">
                  <c:v>1.6</c:v>
                </c:pt>
                <c:pt idx="7">
                  <c:v>5.103509944375515</c:v>
                </c:pt>
                <c:pt idx="8">
                  <c:v>1.6</c:v>
                </c:pt>
                <c:pt idx="9">
                  <c:v>1.6</c:v>
                </c:pt>
                <c:pt idx="10">
                  <c:v>5.103509944375515</c:v>
                </c:pt>
                <c:pt idx="11">
                  <c:v>0.8</c:v>
                </c:pt>
                <c:pt idx="12">
                  <c:v>0.6499999999999999</c:v>
                </c:pt>
                <c:pt idx="13">
                  <c:v>0.5333333333333334</c:v>
                </c:pt>
                <c:pt idx="14">
                  <c:v>0.5833333333333333</c:v>
                </c:pt>
                <c:pt idx="15">
                  <c:v>1.0666666666666667</c:v>
                </c:pt>
                <c:pt idx="16">
                  <c:v>0.7166666666666666</c:v>
                </c:pt>
                <c:pt idx="17">
                  <c:v>0.6499999999999999</c:v>
                </c:pt>
                <c:pt idx="18">
                  <c:v>0.667671706933509</c:v>
                </c:pt>
                <c:pt idx="19">
                  <c:v>0.6693748249704126</c:v>
                </c:pt>
                <c:pt idx="20">
                  <c:v>0.6621320459628839</c:v>
                </c:pt>
                <c:pt idx="21">
                  <c:v>0.6493746119274608</c:v>
                </c:pt>
                <c:pt idx="22">
                  <c:v>0.632977922563045</c:v>
                </c:pt>
                <c:pt idx="23">
                  <c:v>0.6140535892246606</c:v>
                </c:pt>
                <c:pt idx="24">
                  <c:v>0.5933023358973584</c:v>
                </c:pt>
                <c:pt idx="25">
                  <c:v>0.5711877863733561</c:v>
                </c:pt>
                <c:pt idx="26">
                  <c:v>0.5480289257207069</c:v>
                </c:pt>
                <c:pt idx="27">
                  <c:v>0.5240524238435199</c:v>
                </c:pt>
                <c:pt idx="28">
                  <c:v>1.6</c:v>
                </c:pt>
                <c:pt idx="29">
                  <c:v>3.5035099443755158</c:v>
                </c:pt>
                <c:pt idx="30">
                  <c:v>3.5035099443755158</c:v>
                </c:pt>
              </c:numCache>
            </c:numRef>
          </c:xVal>
          <c:yVal>
            <c:numRef>
              <c:f>Sheet2!$H$33:$H$63</c:f>
              <c:numCache>
                <c:ptCount val="31"/>
                <c:pt idx="15">
                  <c:v>0</c:v>
                </c:pt>
                <c:pt idx="16">
                  <c:v>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Sheet2!$I$32</c:f>
              <c:strCache>
                <c:ptCount val="1"/>
                <c:pt idx="0">
                  <c:v>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Sheet2!$B$33:$B$63</c:f>
              <c:numCache>
                <c:ptCount val="31"/>
                <c:pt idx="0">
                  <c:v>0</c:v>
                </c:pt>
                <c:pt idx="1">
                  <c:v>0.44999999999999996</c:v>
                </c:pt>
                <c:pt idx="2">
                  <c:v>0.85</c:v>
                </c:pt>
                <c:pt idx="3">
                  <c:v>1.6</c:v>
                </c:pt>
                <c:pt idx="4">
                  <c:v>0</c:v>
                </c:pt>
                <c:pt idx="5">
                  <c:v>0.85</c:v>
                </c:pt>
                <c:pt idx="6">
                  <c:v>1.6</c:v>
                </c:pt>
                <c:pt idx="7">
                  <c:v>5.103509944375515</c:v>
                </c:pt>
                <c:pt idx="8">
                  <c:v>1.6</c:v>
                </c:pt>
                <c:pt idx="9">
                  <c:v>1.6</c:v>
                </c:pt>
                <c:pt idx="10">
                  <c:v>5.103509944375515</c:v>
                </c:pt>
                <c:pt idx="11">
                  <c:v>0.8</c:v>
                </c:pt>
                <c:pt idx="12">
                  <c:v>0.6499999999999999</c:v>
                </c:pt>
                <c:pt idx="13">
                  <c:v>0.5333333333333334</c:v>
                </c:pt>
                <c:pt idx="14">
                  <c:v>0.5833333333333333</c:v>
                </c:pt>
                <c:pt idx="15">
                  <c:v>1.0666666666666667</c:v>
                </c:pt>
                <c:pt idx="16">
                  <c:v>0.7166666666666666</c:v>
                </c:pt>
                <c:pt idx="17">
                  <c:v>0.6499999999999999</c:v>
                </c:pt>
                <c:pt idx="18">
                  <c:v>0.667671706933509</c:v>
                </c:pt>
                <c:pt idx="19">
                  <c:v>0.6693748249704126</c:v>
                </c:pt>
                <c:pt idx="20">
                  <c:v>0.6621320459628839</c:v>
                </c:pt>
                <c:pt idx="21">
                  <c:v>0.6493746119274608</c:v>
                </c:pt>
                <c:pt idx="22">
                  <c:v>0.632977922563045</c:v>
                </c:pt>
                <c:pt idx="23">
                  <c:v>0.6140535892246606</c:v>
                </c:pt>
                <c:pt idx="24">
                  <c:v>0.5933023358973584</c:v>
                </c:pt>
                <c:pt idx="25">
                  <c:v>0.5711877863733561</c:v>
                </c:pt>
                <c:pt idx="26">
                  <c:v>0.5480289257207069</c:v>
                </c:pt>
                <c:pt idx="27">
                  <c:v>0.5240524238435199</c:v>
                </c:pt>
                <c:pt idx="28">
                  <c:v>1.6</c:v>
                </c:pt>
                <c:pt idx="29">
                  <c:v>3.5035099443755158</c:v>
                </c:pt>
                <c:pt idx="30">
                  <c:v>3.5035099443755158</c:v>
                </c:pt>
              </c:numCache>
            </c:numRef>
          </c:xVal>
          <c:yVal>
            <c:numRef>
              <c:f>Sheet2!$I$33:$I$63</c:f>
              <c:numCache>
                <c:ptCount val="31"/>
                <c:pt idx="17">
                  <c:v>3</c:v>
                </c:pt>
                <c:pt idx="18">
                  <c:v>2.7</c:v>
                </c:pt>
                <c:pt idx="19">
                  <c:v>2.4000000000000004</c:v>
                </c:pt>
                <c:pt idx="20">
                  <c:v>2.1000000000000005</c:v>
                </c:pt>
                <c:pt idx="21">
                  <c:v>1.8000000000000005</c:v>
                </c:pt>
                <c:pt idx="22">
                  <c:v>1.5000000000000004</c:v>
                </c:pt>
                <c:pt idx="23">
                  <c:v>1.2000000000000004</c:v>
                </c:pt>
                <c:pt idx="24">
                  <c:v>0.9000000000000004</c:v>
                </c:pt>
                <c:pt idx="25">
                  <c:v>0.6000000000000003</c:v>
                </c:pt>
                <c:pt idx="26">
                  <c:v>0.3000000000000003</c:v>
                </c:pt>
                <c:pt idx="27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Sheet2!$J$32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Sheet2!$B$33:$B$63</c:f>
              <c:numCache>
                <c:ptCount val="31"/>
                <c:pt idx="0">
                  <c:v>0</c:v>
                </c:pt>
                <c:pt idx="1">
                  <c:v>0.44999999999999996</c:v>
                </c:pt>
                <c:pt idx="2">
                  <c:v>0.85</c:v>
                </c:pt>
                <c:pt idx="3">
                  <c:v>1.6</c:v>
                </c:pt>
                <c:pt idx="4">
                  <c:v>0</c:v>
                </c:pt>
                <c:pt idx="5">
                  <c:v>0.85</c:v>
                </c:pt>
                <c:pt idx="6">
                  <c:v>1.6</c:v>
                </c:pt>
                <c:pt idx="7">
                  <c:v>5.103509944375515</c:v>
                </c:pt>
                <c:pt idx="8">
                  <c:v>1.6</c:v>
                </c:pt>
                <c:pt idx="9">
                  <c:v>1.6</c:v>
                </c:pt>
                <c:pt idx="10">
                  <c:v>5.103509944375515</c:v>
                </c:pt>
                <c:pt idx="11">
                  <c:v>0.8</c:v>
                </c:pt>
                <c:pt idx="12">
                  <c:v>0.6499999999999999</c:v>
                </c:pt>
                <c:pt idx="13">
                  <c:v>0.5333333333333334</c:v>
                </c:pt>
                <c:pt idx="14">
                  <c:v>0.5833333333333333</c:v>
                </c:pt>
                <c:pt idx="15">
                  <c:v>1.0666666666666667</c:v>
                </c:pt>
                <c:pt idx="16">
                  <c:v>0.7166666666666666</c:v>
                </c:pt>
                <c:pt idx="17">
                  <c:v>0.6499999999999999</c:v>
                </c:pt>
                <c:pt idx="18">
                  <c:v>0.667671706933509</c:v>
                </c:pt>
                <c:pt idx="19">
                  <c:v>0.6693748249704126</c:v>
                </c:pt>
                <c:pt idx="20">
                  <c:v>0.6621320459628839</c:v>
                </c:pt>
                <c:pt idx="21">
                  <c:v>0.6493746119274608</c:v>
                </c:pt>
                <c:pt idx="22">
                  <c:v>0.632977922563045</c:v>
                </c:pt>
                <c:pt idx="23">
                  <c:v>0.6140535892246606</c:v>
                </c:pt>
                <c:pt idx="24">
                  <c:v>0.5933023358973584</c:v>
                </c:pt>
                <c:pt idx="25">
                  <c:v>0.5711877863733561</c:v>
                </c:pt>
                <c:pt idx="26">
                  <c:v>0.5480289257207069</c:v>
                </c:pt>
                <c:pt idx="27">
                  <c:v>0.5240524238435199</c:v>
                </c:pt>
                <c:pt idx="28">
                  <c:v>1.6</c:v>
                </c:pt>
                <c:pt idx="29">
                  <c:v>3.5035099443755158</c:v>
                </c:pt>
                <c:pt idx="30">
                  <c:v>3.5035099443755158</c:v>
                </c:pt>
              </c:numCache>
            </c:numRef>
          </c:xVal>
          <c:yVal>
            <c:numRef>
              <c:f>Sheet2!$J$33:$J$63</c:f>
              <c:numCache>
                <c:ptCount val="31"/>
                <c:pt idx="28">
                  <c:v>0</c:v>
                </c:pt>
                <c:pt idx="29">
                  <c:v>3.5</c:v>
                </c:pt>
                <c:pt idx="30">
                  <c:v>3.5</c:v>
                </c:pt>
              </c:numCache>
            </c:numRef>
          </c:yVal>
          <c:smooth val="0"/>
        </c:ser>
        <c:axId val="2387609"/>
        <c:axId val="21488482"/>
      </c:scatterChart>
      <c:valAx>
        <c:axId val="2387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1488482"/>
        <c:crosses val="autoZero"/>
        <c:crossBetween val="midCat"/>
        <c:dispUnits/>
      </c:valAx>
      <c:valAx>
        <c:axId val="214884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3876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Sheet2!$C$32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Sheet2!$B$33:$B$63</c:f>
              <c:numCache/>
            </c:numRef>
          </c:xVal>
          <c:yVal>
            <c:numRef>
              <c:f>Sheet2!$C$33:$C$63</c:f>
              <c:numCache/>
            </c:numRef>
          </c:yVal>
          <c:smooth val="0"/>
        </c:ser>
        <c:ser>
          <c:idx val="1"/>
          <c:order val="1"/>
          <c:tx>
            <c:strRef>
              <c:f>Sheet2!$D$32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Sheet2!$B$33:$B$63</c:f>
              <c:numCache/>
            </c:numRef>
          </c:xVal>
          <c:yVal>
            <c:numRef>
              <c:f>Sheet2!$D$33:$D$63</c:f>
              <c:numCache/>
            </c:numRef>
          </c:yVal>
          <c:smooth val="0"/>
        </c:ser>
        <c:ser>
          <c:idx val="2"/>
          <c:order val="2"/>
          <c:tx>
            <c:strRef>
              <c:f>Sheet2!$E$32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Sheet2!$B$33:$B$63</c:f>
              <c:numCache/>
            </c:numRef>
          </c:xVal>
          <c:yVal>
            <c:numRef>
              <c:f>Sheet2!$E$33:$E$63</c:f>
              <c:numCache/>
            </c:numRef>
          </c:yVal>
          <c:smooth val="0"/>
        </c:ser>
        <c:ser>
          <c:idx val="3"/>
          <c:order val="3"/>
          <c:tx>
            <c:strRef>
              <c:f>Sheet2!$F$32</c:f>
              <c:strCache>
                <c:ptCount val="1"/>
                <c:pt idx="0">
                  <c:v>中心線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Sheet2!$B$33:$B$63</c:f>
              <c:numCache/>
            </c:numRef>
          </c:xVal>
          <c:yVal>
            <c:numRef>
              <c:f>Sheet2!$F$33:$F$63</c:f>
              <c:numCache/>
            </c:numRef>
          </c:yVal>
          <c:smooth val="0"/>
        </c:ser>
        <c:ser>
          <c:idx val="4"/>
          <c:order val="4"/>
          <c:tx>
            <c:strRef>
              <c:f>Sheet2!$G$32</c:f>
              <c:strCache>
                <c:ptCount val="1"/>
                <c:pt idx="0">
                  <c:v>中心-B/6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Sheet2!$B$33:$B$63</c:f>
              <c:numCache/>
            </c:numRef>
          </c:xVal>
          <c:yVal>
            <c:numRef>
              <c:f>Sheet2!$G$33:$G$63</c:f>
              <c:numCache/>
            </c:numRef>
          </c:yVal>
          <c:smooth val="0"/>
        </c:ser>
        <c:ser>
          <c:idx val="5"/>
          <c:order val="5"/>
          <c:tx>
            <c:strRef>
              <c:f>Sheet2!$H$32</c:f>
              <c:strCache>
                <c:ptCount val="1"/>
                <c:pt idx="0">
                  <c:v>中心+B/6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Sheet2!$B$33:$B$63</c:f>
              <c:numCache/>
            </c:numRef>
          </c:xVal>
          <c:yVal>
            <c:numRef>
              <c:f>Sheet2!$H$33:$H$63</c:f>
              <c:numCache/>
            </c:numRef>
          </c:yVal>
          <c:smooth val="0"/>
        </c:ser>
        <c:ser>
          <c:idx val="6"/>
          <c:order val="6"/>
          <c:tx>
            <c:strRef>
              <c:f>Sheet2!$I$32</c:f>
              <c:strCache>
                <c:ptCount val="1"/>
                <c:pt idx="0">
                  <c:v>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Sheet2!$B$33:$B$63</c:f>
              <c:numCache/>
            </c:numRef>
          </c:xVal>
          <c:yVal>
            <c:numRef>
              <c:f>Sheet2!$I$33:$I$63</c:f>
              <c:numCache/>
            </c:numRef>
          </c:yVal>
          <c:smooth val="0"/>
        </c:ser>
        <c:ser>
          <c:idx val="7"/>
          <c:order val="7"/>
          <c:tx>
            <c:strRef>
              <c:f>Sheet2!$J$32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Sheet2!$B$33:$B$63</c:f>
              <c:numCache/>
            </c:numRef>
          </c:xVal>
          <c:yVal>
            <c:numRef>
              <c:f>Sheet2!$J$33:$J$63</c:f>
              <c:numCache/>
            </c:numRef>
          </c:yVal>
          <c:smooth val="0"/>
        </c:ser>
        <c:axId val="59178611"/>
        <c:axId val="62845452"/>
      </c:scatterChart>
      <c:valAx>
        <c:axId val="59178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845452"/>
        <c:crosses val="autoZero"/>
        <c:crossBetween val="midCat"/>
        <c:dispUnits/>
      </c:valAx>
      <c:valAx>
        <c:axId val="628454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1786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1</xdr:row>
      <xdr:rowOff>9525</xdr:rowOff>
    </xdr:from>
    <xdr:to>
      <xdr:col>13</xdr:col>
      <xdr:colOff>590550</xdr:colOff>
      <xdr:row>20</xdr:row>
      <xdr:rowOff>152400</xdr:rowOff>
    </xdr:to>
    <xdr:graphicFrame>
      <xdr:nvGraphicFramePr>
        <xdr:cNvPr id="1" name="Chart 2"/>
        <xdr:cNvGraphicFramePr/>
      </xdr:nvGraphicFramePr>
      <xdr:xfrm>
        <a:off x="5895975" y="200025"/>
        <a:ext cx="60198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800100</xdr:colOff>
      <xdr:row>33</xdr:row>
      <xdr:rowOff>85725</xdr:rowOff>
    </xdr:from>
    <xdr:to>
      <xdr:col>15</xdr:col>
      <xdr:colOff>209550</xdr:colOff>
      <xdr:row>52</xdr:row>
      <xdr:rowOff>66675</xdr:rowOff>
    </xdr:to>
    <xdr:graphicFrame>
      <xdr:nvGraphicFramePr>
        <xdr:cNvPr id="1" name="Chart 8"/>
        <xdr:cNvGraphicFramePr/>
      </xdr:nvGraphicFramePr>
      <xdr:xfrm>
        <a:off x="6667500" y="5743575"/>
        <a:ext cx="61150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S37"/>
  <sheetViews>
    <sheetView showGridLines="0" showRowColHeaders="0" tabSelected="1" workbookViewId="0" topLeftCell="A13">
      <selection activeCell="M46" sqref="M46"/>
    </sheetView>
  </sheetViews>
  <sheetFormatPr defaultColWidth="8.796875" defaultRowHeight="14.25"/>
  <cols>
    <col min="1" max="1" width="8.8984375" style="5" customWidth="1"/>
    <col min="2" max="2" width="11" style="5" customWidth="1"/>
    <col min="3" max="16384" width="9" style="5" customWidth="1"/>
  </cols>
  <sheetData>
    <row r="1" ht="15">
      <c r="B1" s="4" t="s">
        <v>116</v>
      </c>
    </row>
    <row r="3" ht="15">
      <c r="B3" s="6" t="s">
        <v>67</v>
      </c>
    </row>
    <row r="4" spans="2:6" ht="15">
      <c r="B4" s="7" t="s">
        <v>0</v>
      </c>
      <c r="C4" s="8" t="s">
        <v>1</v>
      </c>
      <c r="D4" s="9" t="s">
        <v>17</v>
      </c>
      <c r="E4" s="2">
        <v>3</v>
      </c>
      <c r="F4" s="5" t="s">
        <v>9</v>
      </c>
    </row>
    <row r="5" spans="2:6" ht="16.5">
      <c r="B5" s="10"/>
      <c r="C5" s="8" t="s">
        <v>2</v>
      </c>
      <c r="D5" s="9" t="s">
        <v>85</v>
      </c>
      <c r="E5" s="2">
        <v>0.4</v>
      </c>
      <c r="F5" s="5" t="s">
        <v>9</v>
      </c>
    </row>
    <row r="6" spans="2:5" ht="16.5">
      <c r="B6" s="10"/>
      <c r="C6" s="8" t="s">
        <v>86</v>
      </c>
      <c r="D6" s="11" t="s">
        <v>6</v>
      </c>
      <c r="E6" s="2">
        <v>0.15</v>
      </c>
    </row>
    <row r="7" spans="2:5" ht="16.5">
      <c r="B7" s="10"/>
      <c r="C7" s="8" t="s">
        <v>87</v>
      </c>
      <c r="D7" s="11" t="s">
        <v>7</v>
      </c>
      <c r="E7" s="2">
        <v>0.25</v>
      </c>
    </row>
    <row r="8" spans="2:6" ht="16.5">
      <c r="B8" s="7" t="s">
        <v>88</v>
      </c>
      <c r="C8" s="8" t="s">
        <v>3</v>
      </c>
      <c r="D8" s="9" t="s">
        <v>89</v>
      </c>
      <c r="E8" s="2">
        <v>0.5</v>
      </c>
      <c r="F8" s="5" t="s">
        <v>9</v>
      </c>
    </row>
    <row r="9" spans="2:19" ht="15">
      <c r="B9" s="10"/>
      <c r="C9" s="8" t="s">
        <v>90</v>
      </c>
      <c r="D9" s="11" t="s">
        <v>91</v>
      </c>
      <c r="E9" s="2">
        <v>1.5</v>
      </c>
      <c r="S9" s="5">
        <f>Sheet2!AJ3</f>
        <v>90</v>
      </c>
    </row>
    <row r="10" spans="2:6" ht="18">
      <c r="B10" s="10"/>
      <c r="C10" s="8" t="s">
        <v>4</v>
      </c>
      <c r="D10" s="12" t="s">
        <v>114</v>
      </c>
      <c r="E10" s="2">
        <v>20</v>
      </c>
      <c r="F10" s="5" t="s">
        <v>92</v>
      </c>
    </row>
    <row r="11" spans="2:6" ht="15">
      <c r="B11" s="10"/>
      <c r="C11" s="13" t="s">
        <v>5</v>
      </c>
      <c r="D11" s="12" t="s">
        <v>115</v>
      </c>
      <c r="E11" s="2">
        <v>35</v>
      </c>
      <c r="F11" s="6" t="s">
        <v>74</v>
      </c>
    </row>
    <row r="12" spans="2:6" ht="18">
      <c r="B12" s="10"/>
      <c r="C12" s="6" t="s">
        <v>61</v>
      </c>
      <c r="D12" s="14" t="s">
        <v>119</v>
      </c>
      <c r="E12" s="2">
        <v>0</v>
      </c>
      <c r="F12" s="5" t="s">
        <v>93</v>
      </c>
    </row>
    <row r="13" spans="2:6" ht="18">
      <c r="B13" s="7" t="s">
        <v>83</v>
      </c>
      <c r="C13" s="15" t="s">
        <v>94</v>
      </c>
      <c r="D13" s="9" t="s">
        <v>95</v>
      </c>
      <c r="E13" s="2">
        <v>10</v>
      </c>
      <c r="F13" s="5" t="s">
        <v>93</v>
      </c>
    </row>
    <row r="14" spans="2:5" ht="16.5">
      <c r="B14" s="10"/>
      <c r="C14" s="13" t="s">
        <v>96</v>
      </c>
      <c r="D14" s="9" t="s">
        <v>118</v>
      </c>
      <c r="E14" s="2">
        <v>0</v>
      </c>
    </row>
    <row r="15" spans="2:6" ht="18">
      <c r="B15" s="16" t="s">
        <v>66</v>
      </c>
      <c r="C15" s="8" t="s">
        <v>4</v>
      </c>
      <c r="D15" s="12" t="s">
        <v>117</v>
      </c>
      <c r="E15" s="3">
        <v>23</v>
      </c>
      <c r="F15" s="5" t="s">
        <v>92</v>
      </c>
    </row>
    <row r="17" ht="15">
      <c r="B17" s="6" t="s">
        <v>97</v>
      </c>
    </row>
    <row r="19" spans="3:6" ht="16.5">
      <c r="C19" s="6" t="s">
        <v>72</v>
      </c>
      <c r="E19" s="14" t="s">
        <v>111</v>
      </c>
      <c r="F19" s="17">
        <f>Sheet2!F26</f>
        <v>0.5642323322341519</v>
      </c>
    </row>
    <row r="20" spans="3:7" ht="16.5">
      <c r="C20" s="6" t="s">
        <v>68</v>
      </c>
      <c r="E20" s="18" t="s">
        <v>112</v>
      </c>
      <c r="F20" s="19">
        <f>Sheet2!AA53*180/PI()</f>
        <v>61.46</v>
      </c>
      <c r="G20" s="6" t="s">
        <v>74</v>
      </c>
    </row>
    <row r="21" spans="3:7" ht="16.5">
      <c r="C21" s="6" t="s">
        <v>73</v>
      </c>
      <c r="E21" s="14" t="s">
        <v>113</v>
      </c>
      <c r="F21" s="20">
        <f>zc</f>
        <v>0</v>
      </c>
      <c r="G21" s="5" t="s">
        <v>9</v>
      </c>
    </row>
    <row r="24" spans="2:15" ht="15">
      <c r="B24" s="32" t="s">
        <v>75</v>
      </c>
      <c r="C24" s="32" t="s">
        <v>76</v>
      </c>
      <c r="D24" s="34" t="s">
        <v>66</v>
      </c>
      <c r="E24" s="35"/>
      <c r="F24" s="35"/>
      <c r="G24" s="35"/>
      <c r="H24" s="34" t="s">
        <v>69</v>
      </c>
      <c r="I24" s="35"/>
      <c r="J24" s="35"/>
      <c r="K24" s="35"/>
      <c r="L24" s="34" t="s">
        <v>83</v>
      </c>
      <c r="M24" s="38"/>
      <c r="N24" s="38"/>
      <c r="O24" s="36" t="s">
        <v>120</v>
      </c>
    </row>
    <row r="25" spans="2:15" ht="15">
      <c r="B25" s="33"/>
      <c r="C25" s="33"/>
      <c r="D25" s="21" t="s">
        <v>77</v>
      </c>
      <c r="E25" s="21" t="s">
        <v>78</v>
      </c>
      <c r="F25" s="34" t="s">
        <v>79</v>
      </c>
      <c r="G25" s="35"/>
      <c r="H25" s="22" t="s">
        <v>71</v>
      </c>
      <c r="I25" s="22" t="s">
        <v>70</v>
      </c>
      <c r="J25" s="34" t="s">
        <v>80</v>
      </c>
      <c r="K25" s="35"/>
      <c r="L25" s="22" t="s">
        <v>81</v>
      </c>
      <c r="M25" s="22" t="s">
        <v>82</v>
      </c>
      <c r="N25" s="22" t="s">
        <v>84</v>
      </c>
      <c r="O25" s="37"/>
    </row>
    <row r="26" spans="2:15" s="26" customFormat="1" ht="16.5">
      <c r="B26" s="23" t="s">
        <v>98</v>
      </c>
      <c r="C26" s="23" t="s">
        <v>99</v>
      </c>
      <c r="D26" s="23" t="s">
        <v>100</v>
      </c>
      <c r="E26" s="23" t="s">
        <v>101</v>
      </c>
      <c r="F26" s="24" t="s">
        <v>102</v>
      </c>
      <c r="G26" s="24" t="s">
        <v>103</v>
      </c>
      <c r="H26" s="23" t="s">
        <v>104</v>
      </c>
      <c r="I26" s="23" t="s">
        <v>105</v>
      </c>
      <c r="J26" s="24" t="s">
        <v>106</v>
      </c>
      <c r="K26" s="24" t="s">
        <v>107</v>
      </c>
      <c r="L26" s="25" t="s">
        <v>108</v>
      </c>
      <c r="M26" s="25" t="s">
        <v>109</v>
      </c>
      <c r="N26" s="23" t="s">
        <v>110</v>
      </c>
      <c r="O26" s="23" t="s">
        <v>121</v>
      </c>
    </row>
    <row r="27" spans="2:15" ht="15">
      <c r="B27" s="27">
        <f>Sheet2!E16</f>
        <v>0</v>
      </c>
      <c r="C27" s="27">
        <f>Sheet2!J16</f>
        <v>0.4</v>
      </c>
      <c r="D27" s="27">
        <f>Sheet2!K16</f>
        <v>0</v>
      </c>
      <c r="E27" s="27">
        <f>Sheet2!L16</f>
        <v>0</v>
      </c>
      <c r="F27" s="27">
        <f>Sheet2!M16</f>
        <v>0.2</v>
      </c>
      <c r="G27" s="27">
        <f>Sheet2!N16</f>
        <v>0</v>
      </c>
      <c r="H27" s="27">
        <f>Sheet2!I16</f>
        <v>0</v>
      </c>
      <c r="I27" s="27">
        <f>Sheet2!H16</f>
        <v>0</v>
      </c>
      <c r="J27" s="27">
        <f>Sheet2!O16</f>
        <v>0.4</v>
      </c>
      <c r="K27" s="27">
        <f>Sheet2!P16</f>
        <v>0</v>
      </c>
      <c r="L27" s="27">
        <f>Sheet2!Q16</f>
        <v>0</v>
      </c>
      <c r="M27" s="27">
        <f>Sheet2!R16</f>
        <v>0</v>
      </c>
      <c r="N27" s="27">
        <f>Sheet2!T16</f>
        <v>0</v>
      </c>
      <c r="O27" s="28" t="str">
        <f>"±"&amp;ROUND(C27/6,3)</f>
        <v>±0.067</v>
      </c>
    </row>
    <row r="28" spans="2:15" ht="15">
      <c r="B28" s="29">
        <f>Sheet2!E17</f>
        <v>0.3</v>
      </c>
      <c r="C28" s="29">
        <f>Sheet2!J17</f>
        <v>0.52</v>
      </c>
      <c r="D28" s="29">
        <f>Sheet2!K17</f>
        <v>3.1740000000000004</v>
      </c>
      <c r="E28" s="29">
        <f>Sheet2!L17</f>
        <v>0</v>
      </c>
      <c r="F28" s="29">
        <f>Sheet2!M17</f>
        <v>0.25282608695652176</v>
      </c>
      <c r="G28" s="29">
        <f>Sheet2!N17</f>
        <v>0.14347826086956522</v>
      </c>
      <c r="H28" s="29">
        <f>Sheet2!I17</f>
        <v>0.30821672929044963</v>
      </c>
      <c r="I28" s="29">
        <f>Sheet2!H17</f>
        <v>0.40357468803629626</v>
      </c>
      <c r="J28" s="29">
        <f>Sheet2!O17</f>
        <v>0.495</v>
      </c>
      <c r="K28" s="29">
        <f>Sheet2!P17</f>
        <v>0.09999999999999999</v>
      </c>
      <c r="L28" s="29">
        <f>Sheet2!Q17</f>
        <v>3.48221672929045</v>
      </c>
      <c r="M28" s="29">
        <f>Sheet2!R17</f>
        <v>0.40357468803629626</v>
      </c>
      <c r="N28" s="29">
        <f>Sheet2!T17</f>
        <v>-0.0026717069335089327</v>
      </c>
      <c r="O28" s="28" t="str">
        <f aca="true" t="shared" si="0" ref="O28:O37">"±"&amp;ROUND(C28/6,3)</f>
        <v>±0.087</v>
      </c>
    </row>
    <row r="29" spans="2:15" ht="15">
      <c r="B29" s="29">
        <f>Sheet2!E18</f>
        <v>0.6</v>
      </c>
      <c r="C29" s="29">
        <f>Sheet2!J18</f>
        <v>0.64</v>
      </c>
      <c r="D29" s="29">
        <f>Sheet2!K18</f>
        <v>7.176</v>
      </c>
      <c r="E29" s="29">
        <f>Sheet2!L18</f>
        <v>0</v>
      </c>
      <c r="F29" s="29">
        <f>Sheet2!M18</f>
        <v>0.30615384615384617</v>
      </c>
      <c r="G29" s="29">
        <f>Sheet2!N18</f>
        <v>0.2769230769230769</v>
      </c>
      <c r="H29" s="29">
        <f>Sheet2!I18</f>
        <v>1.2328669171617985</v>
      </c>
      <c r="I29" s="29">
        <f>Sheet2!H18</f>
        <v>1.614298752145185</v>
      </c>
      <c r="J29" s="29">
        <f>Sheet2!O18</f>
        <v>0.59</v>
      </c>
      <c r="K29" s="29">
        <f>Sheet2!P18</f>
        <v>0.19999999999999998</v>
      </c>
      <c r="L29" s="29">
        <f>Sheet2!Q18</f>
        <v>8.408866917161799</v>
      </c>
      <c r="M29" s="29">
        <f>Sheet2!R18</f>
        <v>1.614298752145185</v>
      </c>
      <c r="N29" s="29">
        <f>Sheet2!T18</f>
        <v>0.01062517502958743</v>
      </c>
      <c r="O29" s="28" t="str">
        <f t="shared" si="0"/>
        <v>±0.107</v>
      </c>
    </row>
    <row r="30" spans="2:15" ht="15">
      <c r="B30" s="29">
        <f>Sheet2!E19</f>
        <v>0.8999999999999999</v>
      </c>
      <c r="C30" s="29">
        <f>Sheet2!J19</f>
        <v>0.76</v>
      </c>
      <c r="D30" s="29">
        <f>Sheet2!K19</f>
        <v>12.006</v>
      </c>
      <c r="E30" s="29">
        <f>Sheet2!L19</f>
        <v>0</v>
      </c>
      <c r="F30" s="29">
        <f>Sheet2!M19</f>
        <v>0.3598275862068966</v>
      </c>
      <c r="G30" s="29">
        <f>Sheet2!N19</f>
        <v>0.4034482758620689</v>
      </c>
      <c r="H30" s="29">
        <f>Sheet2!I19</f>
        <v>2.773950563614046</v>
      </c>
      <c r="I30" s="29">
        <f>Sheet2!H19</f>
        <v>3.6321721923266654</v>
      </c>
      <c r="J30" s="29">
        <f>Sheet2!O19</f>
        <v>0.685</v>
      </c>
      <c r="K30" s="29">
        <f>Sheet2!P19</f>
        <v>0.3</v>
      </c>
      <c r="L30" s="29">
        <f>Sheet2!Q19</f>
        <v>14.779950563614046</v>
      </c>
      <c r="M30" s="29">
        <f>Sheet2!R19</f>
        <v>3.6321721923266654</v>
      </c>
      <c r="N30" s="29">
        <f>Sheet2!T19</f>
        <v>0.03286795403711612</v>
      </c>
      <c r="O30" s="28" t="str">
        <f t="shared" si="0"/>
        <v>±0.127</v>
      </c>
    </row>
    <row r="31" spans="2:15" ht="15">
      <c r="B31" s="29">
        <f>Sheet2!E20</f>
        <v>1.2</v>
      </c>
      <c r="C31" s="29">
        <f>Sheet2!J20</f>
        <v>0.88</v>
      </c>
      <c r="D31" s="29">
        <f>Sheet2!K20</f>
        <v>17.664</v>
      </c>
      <c r="E31" s="29">
        <f>Sheet2!L20</f>
        <v>0</v>
      </c>
      <c r="F31" s="29">
        <f>Sheet2!M20</f>
        <v>0.41375</v>
      </c>
      <c r="G31" s="29">
        <f>Sheet2!N20</f>
        <v>0.525</v>
      </c>
      <c r="H31" s="29">
        <f>Sheet2!I20</f>
        <v>4.931467668647194</v>
      </c>
      <c r="I31" s="29">
        <f>Sheet2!H20</f>
        <v>6.45719500858074</v>
      </c>
      <c r="J31" s="29">
        <f>Sheet2!O20</f>
        <v>0.78</v>
      </c>
      <c r="K31" s="29">
        <f>Sheet2!P20</f>
        <v>0.39999999999999997</v>
      </c>
      <c r="L31" s="29">
        <f>Sheet2!Q20</f>
        <v>22.595467668647196</v>
      </c>
      <c r="M31" s="29">
        <f>Sheet2!R20</f>
        <v>6.45719500858074</v>
      </c>
      <c r="N31" s="29">
        <f>Sheet2!T20</f>
        <v>0.0606253880725392</v>
      </c>
      <c r="O31" s="28" t="str">
        <f t="shared" si="0"/>
        <v>±0.147</v>
      </c>
    </row>
    <row r="32" spans="2:15" ht="15">
      <c r="B32" s="29">
        <f>Sheet2!E21</f>
        <v>1.5</v>
      </c>
      <c r="C32" s="29">
        <f>Sheet2!J21</f>
        <v>1</v>
      </c>
      <c r="D32" s="29">
        <f>Sheet2!K21</f>
        <v>24.149999999999995</v>
      </c>
      <c r="E32" s="29">
        <f>Sheet2!L21</f>
        <v>0</v>
      </c>
      <c r="F32" s="29">
        <f>Sheet2!M21</f>
        <v>0.46785714285714286</v>
      </c>
      <c r="G32" s="29">
        <f>Sheet2!N21</f>
        <v>0.6428571428571429</v>
      </c>
      <c r="H32" s="29">
        <f>Sheet2!I21</f>
        <v>7.705418232261241</v>
      </c>
      <c r="I32" s="29">
        <f>Sheet2!H21</f>
        <v>10.089367200907407</v>
      </c>
      <c r="J32" s="29">
        <f>Sheet2!O21</f>
        <v>0.875</v>
      </c>
      <c r="K32" s="29">
        <f>Sheet2!P21</f>
        <v>0.5</v>
      </c>
      <c r="L32" s="29">
        <f>Sheet2!Q21</f>
        <v>31.855418232261236</v>
      </c>
      <c r="M32" s="29">
        <f>Sheet2!R21</f>
        <v>10.089367200907407</v>
      </c>
      <c r="N32" s="29">
        <f>Sheet2!T21</f>
        <v>0.09202207743695512</v>
      </c>
      <c r="O32" s="28" t="str">
        <f t="shared" si="0"/>
        <v>±0.167</v>
      </c>
    </row>
    <row r="33" spans="2:15" ht="15">
      <c r="B33" s="29">
        <f>Sheet2!E22</f>
        <v>1.8</v>
      </c>
      <c r="C33" s="29">
        <f>Sheet2!J22</f>
        <v>1.12</v>
      </c>
      <c r="D33" s="29">
        <f>Sheet2!K22</f>
        <v>31.464000000000002</v>
      </c>
      <c r="E33" s="29">
        <f>Sheet2!L22</f>
        <v>0</v>
      </c>
      <c r="F33" s="29">
        <f>Sheet2!M22</f>
        <v>0.5221052631578947</v>
      </c>
      <c r="G33" s="29">
        <f>Sheet2!N22</f>
        <v>0.7578947368421053</v>
      </c>
      <c r="H33" s="29">
        <f>Sheet2!I22</f>
        <v>11.09580225445619</v>
      </c>
      <c r="I33" s="29">
        <f>Sheet2!H22</f>
        <v>14.52868876930667</v>
      </c>
      <c r="J33" s="29">
        <f>Sheet2!O22</f>
        <v>0.9700000000000001</v>
      </c>
      <c r="K33" s="29">
        <f>Sheet2!P22</f>
        <v>0.6</v>
      </c>
      <c r="L33" s="29">
        <f>Sheet2!Q22</f>
        <v>42.559802254456194</v>
      </c>
      <c r="M33" s="29">
        <f>Sheet2!R22</f>
        <v>14.52868876930667</v>
      </c>
      <c r="N33" s="29">
        <f>Sheet2!T22</f>
        <v>0.12594641077533958</v>
      </c>
      <c r="O33" s="28" t="str">
        <f t="shared" si="0"/>
        <v>±0.187</v>
      </c>
    </row>
    <row r="34" spans="2:15" ht="15">
      <c r="B34" s="29">
        <f>Sheet2!E23</f>
        <v>2.1</v>
      </c>
      <c r="C34" s="29">
        <f>Sheet2!J23</f>
        <v>1.2400000000000002</v>
      </c>
      <c r="D34" s="29">
        <f>Sheet2!K23</f>
        <v>39.606</v>
      </c>
      <c r="E34" s="29">
        <f>Sheet2!L23</f>
        <v>0</v>
      </c>
      <c r="F34" s="29">
        <f>Sheet2!M23</f>
        <v>0.5764634146341464</v>
      </c>
      <c r="G34" s="29">
        <f>Sheet2!N23</f>
        <v>0.8707317073170732</v>
      </c>
      <c r="H34" s="29">
        <f>Sheet2!I23</f>
        <v>15.102619735232032</v>
      </c>
      <c r="I34" s="29">
        <f>Sheet2!H23</f>
        <v>19.775159713778518</v>
      </c>
      <c r="J34" s="29">
        <f>Sheet2!O23</f>
        <v>1.0650000000000002</v>
      </c>
      <c r="K34" s="29">
        <f>Sheet2!P23</f>
        <v>0.7000000000000001</v>
      </c>
      <c r="L34" s="29">
        <f>Sheet2!Q23</f>
        <v>54.708619735232034</v>
      </c>
      <c r="M34" s="29">
        <f>Sheet2!R23</f>
        <v>19.775159713778518</v>
      </c>
      <c r="N34" s="29">
        <f>Sheet2!T23</f>
        <v>0.1616976641026418</v>
      </c>
      <c r="O34" s="28" t="str">
        <f t="shared" si="0"/>
        <v>±0.207</v>
      </c>
    </row>
    <row r="35" spans="2:15" ht="15">
      <c r="B35" s="29">
        <f>Sheet2!E24</f>
        <v>2.4</v>
      </c>
      <c r="C35" s="29">
        <f>Sheet2!J24</f>
        <v>1.3599999999999999</v>
      </c>
      <c r="D35" s="29">
        <f>Sheet2!K24</f>
        <v>48.57599999999999</v>
      </c>
      <c r="E35" s="29">
        <f>Sheet2!L24</f>
        <v>0</v>
      </c>
      <c r="F35" s="29">
        <f>Sheet2!M24</f>
        <v>0.6309090909090909</v>
      </c>
      <c r="G35" s="29">
        <f>Sheet2!N24</f>
        <v>0.9818181818181819</v>
      </c>
      <c r="H35" s="29">
        <f>Sheet2!I24</f>
        <v>19.725870674588776</v>
      </c>
      <c r="I35" s="29">
        <f>Sheet2!H24</f>
        <v>25.82878003432296</v>
      </c>
      <c r="J35" s="29">
        <f>Sheet2!O24</f>
        <v>1.16</v>
      </c>
      <c r="K35" s="29">
        <f>Sheet2!P24</f>
        <v>0.7999999999999999</v>
      </c>
      <c r="L35" s="29">
        <f>Sheet2!Q24</f>
        <v>68.30187067458877</v>
      </c>
      <c r="M35" s="29">
        <f>Sheet2!R24</f>
        <v>25.82878003432296</v>
      </c>
      <c r="N35" s="29">
        <f>Sheet2!T24</f>
        <v>0.19881221362664386</v>
      </c>
      <c r="O35" s="28" t="str">
        <f t="shared" si="0"/>
        <v>±0.227</v>
      </c>
    </row>
    <row r="36" spans="2:15" ht="15">
      <c r="B36" s="29">
        <f>Sheet2!E25</f>
        <v>2.6999999999999997</v>
      </c>
      <c r="C36" s="29">
        <f>Sheet2!J25</f>
        <v>1.48</v>
      </c>
      <c r="D36" s="29">
        <f>Sheet2!K25</f>
        <v>58.373999999999995</v>
      </c>
      <c r="E36" s="29">
        <f>Sheet2!L25</f>
        <v>0</v>
      </c>
      <c r="F36" s="29">
        <f>Sheet2!M25</f>
        <v>0.6854255319148936</v>
      </c>
      <c r="G36" s="29">
        <f>Sheet2!N25</f>
        <v>1.0914893617021277</v>
      </c>
      <c r="H36" s="29">
        <f>Sheet2!I25</f>
        <v>24.965555072526413</v>
      </c>
      <c r="I36" s="29">
        <f>Sheet2!H25</f>
        <v>32.68954973093999</v>
      </c>
      <c r="J36" s="29">
        <f>Sheet2!O25</f>
        <v>1.255</v>
      </c>
      <c r="K36" s="29">
        <f>Sheet2!P25</f>
        <v>0.8999999999999999</v>
      </c>
      <c r="L36" s="29">
        <f>Sheet2!Q25</f>
        <v>83.33955507252641</v>
      </c>
      <c r="M36" s="29">
        <f>Sheet2!R25</f>
        <v>32.68954973093999</v>
      </c>
      <c r="N36" s="29">
        <f>Sheet2!T25</f>
        <v>0.2369710742792931</v>
      </c>
      <c r="O36" s="28" t="str">
        <f t="shared" si="0"/>
        <v>±0.247</v>
      </c>
    </row>
    <row r="37" spans="2:15" ht="15">
      <c r="B37" s="30">
        <f>Sheet2!E26</f>
        <v>2.9999999999999996</v>
      </c>
      <c r="C37" s="30">
        <f>Sheet2!J26</f>
        <v>1.6</v>
      </c>
      <c r="D37" s="30">
        <f>Sheet2!K26</f>
        <v>68.99999999999999</v>
      </c>
      <c r="E37" s="30">
        <f>Sheet2!L26</f>
        <v>0</v>
      </c>
      <c r="F37" s="30">
        <f>Sheet2!M26</f>
        <v>0.74</v>
      </c>
      <c r="G37" s="30">
        <f>Sheet2!N26</f>
        <v>1.2</v>
      </c>
      <c r="H37" s="30">
        <f>Sheet2!I26</f>
        <v>30.821672929044954</v>
      </c>
      <c r="I37" s="30">
        <f>Sheet2!H26</f>
        <v>40.357468803629615</v>
      </c>
      <c r="J37" s="30">
        <f>Sheet2!O26</f>
        <v>1.35</v>
      </c>
      <c r="K37" s="30">
        <f>Sheet2!P26</f>
        <v>0.9999999999999999</v>
      </c>
      <c r="L37" s="30">
        <f>Sheet2!Q26</f>
        <v>99.82167292904494</v>
      </c>
      <c r="M37" s="30">
        <f>Sheet2!R26</f>
        <v>40.357468803629615</v>
      </c>
      <c r="N37" s="30">
        <f>Sheet2!T26</f>
        <v>0.27594757615648013</v>
      </c>
      <c r="O37" s="31" t="str">
        <f t="shared" si="0"/>
        <v>±0.267</v>
      </c>
    </row>
    <row r="43" ht="17.25"/>
    <row r="47" ht="17.25"/>
    <row r="48" ht="17.25"/>
  </sheetData>
  <mergeCells count="8">
    <mergeCell ref="O24:O25"/>
    <mergeCell ref="J25:K25"/>
    <mergeCell ref="H24:K24"/>
    <mergeCell ref="L24:N24"/>
    <mergeCell ref="B24:B25"/>
    <mergeCell ref="C24:C25"/>
    <mergeCell ref="F25:G25"/>
    <mergeCell ref="D24:G24"/>
  </mergeCells>
  <printOptions/>
  <pageMargins left="0.3937007874015748" right="0.3937007874015748" top="0.3937007874015748" bottom="0.3937007874015748" header="0.31496062992125984" footer="0.5118110236220472"/>
  <pageSetup horizontalDpi="600" verticalDpi="600" orientation="landscape" paperSize="9" r:id="rId2"/>
  <headerFooter alignWithMargins="0">
    <oddHeader>&amp;C示力線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AN63"/>
  <sheetViews>
    <sheetView workbookViewId="0" topLeftCell="A7">
      <selection activeCell="C23" sqref="C22:C23"/>
    </sheetView>
  </sheetViews>
  <sheetFormatPr defaultColWidth="8.796875" defaultRowHeight="14.25"/>
  <sheetData>
    <row r="1" spans="3:4" ht="13.5">
      <c r="C1" t="s">
        <v>55</v>
      </c>
      <c r="D1">
        <f>Sheet1!E17</f>
        <v>0</v>
      </c>
    </row>
    <row r="2" ht="13.5">
      <c r="Z2" t="s">
        <v>31</v>
      </c>
    </row>
    <row r="3" spans="3:40" ht="13.5">
      <c r="C3" t="s">
        <v>10</v>
      </c>
      <c r="D3">
        <f>ATAN(1/m)</f>
        <v>0.5880026035475675</v>
      </c>
      <c r="E3" t="s">
        <v>11</v>
      </c>
      <c r="F3">
        <f>D3*180/PI()</f>
        <v>33.690067525979785</v>
      </c>
      <c r="G3" t="s">
        <v>12</v>
      </c>
      <c r="AA3" t="s">
        <v>22</v>
      </c>
      <c r="AB3">
        <f>H</f>
        <v>3</v>
      </c>
      <c r="AD3" t="s">
        <v>63</v>
      </c>
      <c r="AE3">
        <f>2*cu/γ*TAN(PI()/4+φ/2)</f>
        <v>0</v>
      </c>
      <c r="AG3" t="s">
        <v>65</v>
      </c>
      <c r="AH3">
        <f>IF(AN3&lt;0,PI()+AM3,IF(AN3=0,PI()/2,ATAN((TH-zc)/(Ho/TAN(β)-H*TAN(α)))))</f>
        <v>1.5707963267948966</v>
      </c>
      <c r="AI3" t="s">
        <v>11</v>
      </c>
      <c r="AJ3">
        <f>AH3*180/PI()</f>
        <v>90</v>
      </c>
      <c r="AM3" t="e">
        <f>ATAN((TH-zc)/(Ho/TAN(β)-H*TAN(α)))</f>
        <v>#DIV/0!</v>
      </c>
      <c r="AN3">
        <f>(Ho/TAN(β)-H*TAN(α))</f>
        <v>0</v>
      </c>
    </row>
    <row r="4" spans="3:31" ht="13.5">
      <c r="C4" t="s">
        <v>13</v>
      </c>
      <c r="D4">
        <f>ATAN(nr)</f>
        <v>0.24497866312686414</v>
      </c>
      <c r="E4" t="s">
        <v>11</v>
      </c>
      <c r="F4">
        <f>D4*180/PI()</f>
        <v>14.036243467926477</v>
      </c>
      <c r="G4" t="s">
        <v>12</v>
      </c>
      <c r="AA4" t="s">
        <v>28</v>
      </c>
      <c r="AB4">
        <f>φ-θ</f>
        <v>0.6108652381980153</v>
      </c>
      <c r="AC4">
        <f>AB4*180/PI()</f>
        <v>35</v>
      </c>
      <c r="AD4" t="s">
        <v>64</v>
      </c>
      <c r="AE4">
        <f>H+Ho</f>
        <v>3.5</v>
      </c>
    </row>
    <row r="5" spans="3:29" ht="13.5">
      <c r="C5" t="s">
        <v>14</v>
      </c>
      <c r="D5">
        <f>Sheet1!E11*PI()/180</f>
        <v>0.6108652381980153</v>
      </c>
      <c r="E5" t="s">
        <v>11</v>
      </c>
      <c r="F5">
        <f>D5*180/PI()</f>
        <v>35</v>
      </c>
      <c r="G5" t="s">
        <v>12</v>
      </c>
      <c r="AA5" t="s">
        <v>29</v>
      </c>
      <c r="AB5">
        <f>80*PI()/180</f>
        <v>1.3962634015954636</v>
      </c>
      <c r="AC5">
        <f>AB5*180/PI()</f>
        <v>80</v>
      </c>
    </row>
    <row r="6" spans="3:38" ht="13.5">
      <c r="C6" t="s">
        <v>15</v>
      </c>
      <c r="D6">
        <f>IF(kH=0,2/3*D5,D5/2)</f>
        <v>0.40724349213201017</v>
      </c>
      <c r="E6" t="s">
        <v>11</v>
      </c>
      <c r="F6">
        <f>D6*180/PI()</f>
        <v>23.33333333333333</v>
      </c>
      <c r="G6" t="s">
        <v>12</v>
      </c>
      <c r="AA6" t="s">
        <v>27</v>
      </c>
      <c r="AB6">
        <f>(AB5-AB4)/10</f>
        <v>0.07853981633974483</v>
      </c>
      <c r="AC6">
        <f>AB6*180/PI()</f>
        <v>4.5</v>
      </c>
      <c r="AF6" t="s">
        <v>23</v>
      </c>
      <c r="AI6" t="s">
        <v>62</v>
      </c>
      <c r="AL6" t="s">
        <v>24</v>
      </c>
    </row>
    <row r="7" spans="3:39" ht="13.5">
      <c r="C7" t="s">
        <v>16</v>
      </c>
      <c r="D7">
        <f>ATAN(kH)</f>
        <v>0</v>
      </c>
      <c r="F7">
        <f>D7*180/PI()</f>
        <v>0</v>
      </c>
      <c r="G7" t="s">
        <v>12</v>
      </c>
      <c r="Y7" t="s">
        <v>56</v>
      </c>
      <c r="Z7" t="s">
        <v>25</v>
      </c>
      <c r="AA7" t="s">
        <v>21</v>
      </c>
      <c r="AB7" t="s">
        <v>62</v>
      </c>
      <c r="AC7" t="s">
        <v>24</v>
      </c>
      <c r="AE7" t="s">
        <v>58</v>
      </c>
      <c r="AF7" t="s">
        <v>59</v>
      </c>
      <c r="AG7" t="s">
        <v>60</v>
      </c>
      <c r="AH7" t="s">
        <v>58</v>
      </c>
      <c r="AI7" t="s">
        <v>59</v>
      </c>
      <c r="AJ7" t="s">
        <v>60</v>
      </c>
      <c r="AK7" t="s">
        <v>58</v>
      </c>
      <c r="AL7" t="s">
        <v>59</v>
      </c>
      <c r="AM7" t="s">
        <v>60</v>
      </c>
    </row>
    <row r="8" spans="3:39" ht="13.5">
      <c r="C8" t="s">
        <v>8</v>
      </c>
      <c r="D8">
        <f>Ho</f>
        <v>0.5</v>
      </c>
      <c r="E8" t="s">
        <v>9</v>
      </c>
      <c r="Y8">
        <f>AA8*180/PI()</f>
        <v>35</v>
      </c>
      <c r="Z8">
        <f>(AC8*SIN(AA8-φ+θ)/COS(θ)-cu*AB8*COS(φ))/COS(AA8-φ-δ-α)</f>
        <v>0</v>
      </c>
      <c r="AA8">
        <f>AB4</f>
        <v>0.6108652381980153</v>
      </c>
      <c r="AB8">
        <f>IF(Ho=0,AH8,IF(m=0,AH8,IF(AA8&lt;=$AH$3,AJ8,AI8)))</f>
        <v>6.1020637846738435</v>
      </c>
      <c r="AC8">
        <f>IF(Ho=0,AK8,IF(m=0,AK8,IF(AA8&lt;=$AH$3,AM8,AL8)))</f>
        <v>251.18331106188307</v>
      </c>
      <c r="AE8">
        <f>H*(TAN(α)+1/TAN(AA8))-zc/TAN(AA8)</f>
        <v>5.034444020226344</v>
      </c>
      <c r="AF8">
        <v>0</v>
      </c>
      <c r="AG8">
        <f>((TH-zc)/TAN(AA8)+H*TAN(α)-Ho/TAN(β))</f>
        <v>4.998518023597401</v>
      </c>
      <c r="AH8">
        <f>(H-zc)/SIN(AA8)</f>
        <v>5.230340386863294</v>
      </c>
      <c r="AI8">
        <f>1/SIN(AA8-β)*(H*COS(α-β)/COS(α)-zc*COS(β))</f>
        <v>127.38819428654121</v>
      </c>
      <c r="AJ8">
        <f>(TH-zc)/SIN(AA8)</f>
        <v>6.1020637846738435</v>
      </c>
      <c r="AK8">
        <f>γ/2/SIN(AA8)*(H^2*COS(AA8-α)/COS(α)-zc^2*COS(AA8))+q*AE8</f>
        <v>201.37776080905377</v>
      </c>
      <c r="AL8">
        <f>γ/2/SIN(AA8-β)*(H^2*COS(AA8-α)*COS(α-β)/COS(α)^2-zc^2*COS(AA8)*COS(β))</f>
        <v>3678.510491883622</v>
      </c>
      <c r="AM8">
        <f>γ/2*(TH^2*COS(AA8-α)/SIN(AA8)-Ho^2*COS(α-β)/SIN(β)-zc^2*COS(α)/TAN(AA8))/COS(α)+AG8*q</f>
        <v>251.18331106188307</v>
      </c>
    </row>
    <row r="9" spans="3:39" ht="13.5">
      <c r="C9" t="s">
        <v>17</v>
      </c>
      <c r="D9">
        <f>H</f>
        <v>3</v>
      </c>
      <c r="E9" t="s">
        <v>9</v>
      </c>
      <c r="Y9">
        <f aca="true" t="shared" si="0" ref="Y9:Y18">AA9*180/PI()</f>
        <v>39.5</v>
      </c>
      <c r="Z9">
        <f aca="true" t="shared" si="1" ref="Z9:Z18">(AC9*SIN(AA9-φ+θ)/COS(θ)-cu*AB9*COS(φ))/COS(AA9-φ-δ-α)</f>
        <v>20.300033743603127</v>
      </c>
      <c r="AA9">
        <f>AA8+AB$6</f>
        <v>0.6894050545377601</v>
      </c>
      <c r="AB9">
        <f aca="true" t="shared" si="2" ref="AB9:AB18">IF(Ho=0,AH9,IF(m=0,AH9,IF(AA9&lt;=$AH$3,AJ9,AI9)))</f>
        <v>5.502467917344525</v>
      </c>
      <c r="AC9">
        <f aca="true" t="shared" si="3" ref="AC9:AC18">IF(Ho=0,AK9,IF(m=0,AK9,IF(AA9&lt;=$AH$3,AM9,AL9)))</f>
        <v>217.31277814463692</v>
      </c>
      <c r="AE9">
        <f aca="true" t="shared" si="4" ref="AE9:AE17">H*(TAN(α)+1/TAN(AA9))-zc/TAN(AA9)</f>
        <v>4.3892910122787985</v>
      </c>
      <c r="AF9">
        <v>0</v>
      </c>
      <c r="AG9">
        <f aca="true" t="shared" si="5" ref="AG9:AG17">((TH-zc)/TAN(AA9)+H*TAN(α)-Ho/TAN(β))</f>
        <v>4.245839514325265</v>
      </c>
      <c r="AH9">
        <f aca="true" t="shared" si="6" ref="AH9:AH17">(H-zc)/SIN(AA9)</f>
        <v>4.716401072009593</v>
      </c>
      <c r="AI9">
        <f aca="true" t="shared" si="7" ref="AI9:AI17">1/SIN(AA9-β)*(H*COS(α-β)/COS(α)-zc*COS(β))</f>
        <v>28.76826660496185</v>
      </c>
      <c r="AJ9">
        <f aca="true" t="shared" si="8" ref="AJ9:AJ17">(TH-zc)/SIN(AA9)</f>
        <v>5.502467917344525</v>
      </c>
      <c r="AK9">
        <f aca="true" t="shared" si="9" ref="AK9:AK17">γ/2/SIN(AA9)*(H^2*COS(AA9-α)/COS(α)-zc^2*COS(AA9))+q*AE9</f>
        <v>175.57164049115192</v>
      </c>
      <c r="AL9">
        <f aca="true" t="shared" si="10" ref="AL9:AL17">γ/2/SIN(AA9-β)*(H^2*COS(AA9-α)*COS(α-β)/COS(α)^2-zc^2*COS(AA9)*COS(β))</f>
        <v>803.1905606844188</v>
      </c>
      <c r="AM9">
        <f aca="true" t="shared" si="11" ref="AM9:AM17">γ/2*(TH^2*COS(AA9-α)/SIN(AA9)-Ho^2*COS(α-β)/SIN(β)-zc^2*COS(α)/TAN(AA9))/COS(α)+AG9*q</f>
        <v>217.31277814463692</v>
      </c>
    </row>
    <row r="10" spans="3:39" ht="13.5">
      <c r="C10" t="s">
        <v>18</v>
      </c>
      <c r="D10">
        <f>D9/10</f>
        <v>0.3</v>
      </c>
      <c r="E10" t="s">
        <v>9</v>
      </c>
      <c r="Y10">
        <f t="shared" si="0"/>
        <v>43.99999999999999</v>
      </c>
      <c r="Z10">
        <f t="shared" si="1"/>
        <v>33.663155400202484</v>
      </c>
      <c r="AA10">
        <f aca="true" t="shared" si="12" ref="AA10:AA18">AA9+AB$6</f>
        <v>0.767944870877505</v>
      </c>
      <c r="AB10">
        <f t="shared" si="2"/>
        <v>5.038447888690042</v>
      </c>
      <c r="AC10">
        <f t="shared" si="3"/>
        <v>189.34602442201475</v>
      </c>
      <c r="AE10">
        <f t="shared" si="4"/>
        <v>3.8565909413717088</v>
      </c>
      <c r="AF10">
        <v>0</v>
      </c>
      <c r="AG10">
        <f t="shared" si="5"/>
        <v>3.6243560982669933</v>
      </c>
      <c r="AH10">
        <f t="shared" si="6"/>
        <v>4.31866961887718</v>
      </c>
      <c r="AI10">
        <f t="shared" si="7"/>
        <v>16.271614827468614</v>
      </c>
      <c r="AJ10">
        <f t="shared" si="8"/>
        <v>5.038447888690042</v>
      </c>
      <c r="AK10">
        <f t="shared" si="9"/>
        <v>154.26363765486838</v>
      </c>
      <c r="AL10">
        <f t="shared" si="10"/>
        <v>435.91870564125486</v>
      </c>
      <c r="AM10">
        <f t="shared" si="11"/>
        <v>189.34602442201475</v>
      </c>
    </row>
    <row r="11" spans="3:39" ht="13.5">
      <c r="C11" t="s">
        <v>20</v>
      </c>
      <c r="D11">
        <f>Ho/TAN(β)</f>
        <v>0.75</v>
      </c>
      <c r="E11" t="s">
        <v>9</v>
      </c>
      <c r="Y11">
        <f t="shared" si="0"/>
        <v>48.5</v>
      </c>
      <c r="Z11">
        <f t="shared" si="1"/>
        <v>42.272845963631575</v>
      </c>
      <c r="AA11">
        <f t="shared" si="12"/>
        <v>0.8464846872172498</v>
      </c>
      <c r="AB11">
        <f t="shared" si="2"/>
        <v>4.6731734638636</v>
      </c>
      <c r="AC11">
        <f t="shared" si="3"/>
        <v>165.59422916756117</v>
      </c>
      <c r="AE11">
        <f t="shared" si="4"/>
        <v>3.4041757936678314</v>
      </c>
      <c r="AF11">
        <v>0</v>
      </c>
      <c r="AG11">
        <f t="shared" si="5"/>
        <v>3.0965384259458038</v>
      </c>
      <c r="AH11">
        <f t="shared" si="6"/>
        <v>4.005577254740229</v>
      </c>
      <c r="AI11">
        <f t="shared" si="7"/>
        <v>11.392894575357971</v>
      </c>
      <c r="AJ11">
        <f t="shared" si="8"/>
        <v>4.6731734638636</v>
      </c>
      <c r="AK11">
        <f t="shared" si="9"/>
        <v>136.16703174671326</v>
      </c>
      <c r="AL11">
        <f t="shared" si="10"/>
        <v>290.47061234941793</v>
      </c>
      <c r="AM11">
        <f t="shared" si="11"/>
        <v>165.59422916756117</v>
      </c>
    </row>
    <row r="12" spans="3:39" ht="13.5">
      <c r="C12" s="1"/>
      <c r="H12" s="1"/>
      <c r="Y12">
        <f t="shared" si="0"/>
        <v>53</v>
      </c>
      <c r="Z12">
        <f t="shared" si="1"/>
        <v>47.47440867868799</v>
      </c>
      <c r="AA12">
        <f t="shared" si="12"/>
        <v>0.9250245035569946</v>
      </c>
      <c r="AB12">
        <f t="shared" si="2"/>
        <v>4.38247480354679</v>
      </c>
      <c r="AC12">
        <f t="shared" si="3"/>
        <v>144.93476289119008</v>
      </c>
      <c r="AE12">
        <f t="shared" si="4"/>
        <v>3.0106621503083826</v>
      </c>
      <c r="AF12">
        <v>0</v>
      </c>
      <c r="AG12">
        <f t="shared" si="5"/>
        <v>2.63743917535978</v>
      </c>
      <c r="AH12">
        <f t="shared" si="6"/>
        <v>3.756406974468677</v>
      </c>
      <c r="AI12">
        <f t="shared" si="7"/>
        <v>8.80668212644929</v>
      </c>
      <c r="AJ12">
        <f t="shared" si="8"/>
        <v>4.38247480354679</v>
      </c>
      <c r="AK12">
        <f t="shared" si="9"/>
        <v>120.42648601233532</v>
      </c>
      <c r="AL12">
        <f t="shared" si="10"/>
        <v>211.74977627376333</v>
      </c>
      <c r="AM12">
        <f t="shared" si="11"/>
        <v>144.93476289119008</v>
      </c>
    </row>
    <row r="13" spans="25:39" ht="13.5">
      <c r="Y13">
        <f t="shared" si="0"/>
        <v>57.49999999999999</v>
      </c>
      <c r="Z13">
        <f t="shared" si="1"/>
        <v>50.12180197427399</v>
      </c>
      <c r="AA13">
        <f t="shared" si="12"/>
        <v>1.0035643198967394</v>
      </c>
      <c r="AB13">
        <f t="shared" si="2"/>
        <v>4.1499116660195625</v>
      </c>
      <c r="AC13">
        <f t="shared" si="3"/>
        <v>126.58856607718018</v>
      </c>
      <c r="AE13">
        <f t="shared" si="4"/>
        <v>2.6612107824224793</v>
      </c>
      <c r="AF13">
        <v>0</v>
      </c>
      <c r="AG13">
        <f t="shared" si="5"/>
        <v>2.229745912826226</v>
      </c>
      <c r="AH13">
        <f t="shared" si="6"/>
        <v>3.5570671423024818</v>
      </c>
      <c r="AI13">
        <f t="shared" si="7"/>
        <v>7.213643494143929</v>
      </c>
      <c r="AJ13">
        <f t="shared" si="8"/>
        <v>4.1499116660195625</v>
      </c>
      <c r="AK13">
        <f t="shared" si="9"/>
        <v>106.44843129689917</v>
      </c>
      <c r="AL13">
        <f t="shared" si="10"/>
        <v>161.90607384550015</v>
      </c>
      <c r="AM13">
        <f t="shared" si="11"/>
        <v>126.58856607718018</v>
      </c>
    </row>
    <row r="14" spans="25:39" ht="13.5">
      <c r="Y14">
        <f t="shared" si="0"/>
        <v>62</v>
      </c>
      <c r="Z14">
        <f t="shared" si="1"/>
        <v>50.7654811434718</v>
      </c>
      <c r="AA14">
        <f t="shared" si="12"/>
        <v>1.0821041362364843</v>
      </c>
      <c r="AB14">
        <f t="shared" si="2"/>
        <v>3.9639951774116375</v>
      </c>
      <c r="AC14">
        <f t="shared" si="3"/>
        <v>109.99423548668291</v>
      </c>
      <c r="AE14">
        <f t="shared" si="4"/>
        <v>2.3451282949844363</v>
      </c>
      <c r="AF14">
        <v>0</v>
      </c>
      <c r="AG14">
        <f t="shared" si="5"/>
        <v>1.860983010815176</v>
      </c>
      <c r="AH14">
        <f t="shared" si="6"/>
        <v>3.3977101520671176</v>
      </c>
      <c r="AI14">
        <f t="shared" si="7"/>
        <v>6.140711229192408</v>
      </c>
      <c r="AJ14">
        <f t="shared" si="8"/>
        <v>3.9639951774116375</v>
      </c>
      <c r="AK14">
        <f t="shared" si="9"/>
        <v>93.80513179937745</v>
      </c>
      <c r="AL14">
        <f t="shared" si="10"/>
        <v>127.151125408504</v>
      </c>
      <c r="AM14">
        <f t="shared" si="11"/>
        <v>109.99423548668291</v>
      </c>
    </row>
    <row r="15" spans="5:39" ht="13.5">
      <c r="E15" t="s">
        <v>19</v>
      </c>
      <c r="F15" t="s">
        <v>32</v>
      </c>
      <c r="G15" t="s">
        <v>33</v>
      </c>
      <c r="H15" t="s">
        <v>34</v>
      </c>
      <c r="I15" t="s">
        <v>35</v>
      </c>
      <c r="J15" t="s">
        <v>38</v>
      </c>
      <c r="K15" t="s">
        <v>36</v>
      </c>
      <c r="L15" t="s">
        <v>37</v>
      </c>
      <c r="M15" t="s">
        <v>39</v>
      </c>
      <c r="N15" t="s">
        <v>40</v>
      </c>
      <c r="O15" t="s">
        <v>41</v>
      </c>
      <c r="P15" t="s">
        <v>42</v>
      </c>
      <c r="Q15" t="s">
        <v>45</v>
      </c>
      <c r="R15" t="s">
        <v>46</v>
      </c>
      <c r="S15" t="s">
        <v>43</v>
      </c>
      <c r="T15" t="s">
        <v>44</v>
      </c>
      <c r="Y15">
        <f t="shared" si="0"/>
        <v>66.5</v>
      </c>
      <c r="Z15">
        <f t="shared" si="1"/>
        <v>49.75870194069186</v>
      </c>
      <c r="AA15">
        <f t="shared" si="12"/>
        <v>1.160643952576229</v>
      </c>
      <c r="AB15">
        <f t="shared" si="2"/>
        <v>3.8165438642028997</v>
      </c>
      <c r="AC15">
        <f t="shared" si="3"/>
        <v>94.73294905634705</v>
      </c>
      <c r="AE15">
        <f t="shared" si="4"/>
        <v>2.054437124882801</v>
      </c>
      <c r="AF15">
        <v>0</v>
      </c>
      <c r="AG15">
        <f t="shared" si="5"/>
        <v>1.5218433123632678</v>
      </c>
      <c r="AH15">
        <f t="shared" si="6"/>
        <v>3.271323312173914</v>
      </c>
      <c r="AI15">
        <f t="shared" si="7"/>
        <v>5.374467053252134</v>
      </c>
      <c r="AJ15">
        <f t="shared" si="8"/>
        <v>3.8165438642028997</v>
      </c>
      <c r="AK15">
        <f t="shared" si="9"/>
        <v>82.17748499531204</v>
      </c>
      <c r="AL15">
        <f t="shared" si="10"/>
        <v>101.2572306708795</v>
      </c>
      <c r="AM15">
        <f t="shared" si="11"/>
        <v>94.73294905634705</v>
      </c>
    </row>
    <row r="16" spans="5:39" ht="13.5">
      <c r="E16">
        <v>0</v>
      </c>
      <c r="F16">
        <f>$Z$54</f>
        <v>0.5642323322341519</v>
      </c>
      <c r="G16">
        <f aca="true" t="shared" si="13" ref="G16:G26">0.5*γ*E16^2*F16</f>
        <v>0</v>
      </c>
      <c r="H16">
        <f>G16*COS(α+δ)</f>
        <v>0</v>
      </c>
      <c r="I16">
        <f>G16*SIN(α+δ)</f>
        <v>0</v>
      </c>
      <c r="J16">
        <f aca="true" t="shared" si="14" ref="J16:J26">bu+(nf+nr)*E16</f>
        <v>0.4</v>
      </c>
      <c r="K16">
        <f aca="true" t="shared" si="15" ref="K16:K26">0.5*(bu+J16)*E16*γc</f>
        <v>0</v>
      </c>
      <c r="L16">
        <f>K16*kH</f>
        <v>0</v>
      </c>
      <c r="M16">
        <f aca="true" t="shared" si="16" ref="M16:M26">J16/2+E16/6*(2*bu+J16)/(bu+J16)*(nf-nr)</f>
        <v>0.2</v>
      </c>
      <c r="N16">
        <f aca="true" t="shared" si="17" ref="N16:N26">E16/3*(2*bu+J16)/(bu+J16)</f>
        <v>0</v>
      </c>
      <c r="O16">
        <f>J16-P16*nr</f>
        <v>0.4</v>
      </c>
      <c r="P16">
        <f aca="true" t="shared" si="18" ref="P16:P26">E16/3</f>
        <v>0</v>
      </c>
      <c r="Q16">
        <f>I16+K16</f>
        <v>0</v>
      </c>
      <c r="R16">
        <f>H16+L16</f>
        <v>0</v>
      </c>
      <c r="S16">
        <f>IF(Q16=0,J16/2,(K16*M16+I16*O16-L16*N16-H16*P16)/Q16)</f>
        <v>0.2</v>
      </c>
      <c r="T16">
        <f>J16/2-S16</f>
        <v>0</v>
      </c>
      <c r="Y16">
        <f t="shared" si="0"/>
        <v>71</v>
      </c>
      <c r="Z16">
        <f t="shared" si="1"/>
        <v>47.31941514515533</v>
      </c>
      <c r="AA16">
        <f t="shared" si="12"/>
        <v>1.239183768915974</v>
      </c>
      <c r="AB16">
        <f t="shared" si="2"/>
        <v>3.7016723841533477</v>
      </c>
      <c r="AC16">
        <f t="shared" si="3"/>
        <v>80.4815990931223</v>
      </c>
      <c r="AE16">
        <f t="shared" si="4"/>
        <v>1.782982839868996</v>
      </c>
      <c r="AF16">
        <v>0</v>
      </c>
      <c r="AG16">
        <f t="shared" si="5"/>
        <v>1.2051466465138285</v>
      </c>
      <c r="AH16">
        <f t="shared" si="6"/>
        <v>3.1728620435600123</v>
      </c>
      <c r="AI16">
        <f t="shared" si="7"/>
        <v>4.804569737999406</v>
      </c>
      <c r="AJ16">
        <f t="shared" si="8"/>
        <v>3.7016723841533477</v>
      </c>
      <c r="AK16">
        <f t="shared" si="9"/>
        <v>71.31931359475985</v>
      </c>
      <c r="AL16">
        <f t="shared" si="10"/>
        <v>80.997521589641</v>
      </c>
      <c r="AM16">
        <f t="shared" si="11"/>
        <v>80.4815990931223</v>
      </c>
    </row>
    <row r="17" spans="5:39" ht="13.5">
      <c r="E17">
        <f>ΔH+E16</f>
        <v>0.3</v>
      </c>
      <c r="F17">
        <f aca="true" t="shared" si="19" ref="F17:F26">$Z$54</f>
        <v>0.5642323322341519</v>
      </c>
      <c r="G17">
        <f t="shared" si="13"/>
        <v>0.5078090990107367</v>
      </c>
      <c r="H17">
        <f aca="true" t="shared" si="20" ref="H17:H26">G17*COS(α+δ)</f>
        <v>0.40357468803629626</v>
      </c>
      <c r="I17">
        <f aca="true" t="shared" si="21" ref="I17:I26">G17*SIN(α+δ)</f>
        <v>0.30821672929044963</v>
      </c>
      <c r="J17">
        <f t="shared" si="14"/>
        <v>0.52</v>
      </c>
      <c r="K17">
        <f t="shared" si="15"/>
        <v>3.1740000000000004</v>
      </c>
      <c r="L17">
        <f aca="true" t="shared" si="22" ref="L17:L26">K17*kH</f>
        <v>0</v>
      </c>
      <c r="M17">
        <f t="shared" si="16"/>
        <v>0.25282608695652176</v>
      </c>
      <c r="N17">
        <f t="shared" si="17"/>
        <v>0.14347826086956522</v>
      </c>
      <c r="O17">
        <f aca="true" t="shared" si="23" ref="O17:O26">J17-P17*nr</f>
        <v>0.495</v>
      </c>
      <c r="P17">
        <f t="shared" si="18"/>
        <v>0.09999999999999999</v>
      </c>
      <c r="Q17">
        <f aca="true" t="shared" si="24" ref="Q17:Q26">I17+K17</f>
        <v>3.48221672929045</v>
      </c>
      <c r="R17">
        <f aca="true" t="shared" si="25" ref="R17:R26">H17+L17</f>
        <v>0.40357468803629626</v>
      </c>
      <c r="S17">
        <f aca="true" t="shared" si="26" ref="S17:S26">(K17*M17+I17*O17-L17*N17-H17*P17)/Q17</f>
        <v>0.26267170693350894</v>
      </c>
      <c r="T17">
        <f aca="true" t="shared" si="27" ref="T17:T26">J17/2-S17</f>
        <v>-0.0026717069335089327</v>
      </c>
      <c r="Y17">
        <f t="shared" si="0"/>
        <v>75.5</v>
      </c>
      <c r="Z17">
        <f t="shared" si="1"/>
        <v>43.56651354168373</v>
      </c>
      <c r="AA17">
        <f t="shared" si="12"/>
        <v>1.3177235852557188</v>
      </c>
      <c r="AB17">
        <f t="shared" si="2"/>
        <v>3.615151092691899</v>
      </c>
      <c r="AC17">
        <f t="shared" si="3"/>
        <v>66.98226953605274</v>
      </c>
      <c r="AE17">
        <f t="shared" si="4"/>
        <v>1.5258527530676709</v>
      </c>
      <c r="AF17">
        <v>0</v>
      </c>
      <c r="AG17">
        <f t="shared" si="5"/>
        <v>0.9051615452456163</v>
      </c>
      <c r="AH17">
        <f t="shared" si="6"/>
        <v>3.0987009365930565</v>
      </c>
      <c r="AI17">
        <f t="shared" si="7"/>
        <v>4.368296643080921</v>
      </c>
      <c r="AJ17">
        <f t="shared" si="8"/>
        <v>3.615151092691899</v>
      </c>
      <c r="AK17">
        <f t="shared" si="9"/>
        <v>61.03411012270686</v>
      </c>
      <c r="AL17">
        <f t="shared" si="10"/>
        <v>64.53069459219616</v>
      </c>
      <c r="AM17">
        <f t="shared" si="11"/>
        <v>66.98226953605274</v>
      </c>
    </row>
    <row r="18" spans="5:39" ht="13.5">
      <c r="E18">
        <f aca="true" t="shared" si="28" ref="E18:E26">ΔH+E17</f>
        <v>0.6</v>
      </c>
      <c r="F18">
        <f t="shared" si="19"/>
        <v>0.5642323322341519</v>
      </c>
      <c r="G18">
        <f t="shared" si="13"/>
        <v>2.0312363960429467</v>
      </c>
      <c r="H18">
        <f t="shared" si="20"/>
        <v>1.614298752145185</v>
      </c>
      <c r="I18">
        <f t="shared" si="21"/>
        <v>1.2328669171617985</v>
      </c>
      <c r="J18">
        <f t="shared" si="14"/>
        <v>0.64</v>
      </c>
      <c r="K18">
        <f t="shared" si="15"/>
        <v>7.176</v>
      </c>
      <c r="L18">
        <f t="shared" si="22"/>
        <v>0</v>
      </c>
      <c r="M18">
        <f t="shared" si="16"/>
        <v>0.30615384615384617</v>
      </c>
      <c r="N18">
        <f t="shared" si="17"/>
        <v>0.2769230769230769</v>
      </c>
      <c r="O18">
        <f t="shared" si="23"/>
        <v>0.59</v>
      </c>
      <c r="P18">
        <f t="shared" si="18"/>
        <v>0.19999999999999998</v>
      </c>
      <c r="Q18">
        <f t="shared" si="24"/>
        <v>8.408866917161799</v>
      </c>
      <c r="R18">
        <f t="shared" si="25"/>
        <v>1.614298752145185</v>
      </c>
      <c r="S18">
        <f t="shared" si="26"/>
        <v>0.3093748249704126</v>
      </c>
      <c r="T18">
        <f t="shared" si="27"/>
        <v>0.01062517502958743</v>
      </c>
      <c r="Y18">
        <f t="shared" si="0"/>
        <v>80</v>
      </c>
      <c r="Z18">
        <f t="shared" si="1"/>
        <v>38.54023566598123</v>
      </c>
      <c r="AA18">
        <f t="shared" si="12"/>
        <v>1.3962634015954636</v>
      </c>
      <c r="AB18">
        <f t="shared" si="2"/>
        <v>3.5539931416001074</v>
      </c>
      <c r="AC18">
        <f t="shared" si="3"/>
        <v>54.02149946158325</v>
      </c>
      <c r="AE18">
        <f>H*(TAN(α)+1/TAN(AA18))-zc/TAN(AA18)</f>
        <v>1.2789809421253953</v>
      </c>
      <c r="AF18">
        <v>1</v>
      </c>
      <c r="AG18">
        <f>((TH-zc)/TAN(AA18)+H*TAN(α)-Ho/TAN(β))</f>
        <v>0.6171444324796278</v>
      </c>
      <c r="AH18">
        <f>(H-zc)/SIN(AA18)</f>
        <v>3.046279835657235</v>
      </c>
      <c r="AI18">
        <f>1/SIN(AA18-β)*(H*COS(α-β)/COS(α)-zc*COS(β))</f>
        <v>4.027421904582938</v>
      </c>
      <c r="AJ18">
        <f>(TH-zc)/SIN(AA18)</f>
        <v>3.5539931416001074</v>
      </c>
      <c r="AK18">
        <f>γ/2/SIN(AA18)*(H^2*COS(AA18-α)/COS(α)-zc^2*COS(AA18))+q*AE18</f>
        <v>51.15923768501581</v>
      </c>
      <c r="AL18">
        <f>γ/2/SIN(AA18-β)*(H^2*COS(AA18-α)*COS(α-β)/COS(α)^2-zc^2*COS(AA18)*COS(β))</f>
        <v>50.727406604934686</v>
      </c>
      <c r="AM18">
        <f>γ/2*(TH^2*COS(AA18-α)/SIN(AA18)-Ho^2*COS(α-β)/SIN(β)-zc^2*COS(α)/TAN(AA18))/COS(α)+AG18*q</f>
        <v>54.02149946158325</v>
      </c>
    </row>
    <row r="19" spans="5:29" ht="13.5">
      <c r="E19">
        <f t="shared" si="28"/>
        <v>0.8999999999999999</v>
      </c>
      <c r="F19">
        <f t="shared" si="19"/>
        <v>0.5642323322341519</v>
      </c>
      <c r="G19">
        <f t="shared" si="13"/>
        <v>4.570281891096629</v>
      </c>
      <c r="H19">
        <f t="shared" si="20"/>
        <v>3.6321721923266654</v>
      </c>
      <c r="I19">
        <f t="shared" si="21"/>
        <v>2.773950563614046</v>
      </c>
      <c r="J19">
        <f t="shared" si="14"/>
        <v>0.76</v>
      </c>
      <c r="K19">
        <f t="shared" si="15"/>
        <v>12.006</v>
      </c>
      <c r="L19">
        <f t="shared" si="22"/>
        <v>0</v>
      </c>
      <c r="M19">
        <f t="shared" si="16"/>
        <v>0.3598275862068966</v>
      </c>
      <c r="N19">
        <f t="shared" si="17"/>
        <v>0.4034482758620689</v>
      </c>
      <c r="O19">
        <f t="shared" si="23"/>
        <v>0.685</v>
      </c>
      <c r="P19">
        <f t="shared" si="18"/>
        <v>0.3</v>
      </c>
      <c r="Q19">
        <f t="shared" si="24"/>
        <v>14.779950563614046</v>
      </c>
      <c r="R19">
        <f t="shared" si="25"/>
        <v>3.6321721923266654</v>
      </c>
      <c r="S19">
        <f t="shared" si="26"/>
        <v>0.3471320459628839</v>
      </c>
      <c r="T19">
        <f t="shared" si="27"/>
        <v>0.03286795403711612</v>
      </c>
      <c r="Y19" t="s">
        <v>26</v>
      </c>
      <c r="Z19">
        <f>MAX(Z8:Z18)</f>
        <v>50.7654811434718</v>
      </c>
      <c r="AA19">
        <f>VLOOKUP($Z$19,$Z$8:$AC$18,2,FALSE)</f>
        <v>1.0821041362364843</v>
      </c>
      <c r="AB19">
        <f>VLOOKUP($Z$19,$Z$8:$AC$18,3,FALSE)</f>
        <v>3.9639951774116375</v>
      </c>
      <c r="AC19">
        <f>VLOOKUP($Z$19,$Z$8:$AC$18,4,FALSE)</f>
        <v>109.99423548668291</v>
      </c>
    </row>
    <row r="20" spans="5:20" ht="13.5">
      <c r="E20">
        <f t="shared" si="28"/>
        <v>1.2</v>
      </c>
      <c r="F20">
        <f t="shared" si="19"/>
        <v>0.5642323322341519</v>
      </c>
      <c r="G20">
        <f t="shared" si="13"/>
        <v>8.124945584171787</v>
      </c>
      <c r="H20">
        <f t="shared" si="20"/>
        <v>6.45719500858074</v>
      </c>
      <c r="I20">
        <f t="shared" si="21"/>
        <v>4.931467668647194</v>
      </c>
      <c r="J20">
        <f t="shared" si="14"/>
        <v>0.88</v>
      </c>
      <c r="K20">
        <f t="shared" si="15"/>
        <v>17.664</v>
      </c>
      <c r="L20">
        <f t="shared" si="22"/>
        <v>0</v>
      </c>
      <c r="M20">
        <f t="shared" si="16"/>
        <v>0.41375</v>
      </c>
      <c r="N20">
        <f t="shared" si="17"/>
        <v>0.525</v>
      </c>
      <c r="O20">
        <f t="shared" si="23"/>
        <v>0.78</v>
      </c>
      <c r="P20">
        <f t="shared" si="18"/>
        <v>0.39999999999999997</v>
      </c>
      <c r="Q20">
        <f t="shared" si="24"/>
        <v>22.595467668647196</v>
      </c>
      <c r="R20">
        <f t="shared" si="25"/>
        <v>6.45719500858074</v>
      </c>
      <c r="S20">
        <f t="shared" si="26"/>
        <v>0.3793746119274608</v>
      </c>
      <c r="T20">
        <f t="shared" si="27"/>
        <v>0.0606253880725392</v>
      </c>
    </row>
    <row r="21" spans="5:29" ht="13.5">
      <c r="E21">
        <f t="shared" si="28"/>
        <v>1.5</v>
      </c>
      <c r="F21">
        <f t="shared" si="19"/>
        <v>0.5642323322341519</v>
      </c>
      <c r="G21">
        <f t="shared" si="13"/>
        <v>12.695227475268418</v>
      </c>
      <c r="H21">
        <f t="shared" si="20"/>
        <v>10.089367200907407</v>
      </c>
      <c r="I21">
        <f t="shared" si="21"/>
        <v>7.705418232261241</v>
      </c>
      <c r="J21">
        <f t="shared" si="14"/>
        <v>1</v>
      </c>
      <c r="K21">
        <f t="shared" si="15"/>
        <v>24.149999999999995</v>
      </c>
      <c r="L21">
        <f t="shared" si="22"/>
        <v>0</v>
      </c>
      <c r="M21">
        <f t="shared" si="16"/>
        <v>0.46785714285714286</v>
      </c>
      <c r="N21">
        <f t="shared" si="17"/>
        <v>0.6428571428571429</v>
      </c>
      <c r="O21">
        <f t="shared" si="23"/>
        <v>0.875</v>
      </c>
      <c r="P21">
        <f t="shared" si="18"/>
        <v>0.5</v>
      </c>
      <c r="Q21">
        <f t="shared" si="24"/>
        <v>31.855418232261236</v>
      </c>
      <c r="R21">
        <f t="shared" si="25"/>
        <v>10.089367200907407</v>
      </c>
      <c r="S21">
        <f t="shared" si="26"/>
        <v>0.4079779225630449</v>
      </c>
      <c r="T21">
        <f t="shared" si="27"/>
        <v>0.09202207743695512</v>
      </c>
      <c r="AA21" t="s">
        <v>28</v>
      </c>
      <c r="AB21">
        <f>AA19-AB6</f>
        <v>1.0035643198967394</v>
      </c>
      <c r="AC21">
        <f>AB21*180/PI()</f>
        <v>57.49999999999999</v>
      </c>
    </row>
    <row r="22" spans="5:29" ht="13.5">
      <c r="E22">
        <f t="shared" si="28"/>
        <v>1.8</v>
      </c>
      <c r="F22">
        <f t="shared" si="19"/>
        <v>0.5642323322341519</v>
      </c>
      <c r="G22">
        <f t="shared" si="13"/>
        <v>18.281127564386527</v>
      </c>
      <c r="H22">
        <f t="shared" si="20"/>
        <v>14.52868876930667</v>
      </c>
      <c r="I22">
        <f t="shared" si="21"/>
        <v>11.09580225445619</v>
      </c>
      <c r="J22">
        <f t="shared" si="14"/>
        <v>1.12</v>
      </c>
      <c r="K22">
        <f t="shared" si="15"/>
        <v>31.464000000000002</v>
      </c>
      <c r="L22">
        <f t="shared" si="22"/>
        <v>0</v>
      </c>
      <c r="M22">
        <f t="shared" si="16"/>
        <v>0.5221052631578947</v>
      </c>
      <c r="N22">
        <f t="shared" si="17"/>
        <v>0.7578947368421053</v>
      </c>
      <c r="O22">
        <f t="shared" si="23"/>
        <v>0.9700000000000001</v>
      </c>
      <c r="P22">
        <f t="shared" si="18"/>
        <v>0.6</v>
      </c>
      <c r="Q22">
        <f t="shared" si="24"/>
        <v>42.559802254456194</v>
      </c>
      <c r="R22">
        <f t="shared" si="25"/>
        <v>14.52868876930667</v>
      </c>
      <c r="S22">
        <f t="shared" si="26"/>
        <v>0.4340535892246605</v>
      </c>
      <c r="T22">
        <f t="shared" si="27"/>
        <v>0.12594641077533958</v>
      </c>
      <c r="AA22" t="s">
        <v>29</v>
      </c>
      <c r="AB22">
        <f>MIN(AB5,AA19+AB6)</f>
        <v>1.160643952576229</v>
      </c>
      <c r="AC22">
        <f>AB22*180/PI()</f>
        <v>66.5</v>
      </c>
    </row>
    <row r="23" spans="5:38" ht="13.5">
      <c r="E23">
        <f t="shared" si="28"/>
        <v>2.1</v>
      </c>
      <c r="F23">
        <f t="shared" si="19"/>
        <v>0.5642323322341519</v>
      </c>
      <c r="G23">
        <f t="shared" si="13"/>
        <v>24.8826458515261</v>
      </c>
      <c r="H23">
        <f t="shared" si="20"/>
        <v>19.775159713778518</v>
      </c>
      <c r="I23">
        <f t="shared" si="21"/>
        <v>15.102619735232032</v>
      </c>
      <c r="J23">
        <f t="shared" si="14"/>
        <v>1.2400000000000002</v>
      </c>
      <c r="K23">
        <f t="shared" si="15"/>
        <v>39.606</v>
      </c>
      <c r="L23">
        <f t="shared" si="22"/>
        <v>0</v>
      </c>
      <c r="M23">
        <f t="shared" si="16"/>
        <v>0.5764634146341464</v>
      </c>
      <c r="N23">
        <f t="shared" si="17"/>
        <v>0.8707317073170732</v>
      </c>
      <c r="O23">
        <f t="shared" si="23"/>
        <v>1.0650000000000002</v>
      </c>
      <c r="P23">
        <f t="shared" si="18"/>
        <v>0.7000000000000001</v>
      </c>
      <c r="Q23">
        <f t="shared" si="24"/>
        <v>54.708619735232034</v>
      </c>
      <c r="R23">
        <f t="shared" si="25"/>
        <v>19.775159713778518</v>
      </c>
      <c r="S23">
        <f t="shared" si="26"/>
        <v>0.4583023358973583</v>
      </c>
      <c r="T23">
        <f t="shared" si="27"/>
        <v>0.1616976641026418</v>
      </c>
      <c r="AA23" t="s">
        <v>27</v>
      </c>
      <c r="AB23">
        <f>(AB22-AB21)/10</f>
        <v>0.015707963267948967</v>
      </c>
      <c r="AF23" t="s">
        <v>23</v>
      </c>
      <c r="AI23" t="s">
        <v>62</v>
      </c>
      <c r="AL23" t="s">
        <v>24</v>
      </c>
    </row>
    <row r="24" spans="5:39" ht="13.5">
      <c r="E24">
        <f t="shared" si="28"/>
        <v>2.4</v>
      </c>
      <c r="F24">
        <f t="shared" si="19"/>
        <v>0.5642323322341519</v>
      </c>
      <c r="G24">
        <f t="shared" si="13"/>
        <v>32.49978233668715</v>
      </c>
      <c r="H24">
        <f t="shared" si="20"/>
        <v>25.82878003432296</v>
      </c>
      <c r="I24">
        <f t="shared" si="21"/>
        <v>19.725870674588776</v>
      </c>
      <c r="J24">
        <f t="shared" si="14"/>
        <v>1.3599999999999999</v>
      </c>
      <c r="K24">
        <f t="shared" si="15"/>
        <v>48.57599999999999</v>
      </c>
      <c r="L24">
        <f t="shared" si="22"/>
        <v>0</v>
      </c>
      <c r="M24">
        <f t="shared" si="16"/>
        <v>0.6309090909090909</v>
      </c>
      <c r="N24">
        <f t="shared" si="17"/>
        <v>0.9818181818181819</v>
      </c>
      <c r="O24">
        <f t="shared" si="23"/>
        <v>1.16</v>
      </c>
      <c r="P24">
        <f t="shared" si="18"/>
        <v>0.7999999999999999</v>
      </c>
      <c r="Q24">
        <f t="shared" si="24"/>
        <v>68.30187067458877</v>
      </c>
      <c r="R24">
        <f t="shared" si="25"/>
        <v>25.82878003432296</v>
      </c>
      <c r="S24">
        <f t="shared" si="26"/>
        <v>0.4811877863733561</v>
      </c>
      <c r="T24">
        <f t="shared" si="27"/>
        <v>0.19881221362664386</v>
      </c>
      <c r="Y24" t="s">
        <v>56</v>
      </c>
      <c r="Z24" t="s">
        <v>25</v>
      </c>
      <c r="AA24" t="s">
        <v>21</v>
      </c>
      <c r="AB24" t="s">
        <v>62</v>
      </c>
      <c r="AC24" t="s">
        <v>24</v>
      </c>
      <c r="AE24" t="s">
        <v>58</v>
      </c>
      <c r="AF24" t="s">
        <v>59</v>
      </c>
      <c r="AG24" t="s">
        <v>60</v>
      </c>
      <c r="AH24" t="s">
        <v>58</v>
      </c>
      <c r="AI24" t="s">
        <v>59</v>
      </c>
      <c r="AJ24" t="s">
        <v>60</v>
      </c>
      <c r="AK24" t="s">
        <v>58</v>
      </c>
      <c r="AL24" t="s">
        <v>59</v>
      </c>
      <c r="AM24" t="s">
        <v>60</v>
      </c>
    </row>
    <row r="25" spans="5:39" ht="13.5">
      <c r="E25">
        <f t="shared" si="28"/>
        <v>2.6999999999999997</v>
      </c>
      <c r="F25">
        <f t="shared" si="19"/>
        <v>0.5642323322341519</v>
      </c>
      <c r="G25">
        <f t="shared" si="13"/>
        <v>41.13253701986966</v>
      </c>
      <c r="H25">
        <f t="shared" si="20"/>
        <v>32.68954973093999</v>
      </c>
      <c r="I25">
        <f t="shared" si="21"/>
        <v>24.965555072526413</v>
      </c>
      <c r="J25">
        <f t="shared" si="14"/>
        <v>1.48</v>
      </c>
      <c r="K25">
        <f t="shared" si="15"/>
        <v>58.373999999999995</v>
      </c>
      <c r="L25">
        <f t="shared" si="22"/>
        <v>0</v>
      </c>
      <c r="M25">
        <f t="shared" si="16"/>
        <v>0.6854255319148936</v>
      </c>
      <c r="N25">
        <f t="shared" si="17"/>
        <v>1.0914893617021277</v>
      </c>
      <c r="O25">
        <f t="shared" si="23"/>
        <v>1.255</v>
      </c>
      <c r="P25">
        <f t="shared" si="18"/>
        <v>0.8999999999999999</v>
      </c>
      <c r="Q25">
        <f t="shared" si="24"/>
        <v>83.33955507252641</v>
      </c>
      <c r="R25">
        <f t="shared" si="25"/>
        <v>32.68954973093999</v>
      </c>
      <c r="S25">
        <f t="shared" si="26"/>
        <v>0.5030289257207069</v>
      </c>
      <c r="T25">
        <f t="shared" si="27"/>
        <v>0.2369710742792931</v>
      </c>
      <c r="Y25">
        <f>AA25*180/PI()</f>
        <v>57.49999999999999</v>
      </c>
      <c r="Z25">
        <f aca="true" t="shared" si="29" ref="Z25:Z35">(AC25*SIN(AA25-φ+θ)/COS(θ)-cu*AB25*COS(φ))/COS(AA25-φ-δ-α)</f>
        <v>50.12180197427399</v>
      </c>
      <c r="AA25">
        <f>AB21</f>
        <v>1.0035643198967394</v>
      </c>
      <c r="AB25">
        <f>IF(Ho=0,AH25,IF(m=0,AH25,IF(AA25&lt;=$AH$3,AJ25,AI25)))</f>
        <v>4.1499116660195625</v>
      </c>
      <c r="AC25">
        <f>IF(Ho=0,AK25,IF(m=0,AK25,IF(AA25&lt;=$AH$3,AM25,AL25)))</f>
        <v>126.58856607718018</v>
      </c>
      <c r="AE25">
        <f>H*(TAN(α)+1/TAN(AA25))-zc/TAN(AA25)</f>
        <v>2.6612107824224793</v>
      </c>
      <c r="AF25">
        <v>0</v>
      </c>
      <c r="AG25">
        <f>((TH-zc)/TAN(AA25)+H*TAN(α)-Ho/TAN(β))</f>
        <v>2.229745912826226</v>
      </c>
      <c r="AH25">
        <f>(H-zc)/SIN(AA25)</f>
        <v>3.5570671423024818</v>
      </c>
      <c r="AI25">
        <f>1/SIN(AA25-β)*(H*COS(α-β)/COS(α)-zc*COS(β))</f>
        <v>7.213643494143929</v>
      </c>
      <c r="AJ25">
        <f>(TH-zc)/SIN(AA25)</f>
        <v>4.1499116660195625</v>
      </c>
      <c r="AK25">
        <f>γ/2/SIN(AA25)*(H^2*COS(AA25-α)/COS(α)-zc^2*COS(AA25))+q*AE25</f>
        <v>106.44843129689917</v>
      </c>
      <c r="AL25">
        <f>γ/2/SIN(AA25-β)*(H^2*COS(AA25-α)*COS(α-β)/COS(α)^2-zc^2*COS(AA25)*COS(β))</f>
        <v>161.90607384550015</v>
      </c>
      <c r="AM25">
        <f>γ/2*(TH^2*COS(AA25-α)/SIN(AA25)-Ho^2*COS(α-β)/SIN(β)-zc^2*COS(α)/TAN(AA25))/COS(α)+AG25*q</f>
        <v>126.58856607718018</v>
      </c>
    </row>
    <row r="26" spans="5:39" ht="13.5">
      <c r="E26">
        <f t="shared" si="28"/>
        <v>2.9999999999999996</v>
      </c>
      <c r="F26">
        <f t="shared" si="19"/>
        <v>0.5642323322341519</v>
      </c>
      <c r="G26">
        <f t="shared" si="13"/>
        <v>50.780909901073656</v>
      </c>
      <c r="H26">
        <f t="shared" si="20"/>
        <v>40.357468803629615</v>
      </c>
      <c r="I26">
        <f t="shared" si="21"/>
        <v>30.821672929044954</v>
      </c>
      <c r="J26">
        <f t="shared" si="14"/>
        <v>1.6</v>
      </c>
      <c r="K26">
        <f t="shared" si="15"/>
        <v>68.99999999999999</v>
      </c>
      <c r="L26">
        <f t="shared" si="22"/>
        <v>0</v>
      </c>
      <c r="M26">
        <f t="shared" si="16"/>
        <v>0.74</v>
      </c>
      <c r="N26">
        <f t="shared" si="17"/>
        <v>1.2</v>
      </c>
      <c r="O26">
        <f t="shared" si="23"/>
        <v>1.35</v>
      </c>
      <c r="P26">
        <f t="shared" si="18"/>
        <v>0.9999999999999999</v>
      </c>
      <c r="Q26">
        <f t="shared" si="24"/>
        <v>99.82167292904494</v>
      </c>
      <c r="R26">
        <f t="shared" si="25"/>
        <v>40.357468803629615</v>
      </c>
      <c r="S26">
        <f t="shared" si="26"/>
        <v>0.5240524238435199</v>
      </c>
      <c r="T26">
        <f t="shared" si="27"/>
        <v>0.27594757615648013</v>
      </c>
      <c r="Y26">
        <f aca="true" t="shared" si="30" ref="Y26:Y35">AA26*180/PI()</f>
        <v>58.4</v>
      </c>
      <c r="Z26">
        <f t="shared" si="29"/>
        <v>50.39718129322733</v>
      </c>
      <c r="AA26">
        <f>AA25+AB$23</f>
        <v>1.0192722831646883</v>
      </c>
      <c r="AB26">
        <f aca="true" t="shared" si="31" ref="AB26:AB35">IF(Ho=0,AH26,IF(m=0,AH26,IF(AA26&lt;=$AH$3,AJ26,AI26)))</f>
        <v>4.109298250056485</v>
      </c>
      <c r="AC26">
        <f aca="true" t="shared" si="32" ref="AC26:AC35">IF(Ho=0,AK26,IF(m=0,AK26,IF(AA26&lt;=$AH$3,AM26,AL26)))</f>
        <v>123.14464649056988</v>
      </c>
      <c r="AE26">
        <f aca="true" t="shared" si="33" ref="AE26:AE34">H*(TAN(α)+1/TAN(AA26))-zc/TAN(AA26)</f>
        <v>2.595612314106093</v>
      </c>
      <c r="AF26">
        <v>0</v>
      </c>
      <c r="AG26">
        <f aca="true" t="shared" si="34" ref="AG26:AG34">((TH-zc)/TAN(AA26)+H*TAN(α)-Ho/TAN(β))</f>
        <v>2.1532143664571084</v>
      </c>
      <c r="AH26">
        <f aca="true" t="shared" si="35" ref="AH26:AH34">(H-zc)/SIN(AA26)</f>
        <v>3.522255642905558</v>
      </c>
      <c r="AI26">
        <f aca="true" t="shared" si="36" ref="AI26:AI34">1/SIN(AA26-β)*(H*COS(α-β)/COS(α)-zc*COS(β))</f>
        <v>6.9665189540791435</v>
      </c>
      <c r="AJ26">
        <f aca="true" t="shared" si="37" ref="AJ26:AJ34">(TH-zc)/SIN(AA26)</f>
        <v>4.109298250056485</v>
      </c>
      <c r="AK26">
        <f aca="true" t="shared" si="38" ref="AK26:AK34">γ/2/SIN(AA26)*(H^2*COS(AA26-α)/COS(α)-zc^2*COS(AA26))+q*AE26</f>
        <v>103.82449256424371</v>
      </c>
      <c r="AL26">
        <f aca="true" t="shared" si="39" ref="AL26:AL34">γ/2/SIN(AA26-β)*(H^2*COS(AA26-α)*COS(α-β)/COS(α)^2-zc^2*COS(AA26)*COS(β))</f>
        <v>154.0125210963811</v>
      </c>
      <c r="AM26">
        <f aca="true" t="shared" si="40" ref="AM26:AM34">γ/2*(TH^2*COS(AA26-α)/SIN(AA26)-Ho^2*COS(α-β)/SIN(β)-zc^2*COS(α)/TAN(AA26))/COS(α)+AG26*q</f>
        <v>123.14464649056988</v>
      </c>
    </row>
    <row r="27" spans="25:39" ht="13.5">
      <c r="Y27">
        <f t="shared" si="30"/>
        <v>59.29999999999999</v>
      </c>
      <c r="Z27">
        <f t="shared" si="29"/>
        <v>50.596337350341024</v>
      </c>
      <c r="AA27">
        <f aca="true" t="shared" si="41" ref="AA27:AA35">AA26+AB$23</f>
        <v>1.0349802464326372</v>
      </c>
      <c r="AB27">
        <f t="shared" si="31"/>
        <v>4.070466655277866</v>
      </c>
      <c r="AC27">
        <f t="shared" si="32"/>
        <v>119.76665655513554</v>
      </c>
      <c r="AE27">
        <f t="shared" si="33"/>
        <v>2.5312696486692485</v>
      </c>
      <c r="AF27">
        <v>0</v>
      </c>
      <c r="AG27">
        <f t="shared" si="34"/>
        <v>2.0781479234474567</v>
      </c>
      <c r="AH27">
        <f t="shared" si="35"/>
        <v>3.4889714188095993</v>
      </c>
      <c r="AI27">
        <f t="shared" si="36"/>
        <v>6.737372810725649</v>
      </c>
      <c r="AJ27">
        <f t="shared" si="37"/>
        <v>4.070466655277866</v>
      </c>
      <c r="AK27">
        <f t="shared" si="38"/>
        <v>101.25078594676995</v>
      </c>
      <c r="AL27">
        <f t="shared" si="39"/>
        <v>146.64012908461666</v>
      </c>
      <c r="AM27">
        <f t="shared" si="40"/>
        <v>119.76665655513554</v>
      </c>
    </row>
    <row r="28" spans="25:39" ht="13.5">
      <c r="Y28">
        <f t="shared" si="30"/>
        <v>60.19999999999999</v>
      </c>
      <c r="Z28">
        <f t="shared" si="29"/>
        <v>50.72230028567064</v>
      </c>
      <c r="AA28">
        <f t="shared" si="41"/>
        <v>1.050688209700586</v>
      </c>
      <c r="AB28">
        <f t="shared" si="31"/>
        <v>4.033347935680016</v>
      </c>
      <c r="AC28">
        <f t="shared" si="32"/>
        <v>116.45110049087455</v>
      </c>
      <c r="AE28">
        <f t="shared" si="33"/>
        <v>2.4681161998261816</v>
      </c>
      <c r="AF28">
        <v>0</v>
      </c>
      <c r="AG28">
        <f t="shared" si="34"/>
        <v>2.0044688997972124</v>
      </c>
      <c r="AH28">
        <f t="shared" si="35"/>
        <v>3.457155373440014</v>
      </c>
      <c r="AI28">
        <f t="shared" si="36"/>
        <v>6.524379526357649</v>
      </c>
      <c r="AJ28">
        <f t="shared" si="37"/>
        <v>4.033347935680016</v>
      </c>
      <c r="AK28">
        <f t="shared" si="38"/>
        <v>98.72464799304727</v>
      </c>
      <c r="AL28">
        <f t="shared" si="39"/>
        <v>139.73563577613666</v>
      </c>
      <c r="AM28">
        <f t="shared" si="40"/>
        <v>116.45110049087455</v>
      </c>
    </row>
    <row r="29" spans="25:39" ht="13.5">
      <c r="Y29">
        <f t="shared" si="30"/>
        <v>61.09999999999998</v>
      </c>
      <c r="Z29">
        <f t="shared" si="29"/>
        <v>50.77783925642433</v>
      </c>
      <c r="AA29">
        <f t="shared" si="41"/>
        <v>1.066396172968535</v>
      </c>
      <c r="AB29">
        <f t="shared" si="31"/>
        <v>3.997877574770005</v>
      </c>
      <c r="AC29">
        <f t="shared" si="32"/>
        <v>113.19467110334602</v>
      </c>
      <c r="AE29">
        <f t="shared" si="33"/>
        <v>2.406088973397067</v>
      </c>
      <c r="AF29">
        <v>0</v>
      </c>
      <c r="AG29">
        <f t="shared" si="34"/>
        <v>1.9321038022965782</v>
      </c>
      <c r="AH29">
        <f t="shared" si="35"/>
        <v>3.4267522069457184</v>
      </c>
      <c r="AI29">
        <f t="shared" si="36"/>
        <v>6.325953561196572</v>
      </c>
      <c r="AJ29">
        <f t="shared" si="37"/>
        <v>3.997877574770005</v>
      </c>
      <c r="AK29">
        <f t="shared" si="38"/>
        <v>96.24355893588267</v>
      </c>
      <c r="AL29">
        <f t="shared" si="39"/>
        <v>133.25276696954424</v>
      </c>
      <c r="AM29">
        <f t="shared" si="40"/>
        <v>113.19467110334602</v>
      </c>
    </row>
    <row r="30" spans="2:39" ht="13.5">
      <c r="B30" t="s">
        <v>54</v>
      </c>
      <c r="C30">
        <f>H*(nr+nf)+bu</f>
        <v>1.6</v>
      </c>
      <c r="Y30">
        <f t="shared" si="30"/>
        <v>61.99999999999997</v>
      </c>
      <c r="Z30">
        <f t="shared" si="29"/>
        <v>50.76548114347181</v>
      </c>
      <c r="AA30">
        <f t="shared" si="41"/>
        <v>1.0821041362364838</v>
      </c>
      <c r="AB30">
        <f t="shared" si="31"/>
        <v>3.9639951774116384</v>
      </c>
      <c r="AC30">
        <f t="shared" si="32"/>
        <v>109.99423548668301</v>
      </c>
      <c r="AE30">
        <f t="shared" si="33"/>
        <v>2.3451282949844385</v>
      </c>
      <c r="AF30">
        <v>0</v>
      </c>
      <c r="AG30">
        <f t="shared" si="34"/>
        <v>1.8609830108151781</v>
      </c>
      <c r="AH30">
        <f t="shared" si="35"/>
        <v>3.3977101520671185</v>
      </c>
      <c r="AI30">
        <f t="shared" si="36"/>
        <v>6.140711229192413</v>
      </c>
      <c r="AJ30">
        <f t="shared" si="37"/>
        <v>3.9639951774116384</v>
      </c>
      <c r="AK30">
        <f t="shared" si="38"/>
        <v>93.80513179937755</v>
      </c>
      <c r="AL30">
        <f t="shared" si="39"/>
        <v>127.15112540850417</v>
      </c>
      <c r="AM30">
        <f t="shared" si="40"/>
        <v>109.99423548668301</v>
      </c>
    </row>
    <row r="31" spans="25:39" ht="13.5">
      <c r="Y31">
        <f t="shared" si="30"/>
        <v>62.89999999999997</v>
      </c>
      <c r="Z31">
        <f t="shared" si="29"/>
        <v>50.68752739010553</v>
      </c>
      <c r="AA31">
        <f t="shared" si="41"/>
        <v>1.0978120995044327</v>
      </c>
      <c r="AB31">
        <f t="shared" si="31"/>
        <v>3.9316441887498046</v>
      </c>
      <c r="AC31">
        <f t="shared" si="32"/>
        <v>106.84682192576498</v>
      </c>
      <c r="AE31">
        <f t="shared" si="33"/>
        <v>2.2851775604907623</v>
      </c>
      <c r="AF31">
        <v>0</v>
      </c>
      <c r="AG31">
        <f t="shared" si="34"/>
        <v>1.791040487239222</v>
      </c>
      <c r="AH31">
        <f t="shared" si="35"/>
        <v>3.3699807332141183</v>
      </c>
      <c r="AI31">
        <f t="shared" si="36"/>
        <v>5.967439605692783</v>
      </c>
      <c r="AJ31">
        <f t="shared" si="37"/>
        <v>3.9316441887498046</v>
      </c>
      <c r="AK31">
        <f t="shared" si="38"/>
        <v>91.40710241963049</v>
      </c>
      <c r="AL31">
        <f t="shared" si="39"/>
        <v>121.39528525589247</v>
      </c>
      <c r="AM31">
        <f t="shared" si="40"/>
        <v>106.84682192576498</v>
      </c>
    </row>
    <row r="32" spans="2:39" ht="13.5">
      <c r="B32" t="s">
        <v>47</v>
      </c>
      <c r="C32" t="s">
        <v>48</v>
      </c>
      <c r="D32" t="s">
        <v>49</v>
      </c>
      <c r="E32" t="s">
        <v>50</v>
      </c>
      <c r="F32" t="s">
        <v>51</v>
      </c>
      <c r="G32" t="s">
        <v>52</v>
      </c>
      <c r="H32" t="s">
        <v>53</v>
      </c>
      <c r="I32" t="s">
        <v>44</v>
      </c>
      <c r="J32" t="s">
        <v>57</v>
      </c>
      <c r="Y32">
        <f t="shared" si="30"/>
        <v>63.79999999999996</v>
      </c>
      <c r="Z32">
        <f t="shared" si="29"/>
        <v>50.54606915897398</v>
      </c>
      <c r="AA32">
        <f t="shared" si="41"/>
        <v>1.1135200627723816</v>
      </c>
      <c r="AB32">
        <f t="shared" si="31"/>
        <v>3.900771637572321</v>
      </c>
      <c r="AC32">
        <f t="shared" si="32"/>
        <v>103.74960787764999</v>
      </c>
      <c r="AE32">
        <f t="shared" si="33"/>
        <v>2.2261830071933337</v>
      </c>
      <c r="AF32">
        <v>0</v>
      </c>
      <c r="AG32">
        <f t="shared" si="34"/>
        <v>1.7222135083922225</v>
      </c>
      <c r="AH32">
        <f t="shared" si="35"/>
        <v>3.343518546490561</v>
      </c>
      <c r="AI32">
        <f t="shared" si="36"/>
        <v>5.805071011517317</v>
      </c>
      <c r="AJ32">
        <f t="shared" si="37"/>
        <v>3.900771637572321</v>
      </c>
      <c r="AK32">
        <f t="shared" si="38"/>
        <v>89.04732028773333</v>
      </c>
      <c r="AL32">
        <f t="shared" si="39"/>
        <v>115.95404896098083</v>
      </c>
      <c r="AM32">
        <f t="shared" si="40"/>
        <v>103.74960787764999</v>
      </c>
    </row>
    <row r="33" spans="2:39" ht="13.5">
      <c r="B33">
        <v>0</v>
      </c>
      <c r="C33">
        <v>0</v>
      </c>
      <c r="Y33">
        <f t="shared" si="30"/>
        <v>64.69999999999996</v>
      </c>
      <c r="Z33">
        <f t="shared" si="29"/>
        <v>50.34300097088525</v>
      </c>
      <c r="AA33">
        <f t="shared" si="41"/>
        <v>1.1292280260403305</v>
      </c>
      <c r="AB33">
        <f t="shared" si="31"/>
        <v>3.8713279017643236</v>
      </c>
      <c r="AC33">
        <f t="shared" si="32"/>
        <v>100.69990892561519</v>
      </c>
      <c r="AE33">
        <f t="shared" si="33"/>
        <v>2.1680935033450517</v>
      </c>
      <c r="AF33">
        <v>0</v>
      </c>
      <c r="AG33">
        <f t="shared" si="34"/>
        <v>1.654442420569227</v>
      </c>
      <c r="AH33">
        <f t="shared" si="35"/>
        <v>3.318281058655135</v>
      </c>
      <c r="AI33">
        <f t="shared" si="36"/>
        <v>5.6526619405383975</v>
      </c>
      <c r="AJ33">
        <f t="shared" si="37"/>
        <v>3.8713279017643236</v>
      </c>
      <c r="AK33">
        <f t="shared" si="38"/>
        <v>86.72374013380207</v>
      </c>
      <c r="AL33">
        <f t="shared" si="39"/>
        <v>110.79983352755076</v>
      </c>
      <c r="AM33">
        <f t="shared" si="40"/>
        <v>100.69990892561519</v>
      </c>
    </row>
    <row r="34" spans="2:39" ht="13.5">
      <c r="B34">
        <f>C34*nf</f>
        <v>0.44999999999999996</v>
      </c>
      <c r="C34">
        <f>H</f>
        <v>3</v>
      </c>
      <c r="Y34">
        <f t="shared" si="30"/>
        <v>65.59999999999995</v>
      </c>
      <c r="Z34">
        <f t="shared" si="29"/>
        <v>50.08003296972853</v>
      </c>
      <c r="AA34">
        <f t="shared" si="41"/>
        <v>1.1449359893082793</v>
      </c>
      <c r="AB34">
        <f t="shared" si="31"/>
        <v>3.843266493769799</v>
      </c>
      <c r="AC34">
        <f t="shared" si="32"/>
        <v>97.69516861076437</v>
      </c>
      <c r="AE34">
        <f t="shared" si="33"/>
        <v>2.11086035449075</v>
      </c>
      <c r="AF34">
        <v>0</v>
      </c>
      <c r="AG34">
        <f t="shared" si="34"/>
        <v>1.5876704135725417</v>
      </c>
      <c r="AH34">
        <f t="shared" si="35"/>
        <v>3.294228423231256</v>
      </c>
      <c r="AI34">
        <f t="shared" si="36"/>
        <v>5.509375553491329</v>
      </c>
      <c r="AJ34">
        <f t="shared" si="37"/>
        <v>3.843266493769799</v>
      </c>
      <c r="AK34">
        <f t="shared" si="38"/>
        <v>84.43441417963</v>
      </c>
      <c r="AL34">
        <f t="shared" si="39"/>
        <v>105.9081606350008</v>
      </c>
      <c r="AM34">
        <f t="shared" si="40"/>
        <v>97.69516861076437</v>
      </c>
    </row>
    <row r="35" spans="2:39" ht="13.5">
      <c r="B35">
        <f>B34+bu</f>
        <v>0.85</v>
      </c>
      <c r="C35">
        <f>H</f>
        <v>3</v>
      </c>
      <c r="Y35">
        <f t="shared" si="30"/>
        <v>66.49999999999994</v>
      </c>
      <c r="Z35">
        <f t="shared" si="29"/>
        <v>49.75870194069188</v>
      </c>
      <c r="AA35">
        <f t="shared" si="41"/>
        <v>1.1606439525762282</v>
      </c>
      <c r="AB35">
        <f t="shared" si="31"/>
        <v>3.816543864202901</v>
      </c>
      <c r="AC35">
        <f t="shared" si="32"/>
        <v>94.73294905634721</v>
      </c>
      <c r="AE35">
        <f>H*(TAN(α)+1/TAN(AA35))-zc/TAN(AA35)</f>
        <v>2.054437124882804</v>
      </c>
      <c r="AF35">
        <v>0</v>
      </c>
      <c r="AG35">
        <f>((TH-zc)/TAN(AA35)+H*TAN(α)-Ho/TAN(β))</f>
        <v>1.5218433123632717</v>
      </c>
      <c r="AH35">
        <f>(H-zc)/SIN(AA35)</f>
        <v>3.2713233121739154</v>
      </c>
      <c r="AI35">
        <f>1/SIN(AA35-β)*(H*COS(α-β)/COS(α)-zc*COS(β))</f>
        <v>5.3744670532521415</v>
      </c>
      <c r="AJ35">
        <f>(TH-zc)/SIN(AA35)</f>
        <v>3.816543864202901</v>
      </c>
      <c r="AK35">
        <f>γ/2/SIN(AA35)*(H^2*COS(AA35-α)/COS(α)-zc^2*COS(AA35))+q*AE35</f>
        <v>82.17748499531217</v>
      </c>
      <c r="AL35">
        <f>γ/2/SIN(AA35-β)*(H^2*COS(AA35-α)*COS(α-β)/COS(α)^2-zc^2*COS(AA35)*COS(β))</f>
        <v>101.25723067087976</v>
      </c>
      <c r="AM35">
        <f>γ/2*(TH^2*COS(AA35-α)/SIN(AA35)-Ho^2*COS(α-β)/SIN(β)-zc^2*COS(α)/TAN(AA35))/COS(α)+AG35*q</f>
        <v>94.73294905634721</v>
      </c>
    </row>
    <row r="36" spans="2:29" ht="13.5">
      <c r="B36">
        <f>bu+(nf+nr)*H</f>
        <v>1.6</v>
      </c>
      <c r="C36">
        <v>0</v>
      </c>
      <c r="Y36" t="s">
        <v>26</v>
      </c>
      <c r="Z36">
        <f>MAX(Z25:Z35)</f>
        <v>50.77783925642433</v>
      </c>
      <c r="AA36">
        <f>VLOOKUP($Z$36,$Z$25:$AC$35,2,FALSE)</f>
        <v>1.066396172968535</v>
      </c>
      <c r="AB36">
        <f>VLOOKUP($Z$36,$Z$25:$AC$35,3,FALSE)</f>
        <v>3.997877574770005</v>
      </c>
      <c r="AC36">
        <f>VLOOKUP($Z$36,$Z$25:$AC$35,4,FALSE)</f>
        <v>113.19467110334602</v>
      </c>
    </row>
    <row r="37" spans="2:3" ht="13.5">
      <c r="B37">
        <v>0</v>
      </c>
      <c r="C37">
        <v>0</v>
      </c>
    </row>
    <row r="38" spans="2:29" ht="13.5">
      <c r="B38">
        <f>B35</f>
        <v>0.85</v>
      </c>
      <c r="D38">
        <f>H</f>
        <v>3</v>
      </c>
      <c r="AA38" t="s">
        <v>28</v>
      </c>
      <c r="AB38">
        <f>AA36-AB23</f>
        <v>1.050688209700586</v>
      </c>
      <c r="AC38">
        <f>AB38*180/PI()</f>
        <v>60.19999999999999</v>
      </c>
    </row>
    <row r="39" spans="2:29" ht="13.5">
      <c r="B39">
        <f>B38+Lo</f>
        <v>1.6</v>
      </c>
      <c r="D39">
        <f>D38+Ho</f>
        <v>3.5</v>
      </c>
      <c r="AA39" t="s">
        <v>29</v>
      </c>
      <c r="AB39">
        <f>MIN(AB5,AA36+AB23)</f>
        <v>1.0821041362364838</v>
      </c>
      <c r="AC39">
        <f>AB39*180/PI()</f>
        <v>61.99999999999997</v>
      </c>
    </row>
    <row r="40" spans="2:38" ht="13.5">
      <c r="B40">
        <f>MAX(B39,B62)+C30</f>
        <v>5.103509944375515</v>
      </c>
      <c r="D40">
        <f>D39</f>
        <v>3.5</v>
      </c>
      <c r="AA40" t="s">
        <v>27</v>
      </c>
      <c r="AB40">
        <f>(AB39-AB38)/10</f>
        <v>0.0031415926535897755</v>
      </c>
      <c r="AF40" t="s">
        <v>23</v>
      </c>
      <c r="AI40" t="s">
        <v>62</v>
      </c>
      <c r="AL40" t="s">
        <v>24</v>
      </c>
    </row>
    <row r="41" spans="2:39" ht="13.5">
      <c r="B41">
        <f>B39</f>
        <v>1.6</v>
      </c>
      <c r="E41">
        <f>D40</f>
        <v>3.5</v>
      </c>
      <c r="Y41" t="s">
        <v>56</v>
      </c>
      <c r="Z41" t="s">
        <v>25</v>
      </c>
      <c r="AA41" t="s">
        <v>21</v>
      </c>
      <c r="AB41" t="s">
        <v>62</v>
      </c>
      <c r="AC41" t="s">
        <v>24</v>
      </c>
      <c r="AE41" t="s">
        <v>58</v>
      </c>
      <c r="AF41" t="s">
        <v>59</v>
      </c>
      <c r="AG41" t="s">
        <v>60</v>
      </c>
      <c r="AH41" t="s">
        <v>58</v>
      </c>
      <c r="AI41" t="s">
        <v>59</v>
      </c>
      <c r="AJ41" t="s">
        <v>60</v>
      </c>
      <c r="AK41" t="s">
        <v>58</v>
      </c>
      <c r="AL41" t="s">
        <v>59</v>
      </c>
      <c r="AM41" t="s">
        <v>60</v>
      </c>
    </row>
    <row r="42" spans="2:39" ht="13.5">
      <c r="B42">
        <f>B41</f>
        <v>1.6</v>
      </c>
      <c r="E42">
        <f>E41+q/γ</f>
        <v>4</v>
      </c>
      <c r="Y42">
        <f>AA42*180/PI()</f>
        <v>60.19999999999999</v>
      </c>
      <c r="Z42">
        <f aca="true" t="shared" si="42" ref="Z42:Z52">(AC42*SIN(AA42-φ+θ)/COS(θ)-cu*AB42*COS(φ))/COS(AA42-φ-δ-α)</f>
        <v>50.72230028567064</v>
      </c>
      <c r="AA42">
        <f>AB38</f>
        <v>1.050688209700586</v>
      </c>
      <c r="AB42">
        <f>IF(Ho=0,AH42,IF(m=0,AH42,IF(AA42&lt;=$AH$3,AJ42,AI42)))</f>
        <v>4.033347935680016</v>
      </c>
      <c r="AC42">
        <f>IF(Ho=0,AK42,IF(m=0,AK42,IF(AA42&lt;=$AH$3,AM42,AL42)))</f>
        <v>116.45110049087455</v>
      </c>
      <c r="AE42">
        <f>H*(TAN(α)+1/TAN(AA42))-zc/TAN(AA42)</f>
        <v>2.4681161998261816</v>
      </c>
      <c r="AF42">
        <v>0</v>
      </c>
      <c r="AG42">
        <f>((TH-zc)/TAN(AA42)+H*TAN(α)-Ho/TAN(β))</f>
        <v>2.0044688997972124</v>
      </c>
      <c r="AH42">
        <f>(H-zc)/SIN(AA42)</f>
        <v>3.457155373440014</v>
      </c>
      <c r="AI42">
        <f>1/SIN(AA42-β)*(H*COS(α-β)/COS(α)-zc*COS(β))</f>
        <v>6.524379526357649</v>
      </c>
      <c r="AJ42">
        <f>(TH-zc)/SIN(AA42)</f>
        <v>4.033347935680016</v>
      </c>
      <c r="AK42">
        <f>γ/2/SIN(AA42)*(H^2*COS(AA42-α)/COS(α)-zc^2*COS(AA42))+q*AE42</f>
        <v>98.72464799304727</v>
      </c>
      <c r="AL42">
        <f>γ/2/SIN(AA42-β)*(H^2*COS(AA42-α)*COS(α-β)/COS(α)^2-zc^2*COS(AA42)*COS(β))</f>
        <v>139.73563577613666</v>
      </c>
      <c r="AM42">
        <f>γ/2*(TH^2*COS(AA42-α)/SIN(AA42)-Ho^2*COS(α-β)/SIN(β)-zc^2*COS(α)/TAN(AA42))/COS(α)+AG42*q</f>
        <v>116.45110049087455</v>
      </c>
    </row>
    <row r="43" spans="2:39" ht="13.5">
      <c r="B43">
        <f>B40</f>
        <v>5.103509944375515</v>
      </c>
      <c r="E43">
        <f>E42</f>
        <v>4</v>
      </c>
      <c r="Y43">
        <f aca="true" t="shared" si="43" ref="Y43:Y52">AA43*180/PI()</f>
        <v>60.37999999999999</v>
      </c>
      <c r="Z43">
        <f t="shared" si="42"/>
        <v>50.73895775996668</v>
      </c>
      <c r="AA43">
        <f>AA42+AB$40</f>
        <v>1.053829802354176</v>
      </c>
      <c r="AB43">
        <f aca="true" t="shared" si="44" ref="AB43:AB52">IF(Ho=0,AH43,IF(m=0,AH43,IF(AA43&lt;=$AH$3,AJ43,AI43)))</f>
        <v>4.026123984937694</v>
      </c>
      <c r="AC43">
        <f aca="true" t="shared" si="45" ref="AC43:AC52">IF(Ho=0,AK43,IF(m=0,AK43,IF(AA43&lt;=$AH$3,AM43,AL43)))</f>
        <v>115.7951871556111</v>
      </c>
      <c r="AE43">
        <f aca="true" t="shared" si="46" ref="AE43:AE52">H*(TAN(α)+1/TAN(AA43))-zc/TAN(AA43)</f>
        <v>2.455622612487831</v>
      </c>
      <c r="AF43">
        <v>0</v>
      </c>
      <c r="AG43">
        <f aca="true" t="shared" si="47" ref="AG43:AG52">((TH-zc)/TAN(AA43)+H*TAN(α)-Ho/TAN(β))</f>
        <v>1.989893047902469</v>
      </c>
      <c r="AH43">
        <f aca="true" t="shared" si="48" ref="AH43:AH52">(H-zc)/SIN(AA43)</f>
        <v>3.4509634156608806</v>
      </c>
      <c r="AI43">
        <f aca="true" t="shared" si="49" ref="AI43:AI52">1/SIN(AA43-β)*(H*COS(α-β)/COS(α)-zc*COS(β))</f>
        <v>6.483575916834076</v>
      </c>
      <c r="AJ43">
        <f aca="true" t="shared" si="50" ref="AJ43:AJ52">(TH-zc)/SIN(AA43)</f>
        <v>4.026123984937694</v>
      </c>
      <c r="AK43">
        <f aca="true" t="shared" si="51" ref="AK43:AK52">γ/2/SIN(AA43)*(H^2*COS(AA43-α)/COS(α)-zc^2*COS(AA43))+q*AE43</f>
        <v>98.22490449951323</v>
      </c>
      <c r="AL43">
        <f aca="true" t="shared" si="52" ref="AL43:AL52">γ/2/SIN(AA43-β)*(H^2*COS(AA43-α)*COS(α-β)/COS(α)^2-zc^2*COS(AA43)*COS(β))</f>
        <v>138.40670311577554</v>
      </c>
      <c r="AM43">
        <f aca="true" t="shared" si="53" ref="AM43:AM52">γ/2*(TH^2*COS(AA43-α)/SIN(AA43)-Ho^2*COS(α-β)/SIN(β)-zc^2*COS(α)/TAN(AA43))/COS(α)+AG43*q</f>
        <v>115.7951871556111</v>
      </c>
    </row>
    <row r="44" spans="2:39" ht="13.5">
      <c r="B44">
        <f>B36/2</f>
        <v>0.8</v>
      </c>
      <c r="F44">
        <v>0</v>
      </c>
      <c r="Y44">
        <f t="shared" si="43"/>
        <v>60.55999999999999</v>
      </c>
      <c r="Z44">
        <f t="shared" si="42"/>
        <v>50.75282000671016</v>
      </c>
      <c r="AA44">
        <f aca="true" t="shared" si="54" ref="AA44:AA52">AA43+AB$40</f>
        <v>1.0569713950077657</v>
      </c>
      <c r="AB44">
        <f t="shared" si="44"/>
        <v>4.0189654595774975</v>
      </c>
      <c r="AC44">
        <f t="shared" si="45"/>
        <v>115.1416127353186</v>
      </c>
      <c r="AE44">
        <f t="shared" si="46"/>
        <v>2.443173575910831</v>
      </c>
      <c r="AF44">
        <v>0</v>
      </c>
      <c r="AG44">
        <f t="shared" si="47"/>
        <v>1.9753691718959692</v>
      </c>
      <c r="AH44">
        <f t="shared" si="48"/>
        <v>3.4448275367807124</v>
      </c>
      <c r="AI44">
        <f t="shared" si="49"/>
        <v>6.443342706511513</v>
      </c>
      <c r="AJ44">
        <f t="shared" si="50"/>
        <v>4.0189654595774975</v>
      </c>
      <c r="AK44">
        <f t="shared" si="51"/>
        <v>97.72694303643323</v>
      </c>
      <c r="AL44">
        <f t="shared" si="52"/>
        <v>137.09427661912704</v>
      </c>
      <c r="AM44">
        <f t="shared" si="53"/>
        <v>115.1416127353186</v>
      </c>
    </row>
    <row r="45" spans="2:39" ht="13.5">
      <c r="B45">
        <f>B34+0.5*bu</f>
        <v>0.6499999999999999</v>
      </c>
      <c r="F45">
        <f>C35</f>
        <v>3</v>
      </c>
      <c r="Y45">
        <f t="shared" si="43"/>
        <v>60.73999999999999</v>
      </c>
      <c r="Z45">
        <f t="shared" si="42"/>
        <v>50.763907600876806</v>
      </c>
      <c r="AA45">
        <f t="shared" si="54"/>
        <v>1.0601129876613555</v>
      </c>
      <c r="AB45">
        <f t="shared" si="44"/>
        <v>4.011871870305092</v>
      </c>
      <c r="AC45">
        <f t="shared" si="45"/>
        <v>114.4903519093401</v>
      </c>
      <c r="AE45">
        <f t="shared" si="46"/>
        <v>2.4307686077969546</v>
      </c>
      <c r="AF45">
        <v>0</v>
      </c>
      <c r="AG45">
        <f t="shared" si="47"/>
        <v>1.9608967090964473</v>
      </c>
      <c r="AH45">
        <f t="shared" si="48"/>
        <v>3.4387473174043643</v>
      </c>
      <c r="AI45">
        <f t="shared" si="49"/>
        <v>6.403668555302705</v>
      </c>
      <c r="AJ45">
        <f t="shared" si="50"/>
        <v>4.011871870305092</v>
      </c>
      <c r="AK45">
        <f t="shared" si="51"/>
        <v>97.23074431187818</v>
      </c>
      <c r="AL45">
        <f t="shared" si="52"/>
        <v>135.79802523015007</v>
      </c>
      <c r="AM45">
        <f t="shared" si="53"/>
        <v>114.4903519093401</v>
      </c>
    </row>
    <row r="46" spans="2:39" ht="13.5">
      <c r="B46">
        <f>C30/2-C30/6</f>
        <v>0.5333333333333334</v>
      </c>
      <c r="G46">
        <f>0</f>
        <v>0</v>
      </c>
      <c r="Y46">
        <f t="shared" si="43"/>
        <v>60.91999999999999</v>
      </c>
      <c r="Z46">
        <f t="shared" si="42"/>
        <v>50.7722407413754</v>
      </c>
      <c r="AA46">
        <f t="shared" si="54"/>
        <v>1.0632545803149454</v>
      </c>
      <c r="AB46">
        <f t="shared" si="44"/>
        <v>4.004842734228835</v>
      </c>
      <c r="AC46">
        <f t="shared" si="45"/>
        <v>113.84137962698512</v>
      </c>
      <c r="AE46">
        <f t="shared" si="46"/>
        <v>2.4184072309901925</v>
      </c>
      <c r="AF46">
        <v>0</v>
      </c>
      <c r="AG46">
        <f t="shared" si="47"/>
        <v>1.946475102821891</v>
      </c>
      <c r="AH46">
        <f t="shared" si="48"/>
        <v>3.432722343624716</v>
      </c>
      <c r="AI46">
        <f t="shared" si="49"/>
        <v>6.364542423355559</v>
      </c>
      <c r="AJ46">
        <f t="shared" si="50"/>
        <v>4.004842734228835</v>
      </c>
      <c r="AK46">
        <f t="shared" si="51"/>
        <v>96.7362892396077</v>
      </c>
      <c r="AL46">
        <f t="shared" si="52"/>
        <v>134.51762663391514</v>
      </c>
      <c r="AM46">
        <f t="shared" si="53"/>
        <v>113.84137962698512</v>
      </c>
    </row>
    <row r="47" spans="2:39" ht="13.5">
      <c r="B47">
        <f>B34+bu/2-bu/6</f>
        <v>0.5833333333333333</v>
      </c>
      <c r="G47">
        <f>F45</f>
        <v>3</v>
      </c>
      <c r="Y47">
        <f t="shared" si="43"/>
        <v>61.09999999999999</v>
      </c>
      <c r="Z47">
        <f t="shared" si="42"/>
        <v>50.777839256424336</v>
      </c>
      <c r="AA47">
        <f t="shared" si="54"/>
        <v>1.0663961729685352</v>
      </c>
      <c r="AB47">
        <f t="shared" si="44"/>
        <v>3.9978775747700044</v>
      </c>
      <c r="AC47">
        <f t="shared" si="45"/>
        <v>113.194671103346</v>
      </c>
      <c r="AE47">
        <f t="shared" si="46"/>
        <v>2.4060889733970665</v>
      </c>
      <c r="AF47">
        <v>0</v>
      </c>
      <c r="AG47">
        <f t="shared" si="47"/>
        <v>1.9321038022965773</v>
      </c>
      <c r="AH47">
        <f t="shared" si="48"/>
        <v>3.426752206945718</v>
      </c>
      <c r="AI47">
        <f t="shared" si="49"/>
        <v>6.325953561196569</v>
      </c>
      <c r="AJ47">
        <f t="shared" si="50"/>
        <v>3.9978775747700044</v>
      </c>
      <c r="AK47">
        <f t="shared" si="51"/>
        <v>96.24355893588266</v>
      </c>
      <c r="AL47">
        <f t="shared" si="52"/>
        <v>133.25276696954415</v>
      </c>
      <c r="AM47">
        <f t="shared" si="53"/>
        <v>113.194671103346</v>
      </c>
    </row>
    <row r="48" spans="2:39" ht="13.5">
      <c r="B48">
        <f>C30/2+C30/6</f>
        <v>1.0666666666666667</v>
      </c>
      <c r="H48">
        <v>0</v>
      </c>
      <c r="Y48">
        <f t="shared" si="43"/>
        <v>61.27999999999999</v>
      </c>
      <c r="Z48">
        <f t="shared" si="42"/>
        <v>50.78072260881637</v>
      </c>
      <c r="AA48">
        <f t="shared" si="54"/>
        <v>1.069537765622125</v>
      </c>
      <c r="AB48">
        <f t="shared" si="44"/>
        <v>3.9909759215746425</v>
      </c>
      <c r="AC48">
        <f t="shared" si="45"/>
        <v>112.55020181518607</v>
      </c>
      <c r="AE48">
        <f t="shared" si="46"/>
        <v>2.3938133679083062</v>
      </c>
      <c r="AF48">
        <v>0</v>
      </c>
      <c r="AG48">
        <f t="shared" si="47"/>
        <v>1.9177822625596903</v>
      </c>
      <c r="AH48">
        <f t="shared" si="48"/>
        <v>3.4208365042068363</v>
      </c>
      <c r="AI48">
        <f t="shared" si="49"/>
        <v>6.287891500260102</v>
      </c>
      <c r="AJ48">
        <f t="shared" si="50"/>
        <v>3.9909759215746425</v>
      </c>
      <c r="AK48">
        <f t="shared" si="51"/>
        <v>95.75253471633226</v>
      </c>
      <c r="AL48">
        <f t="shared" si="52"/>
        <v>132.00314055438596</v>
      </c>
      <c r="AM48">
        <f t="shared" si="53"/>
        <v>112.55020181518607</v>
      </c>
    </row>
    <row r="49" spans="2:39" ht="13.5">
      <c r="B49">
        <f>B34+bu/2+bu/6</f>
        <v>0.7166666666666666</v>
      </c>
      <c r="H49">
        <f>H</f>
        <v>3</v>
      </c>
      <c r="Y49">
        <f t="shared" si="43"/>
        <v>61.46</v>
      </c>
      <c r="Z49">
        <f t="shared" si="42"/>
        <v>50.78090990107367</v>
      </c>
      <c r="AA49">
        <f t="shared" si="54"/>
        <v>1.0726793582757148</v>
      </c>
      <c r="AB49">
        <f t="shared" si="44"/>
        <v>3.984137310426999</v>
      </c>
      <c r="AC49">
        <f t="shared" si="45"/>
        <v>111.90794749689822</v>
      </c>
      <c r="AE49">
        <f t="shared" si="46"/>
        <v>2.381579952321871</v>
      </c>
      <c r="AF49">
        <v>0</v>
      </c>
      <c r="AG49">
        <f t="shared" si="47"/>
        <v>1.9035099443755161</v>
      </c>
      <c r="AH49">
        <f t="shared" si="48"/>
        <v>3.414974837508856</v>
      </c>
      <c r="AI49">
        <f t="shared" si="49"/>
        <v>6.250346043786017</v>
      </c>
      <c r="AJ49">
        <f t="shared" si="50"/>
        <v>3.984137310426999</v>
      </c>
      <c r="AK49">
        <f t="shared" si="51"/>
        <v>95.26319809287483</v>
      </c>
      <c r="AL49">
        <f t="shared" si="52"/>
        <v>130.76844961891894</v>
      </c>
      <c r="AM49">
        <f t="shared" si="53"/>
        <v>111.90794749689822</v>
      </c>
    </row>
    <row r="50" spans="2:39" ht="13.5">
      <c r="B50">
        <f>I50*nf+S16</f>
        <v>0.6499999999999999</v>
      </c>
      <c r="I50">
        <f>H</f>
        <v>3</v>
      </c>
      <c r="Y50">
        <f t="shared" si="43"/>
        <v>61.64</v>
      </c>
      <c r="Z50">
        <f t="shared" si="42"/>
        <v>50.778419880495704</v>
      </c>
      <c r="AA50">
        <f t="shared" si="54"/>
        <v>1.0758209509293046</v>
      </c>
      <c r="AB50">
        <f t="shared" si="44"/>
        <v>3.9773612831645297</v>
      </c>
      <c r="AC50">
        <f t="shared" si="45"/>
        <v>111.26788413653209</v>
      </c>
      <c r="AE50">
        <f t="shared" si="46"/>
        <v>2.369388269267278</v>
      </c>
      <c r="AF50">
        <v>0</v>
      </c>
      <c r="AG50">
        <f t="shared" si="47"/>
        <v>1.8892863141451572</v>
      </c>
      <c r="AH50">
        <f t="shared" si="48"/>
        <v>3.4091668141410256</v>
      </c>
      <c r="AI50">
        <f t="shared" si="49"/>
        <v>6.21330725806902</v>
      </c>
      <c r="AJ50">
        <f t="shared" si="50"/>
        <v>3.9773612831645297</v>
      </c>
      <c r="AK50">
        <f t="shared" si="51"/>
        <v>94.77553077069112</v>
      </c>
      <c r="AL50">
        <f t="shared" si="52"/>
        <v>129.5484040518967</v>
      </c>
      <c r="AM50">
        <f t="shared" si="53"/>
        <v>111.26788413653209</v>
      </c>
    </row>
    <row r="51" spans="2:39" ht="13.5">
      <c r="B51">
        <f aca="true" t="shared" si="55" ref="B51:B60">I51*nf+S17</f>
        <v>0.667671706933509</v>
      </c>
      <c r="I51">
        <f>I50-ΔH</f>
        <v>2.7</v>
      </c>
      <c r="Y51">
        <f t="shared" si="43"/>
        <v>61.82</v>
      </c>
      <c r="Z51">
        <f t="shared" si="42"/>
        <v>50.77327094410198</v>
      </c>
      <c r="AA51">
        <f t="shared" si="54"/>
        <v>1.0789625435828945</v>
      </c>
      <c r="AB51">
        <f t="shared" si="44"/>
        <v>3.9706473875944255</v>
      </c>
      <c r="AC51">
        <f t="shared" si="45"/>
        <v>110.62998797188902</v>
      </c>
      <c r="AE51">
        <f t="shared" si="46"/>
        <v>2.3572378661312197</v>
      </c>
      <c r="AF51">
        <v>0</v>
      </c>
      <c r="AG51">
        <f t="shared" si="47"/>
        <v>1.8751108438197566</v>
      </c>
      <c r="AH51">
        <f t="shared" si="48"/>
        <v>3.4034120465095077</v>
      </c>
      <c r="AI51">
        <f t="shared" si="49"/>
        <v>6.176765464044003</v>
      </c>
      <c r="AJ51">
        <f t="shared" si="50"/>
        <v>3.9706473875944255</v>
      </c>
      <c r="AK51">
        <f t="shared" si="51"/>
        <v>94.28951464524879</v>
      </c>
      <c r="AL51">
        <f t="shared" si="52"/>
        <v>128.34272115527773</v>
      </c>
      <c r="AM51">
        <f t="shared" si="53"/>
        <v>110.62998797188902</v>
      </c>
    </row>
    <row r="52" spans="2:39" ht="13.5">
      <c r="B52">
        <f t="shared" si="55"/>
        <v>0.6693748249704126</v>
      </c>
      <c r="I52">
        <f aca="true" t="shared" si="56" ref="I52:I60">I51-ΔH</f>
        <v>2.4000000000000004</v>
      </c>
      <c r="Y52">
        <f t="shared" si="43"/>
        <v>62</v>
      </c>
      <c r="Z52">
        <f t="shared" si="42"/>
        <v>50.7654811434718</v>
      </c>
      <c r="AA52">
        <f t="shared" si="54"/>
        <v>1.0821041362364843</v>
      </c>
      <c r="AB52">
        <f t="shared" si="44"/>
        <v>3.9639951774116375</v>
      </c>
      <c r="AC52">
        <f t="shared" si="45"/>
        <v>109.99423548668291</v>
      </c>
      <c r="AE52">
        <f t="shared" si="46"/>
        <v>2.3451282949844363</v>
      </c>
      <c r="AF52">
        <v>0</v>
      </c>
      <c r="AG52">
        <f t="shared" si="47"/>
        <v>1.860983010815176</v>
      </c>
      <c r="AH52">
        <f t="shared" si="48"/>
        <v>3.3977101520671176</v>
      </c>
      <c r="AI52">
        <f t="shared" si="49"/>
        <v>6.140711229192408</v>
      </c>
      <c r="AJ52">
        <f t="shared" si="50"/>
        <v>3.9639951774116375</v>
      </c>
      <c r="AK52">
        <f t="shared" si="51"/>
        <v>93.80513179937745</v>
      </c>
      <c r="AL52">
        <f t="shared" si="52"/>
        <v>127.151125408504</v>
      </c>
      <c r="AM52">
        <f t="shared" si="53"/>
        <v>109.99423548668291</v>
      </c>
    </row>
    <row r="53" spans="2:29" ht="13.5">
      <c r="B53">
        <f t="shared" si="55"/>
        <v>0.6621320459628839</v>
      </c>
      <c r="I53">
        <f t="shared" si="56"/>
        <v>2.1000000000000005</v>
      </c>
      <c r="Y53" t="s">
        <v>26</v>
      </c>
      <c r="Z53">
        <f>MAX(Z42:Z52)</f>
        <v>50.78090990107367</v>
      </c>
      <c r="AA53">
        <f>VLOOKUP($Z$53,$Z$42:$AC$52,2,FALSE)</f>
        <v>1.0726793582757148</v>
      </c>
      <c r="AB53">
        <f>VLOOKUP($Z$53,$Z$42:$AC$52,3,FALSE)</f>
        <v>3.984137310426999</v>
      </c>
      <c r="AC53">
        <f>VLOOKUP($Z$53,$Z$42:$AC$52,4,FALSE)</f>
        <v>111.90794749689822</v>
      </c>
    </row>
    <row r="54" spans="2:26" ht="13.5">
      <c r="B54">
        <f t="shared" si="55"/>
        <v>0.6493746119274608</v>
      </c>
      <c r="I54">
        <f t="shared" si="56"/>
        <v>1.8000000000000005</v>
      </c>
      <c r="Y54" t="s">
        <v>30</v>
      </c>
      <c r="Z54">
        <f>2*Z53/(γ*AB3^2)</f>
        <v>0.5642323322341519</v>
      </c>
    </row>
    <row r="55" spans="2:9" ht="13.5">
      <c r="B55">
        <f t="shared" si="55"/>
        <v>0.632977922563045</v>
      </c>
      <c r="I55">
        <f t="shared" si="56"/>
        <v>1.5000000000000004</v>
      </c>
    </row>
    <row r="56" spans="2:27" ht="13.5">
      <c r="B56">
        <f t="shared" si="55"/>
        <v>0.6140535892246606</v>
      </c>
      <c r="I56">
        <f t="shared" si="56"/>
        <v>1.2000000000000004</v>
      </c>
      <c r="AA56">
        <f>AA53*180/PI()</f>
        <v>61.46</v>
      </c>
    </row>
    <row r="57" spans="2:9" ht="13.5">
      <c r="B57">
        <f t="shared" si="55"/>
        <v>0.5933023358973584</v>
      </c>
      <c r="I57">
        <f t="shared" si="56"/>
        <v>0.9000000000000004</v>
      </c>
    </row>
    <row r="58" spans="2:9" ht="13.5">
      <c r="B58">
        <f t="shared" si="55"/>
        <v>0.5711877863733561</v>
      </c>
      <c r="I58">
        <f t="shared" si="56"/>
        <v>0.6000000000000003</v>
      </c>
    </row>
    <row r="59" spans="2:9" ht="13.5">
      <c r="B59">
        <f t="shared" si="55"/>
        <v>0.5480289257207069</v>
      </c>
      <c r="I59">
        <f t="shared" si="56"/>
        <v>0.3000000000000003</v>
      </c>
    </row>
    <row r="60" spans="2:9" ht="13.5">
      <c r="B60">
        <f t="shared" si="55"/>
        <v>0.5240524238435199</v>
      </c>
      <c r="I60">
        <f t="shared" si="56"/>
        <v>0</v>
      </c>
    </row>
    <row r="61" spans="2:10" ht="13.5">
      <c r="B61">
        <f>B36</f>
        <v>1.6</v>
      </c>
      <c r="J61">
        <v>0</v>
      </c>
    </row>
    <row r="62" spans="2:10" ht="13.5">
      <c r="B62">
        <f>$C$30+$AB$53*COS($AA$53)</f>
        <v>3.5035099443755158</v>
      </c>
      <c r="J62">
        <f>$AB$53*SIN($AA$53)</f>
        <v>3.5</v>
      </c>
    </row>
    <row r="63" spans="2:10" ht="13.5">
      <c r="B63">
        <f>B62</f>
        <v>3.5035099443755158</v>
      </c>
      <c r="J63">
        <f>J62+zc</f>
        <v>3.5</v>
      </c>
    </row>
  </sheetData>
  <sheetProtection sheet="1" objects="1" scenarios="1"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(株)第一コンサルタンツ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DT-121</dc:creator>
  <cp:keywords/>
  <dc:description/>
  <cp:lastModifiedBy> </cp:lastModifiedBy>
  <cp:lastPrinted>2004-11-01T07:49:55Z</cp:lastPrinted>
  <dcterms:created xsi:type="dcterms:W3CDTF">2001-03-14T09:28:42Z</dcterms:created>
  <dcterms:modified xsi:type="dcterms:W3CDTF">2001-07-01T04:20:42Z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