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" yWindow="36" windowWidth="12120" windowHeight="9120" activeTab="0"/>
  </bookViews>
  <sheets>
    <sheet name="入力" sheetId="1" r:id="rId1"/>
    <sheet name="データ" sheetId="2" state="hidden" r:id="rId2"/>
    <sheet name="計算" sheetId="3" r:id="rId3"/>
  </sheets>
  <externalReferences>
    <externalReference r:id="rId6"/>
  </externalReferences>
  <definedNames>
    <definedName name="b">'計算'!$E$8</definedName>
    <definedName name="Bh">'[1]設計条件'!$C$8</definedName>
    <definedName name="Bt">'[1]設計条件'!$C$6</definedName>
    <definedName name="Dai">'計算'!#REF!</definedName>
    <definedName name="Daib">'計算'!$C$27</definedName>
    <definedName name="Daif">'計算'!$C$25</definedName>
    <definedName name="Dail">'計算'!$C$26</definedName>
    <definedName name="Daiw">'[1]設計条件'!$D$38</definedName>
    <definedName name="H">'計算'!$D$112</definedName>
    <definedName name="hf">'計算'!$E$4</definedName>
    <definedName name="hl">'計算'!$E$6</definedName>
    <definedName name="KA">'計算'!$F$101</definedName>
    <definedName name="Kavrib">'計算'!$E$27</definedName>
    <definedName name="Kavrif">'計算'!$E$25</definedName>
    <definedName name="Kavril">'計算'!$E$26</definedName>
    <definedName name="Kavw">'[1]設計条件'!$F$38</definedName>
    <definedName name="kH">'計算'!$H$138</definedName>
    <definedName name="ks">'計算'!$F$135</definedName>
    <definedName name="kv">'計算'!$H$133</definedName>
    <definedName name="L">'計算'!$E$10</definedName>
    <definedName name="lb">'計算'!$D$84</definedName>
    <definedName name="lf">'計算'!$D$83</definedName>
    <definedName name="ll">'計算'!$D$82</definedName>
    <definedName name="M">'計算'!$E$113</definedName>
    <definedName name="N">'計算'!$E$12</definedName>
    <definedName name="Nb">'計算'!$E$17</definedName>
    <definedName name="PA">'計算'!$F$106</definedName>
    <definedName name="pichb">'計算'!$D$27</definedName>
    <definedName name="pichf">'計算'!$D$25</definedName>
    <definedName name="pichl">'計算'!$D$26</definedName>
    <definedName name="pichw">'[1]設計条件'!$E$38</definedName>
    <definedName name="_xlnm.Print_Area" localSheetId="2">'計算'!$A$42:$I$467</definedName>
    <definedName name="_xlnm.Print_Area" localSheetId="0">'入力'!$A$2:$U$49</definedName>
    <definedName name="q">'計算'!$E$15</definedName>
    <definedName name="qd">'計算'!$E$19</definedName>
    <definedName name="Qt">'計算'!$E$212</definedName>
    <definedName name="qvf">'計算'!$F$181</definedName>
    <definedName name="qvl">'計算'!$F$183</definedName>
    <definedName name="tb">'計算'!$E$9</definedName>
    <definedName name="tf">'計算'!$E$5</definedName>
    <definedName name="tl">'計算'!$E$7</definedName>
    <definedName name="uo">'計算'!$F$151</definedName>
    <definedName name="V">'計算'!$D$111</definedName>
    <definedName name="vo">'計算'!$E$153</definedName>
    <definedName name="yA">'計算'!$F$108</definedName>
    <definedName name="α">'計算'!$F$155</definedName>
    <definedName name="γ">'計算'!$E$13</definedName>
    <definedName name="γc">'計算'!$E$22</definedName>
    <definedName name="μ">'計算'!$E$18</definedName>
    <definedName name="σca">'計算'!$F$72</definedName>
    <definedName name="σsa">'計算'!$F$76</definedName>
    <definedName name="τa">'計算'!$F$73</definedName>
    <definedName name="φ">'計算'!$E$14</definedName>
  </definedNames>
  <calcPr fullCalcOnLoad="1"/>
</workbook>
</file>

<file path=xl/comments1.xml><?xml version="1.0" encoding="utf-8"?>
<comments xmlns="http://schemas.openxmlformats.org/spreadsheetml/2006/main">
  <authors>
    <author>DT-121</author>
  </authors>
  <commentList>
    <comment ref="E26" authorId="0">
      <text>
        <r>
          <rPr>
            <sz val="7"/>
            <rFont val="ＭＳ Ｐゴシック"/>
            <family val="3"/>
          </rPr>
          <t xml:space="preserve">主鉄筋中心からコンクリート縁までの距離
</t>
        </r>
      </text>
    </comment>
    <comment ref="E27" authorId="0">
      <text>
        <r>
          <rPr>
            <sz val="7"/>
            <rFont val="ＭＳ Ｐゴシック"/>
            <family val="3"/>
          </rPr>
          <t xml:space="preserve">主鉄筋中心からコンクリート縁までの距離
</t>
        </r>
      </text>
    </comment>
    <comment ref="E28" authorId="0">
      <text>
        <r>
          <rPr>
            <sz val="7"/>
            <rFont val="ＭＳ Ｐゴシック"/>
            <family val="3"/>
          </rPr>
          <t xml:space="preserve">主鉄筋中心からコンクリート縁までの距離
</t>
        </r>
      </text>
    </comment>
    <comment ref="E29" authorId="0">
      <text>
        <r>
          <rPr>
            <sz val="7"/>
            <rFont val="ＭＳ Ｐゴシック"/>
            <family val="3"/>
          </rPr>
          <t xml:space="preserve">主鉄筋中心からコンクリート縁までの距離
</t>
        </r>
      </text>
    </comment>
    <comment ref="E30" authorId="0">
      <text>
        <r>
          <rPr>
            <sz val="7"/>
            <rFont val="ＭＳ Ｐゴシック"/>
            <family val="3"/>
          </rPr>
          <t xml:space="preserve">主鉄筋中心からコンクリート縁までの距離
</t>
        </r>
      </text>
    </comment>
    <comment ref="E31" authorId="0">
      <text>
        <r>
          <rPr>
            <sz val="7"/>
            <rFont val="ＭＳ Ｐゴシック"/>
            <family val="3"/>
          </rPr>
          <t xml:space="preserve">主鉄筋中心からコンクリート縁までの距離
</t>
        </r>
      </text>
    </comment>
    <comment ref="C27" authorId="0">
      <text>
        <r>
          <rPr>
            <sz val="7"/>
            <rFont val="ＭＳ Ｐゴシック"/>
            <family val="3"/>
          </rPr>
          <t>鉄筋がない場合は0を入力する</t>
        </r>
      </text>
    </comment>
    <comment ref="C29" authorId="0">
      <text>
        <r>
          <rPr>
            <sz val="7"/>
            <rFont val="ＭＳ Ｐゴシック"/>
            <family val="3"/>
          </rPr>
          <t>鉄筋がない場合は0を入力する</t>
        </r>
      </text>
    </comment>
    <comment ref="C31" authorId="0">
      <text>
        <r>
          <rPr>
            <sz val="7"/>
            <rFont val="ＭＳ Ｐゴシック"/>
            <family val="3"/>
          </rPr>
          <t>鉄筋がない場合は0を入力する</t>
        </r>
      </text>
    </comment>
  </commentList>
</comments>
</file>

<file path=xl/sharedStrings.xml><?xml version="1.0" encoding="utf-8"?>
<sst xmlns="http://schemas.openxmlformats.org/spreadsheetml/2006/main" count="658" uniqueCount="292">
  <si>
    <t>１．設計条件</t>
  </si>
  <si>
    <t>地盤</t>
  </si>
  <si>
    <t>上載荷重</t>
  </si>
  <si>
    <t>（１）擁壁形状</t>
  </si>
  <si>
    <t>x</t>
  </si>
  <si>
    <t>擁壁</t>
  </si>
  <si>
    <t>前面</t>
  </si>
  <si>
    <t>背面</t>
  </si>
  <si>
    <t>前壁</t>
  </si>
  <si>
    <t>壁高</t>
  </si>
  <si>
    <t>m</t>
  </si>
  <si>
    <t>壁厚</t>
  </si>
  <si>
    <t>後壁</t>
  </si>
  <si>
    <t>底版</t>
  </si>
  <si>
    <t>幅</t>
  </si>
  <si>
    <t>B=</t>
  </si>
  <si>
    <t>厚さ</t>
  </si>
  <si>
    <t>（２）裏込め土</t>
  </si>
  <si>
    <t>N=</t>
  </si>
  <si>
    <t>内部摩擦角</t>
  </si>
  <si>
    <t>度</t>
  </si>
  <si>
    <t>（３）上載荷重</t>
  </si>
  <si>
    <t>q=</t>
  </si>
  <si>
    <t>摩擦係数</t>
  </si>
  <si>
    <t>極限支持力度</t>
  </si>
  <si>
    <t>部　材</t>
  </si>
  <si>
    <t>材質</t>
  </si>
  <si>
    <t>◆コンクリート</t>
  </si>
  <si>
    <t>設計基準強度</t>
  </si>
  <si>
    <t>許容曲げ圧縮応力度</t>
  </si>
  <si>
    <t>許容せん断応力度</t>
  </si>
  <si>
    <t>◆鉄筋</t>
  </si>
  <si>
    <t>材　質</t>
  </si>
  <si>
    <t>許容引張応力度</t>
  </si>
  <si>
    <t>２．荷重</t>
  </si>
  <si>
    <t>（１）軸線の長さ</t>
  </si>
  <si>
    <t>（２）自重</t>
  </si>
  <si>
    <t>部材</t>
  </si>
  <si>
    <t>長さ</t>
  </si>
  <si>
    <t>面積</t>
  </si>
  <si>
    <t>距離</t>
  </si>
  <si>
    <t>モーメント</t>
  </si>
  <si>
    <t>total</t>
  </si>
  <si>
    <t>重　　量</t>
  </si>
  <si>
    <t>kN/m</t>
  </si>
  <si>
    <t>重心位置</t>
  </si>
  <si>
    <t>（３）後壁に作用する土圧</t>
  </si>
  <si>
    <t>主働土圧係数</t>
  </si>
  <si>
    <t>土圧強度</t>
  </si>
  <si>
    <t>壁上端</t>
  </si>
  <si>
    <t>壁下端</t>
  </si>
  <si>
    <t>土圧合力</t>
  </si>
  <si>
    <t>合力の作用高</t>
  </si>
  <si>
    <t>（４）荷重の集計</t>
  </si>
  <si>
    <t>鉛直力</t>
  </si>
  <si>
    <t>水平力</t>
  </si>
  <si>
    <t>３．地盤反力の計算</t>
  </si>
  <si>
    <t>支持地盤</t>
  </si>
  <si>
    <t>鉛直地盤反力係数</t>
  </si>
  <si>
    <t>せん断地盤反力係数</t>
  </si>
  <si>
    <t>根入れ地盤</t>
  </si>
  <si>
    <t>水平地盤反力係数</t>
  </si>
  <si>
    <t>縮尺</t>
  </si>
  <si>
    <t>地盤反力</t>
  </si>
  <si>
    <t>kN</t>
  </si>
  <si>
    <t>擁壁骨組</t>
  </si>
  <si>
    <t>側面</t>
  </si>
  <si>
    <t>底面</t>
  </si>
  <si>
    <t>土圧</t>
  </si>
  <si>
    <t>rad</t>
  </si>
  <si>
    <t>前端</t>
  </si>
  <si>
    <t>後端</t>
  </si>
  <si>
    <t>備考</t>
  </si>
  <si>
    <t>上端</t>
  </si>
  <si>
    <t>下端</t>
  </si>
  <si>
    <t>曲げモーメント</t>
  </si>
  <si>
    <t>せん断力</t>
  </si>
  <si>
    <t>作用位置</t>
  </si>
  <si>
    <t>x=</t>
  </si>
  <si>
    <t>y=</t>
  </si>
  <si>
    <t>４．安定計算</t>
  </si>
  <si>
    <t>（１）転倒に対する検討</t>
  </si>
  <si>
    <t>荷重の偏心量</t>
  </si>
  <si>
    <t>安定度</t>
  </si>
  <si>
    <t>（２）滑動に対する検討</t>
  </si>
  <si>
    <t>　ａ）基礎底面の滑動に対する検討</t>
  </si>
  <si>
    <t>底面に作用する水平力</t>
  </si>
  <si>
    <t>底面に作用する鉛直力</t>
  </si>
  <si>
    <t>安全率</t>
  </si>
  <si>
    <t>　ｂ）根入れ地盤の破壊に対する検討</t>
  </si>
  <si>
    <t>前壁側面の水平力</t>
  </si>
  <si>
    <t>根入れ地盤の受働抵抗力</t>
  </si>
  <si>
    <t>（３）支持力に対する検討</t>
  </si>
  <si>
    <t>地盤の極限支持力度</t>
  </si>
  <si>
    <t>最大地盤反力度</t>
  </si>
  <si>
    <t>（１）前壁</t>
  </si>
  <si>
    <r>
      <t>y</t>
    </r>
    <r>
      <rPr>
        <sz val="11"/>
        <rFont val="Times New Roman"/>
        <family val="1"/>
      </rPr>
      <t>(m)</t>
    </r>
  </si>
  <si>
    <t>（上端）</t>
  </si>
  <si>
    <t>q</t>
  </si>
  <si>
    <t>（下端）</t>
  </si>
  <si>
    <t>max</t>
  </si>
  <si>
    <t>min</t>
  </si>
  <si>
    <t>（２）後壁</t>
  </si>
  <si>
    <r>
      <t>y'</t>
    </r>
    <r>
      <rPr>
        <sz val="11"/>
        <rFont val="Times New Roman"/>
        <family val="1"/>
      </rPr>
      <t>(m)</t>
    </r>
  </si>
  <si>
    <t>（３）底版</t>
  </si>
  <si>
    <r>
      <t>x</t>
    </r>
    <r>
      <rPr>
        <sz val="11"/>
        <rFont val="Times New Roman"/>
        <family val="1"/>
      </rPr>
      <t>(m)</t>
    </r>
  </si>
  <si>
    <t>（後端）</t>
  </si>
  <si>
    <t>Nmin=</t>
  </si>
  <si>
    <t>tf/m</t>
  </si>
  <si>
    <t>Nmax=</t>
  </si>
  <si>
    <t>Smin=</t>
  </si>
  <si>
    <t>Smax=</t>
  </si>
  <si>
    <t>Mmin=</t>
  </si>
  <si>
    <t>Mmax=</t>
  </si>
  <si>
    <t>（前端）</t>
  </si>
  <si>
    <t>　ａ）断面力</t>
  </si>
  <si>
    <t>M=</t>
  </si>
  <si>
    <t>S=</t>
  </si>
  <si>
    <t>　ｂ）応力度</t>
  </si>
  <si>
    <t>部材厚さ</t>
  </si>
  <si>
    <t>mm</t>
  </si>
  <si>
    <t>有効高さ</t>
  </si>
  <si>
    <t>使用鉄筋</t>
  </si>
  <si>
    <r>
      <t>l</t>
    </r>
    <r>
      <rPr>
        <sz val="11"/>
        <rFont val="Times New Roman"/>
        <family val="1"/>
      </rPr>
      <t>(m)</t>
    </r>
  </si>
  <si>
    <r>
      <t>t</t>
    </r>
    <r>
      <rPr>
        <sz val="11"/>
        <rFont val="Times New Roman"/>
        <family val="1"/>
      </rPr>
      <t>(m)</t>
    </r>
  </si>
  <si>
    <r>
      <t>A</t>
    </r>
    <r>
      <rPr>
        <sz val="11"/>
        <rFont val="Times New Roman"/>
        <family val="1"/>
      </rPr>
      <t>(m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</si>
  <si>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A</t>
    </r>
    <r>
      <rPr>
        <i/>
        <sz val="11"/>
        <rFont val="ＭＳ 明朝"/>
        <family val="1"/>
      </rPr>
      <t>･</t>
    </r>
    <r>
      <rPr>
        <i/>
        <sz val="11"/>
        <rFont val="Times New Roman"/>
        <family val="1"/>
      </rPr>
      <t>x</t>
    </r>
    <r>
      <rPr>
        <sz val="11"/>
        <rFont val="Times New Roman"/>
        <family val="1"/>
      </rPr>
      <t>(m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</si>
  <si>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k</t>
    </r>
    <r>
      <rPr>
        <i/>
        <vertAlign val="subscript"/>
        <sz val="11"/>
        <rFont val="Times New Roman"/>
        <family val="1"/>
      </rPr>
      <t>H</t>
    </r>
    <r>
      <rPr>
        <sz val="11"/>
        <rFont val="Times New Roman"/>
        <family val="1"/>
      </rPr>
      <t>(kN/m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</si>
  <si>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δ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(m)</t>
    </r>
  </si>
  <si>
    <r>
      <t>q</t>
    </r>
    <r>
      <rPr>
        <i/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(kN/m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</si>
  <si>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N</t>
    </r>
    <r>
      <rPr>
        <sz val="11"/>
        <rFont val="ＭＳ 明朝"/>
        <family val="1"/>
      </rPr>
      <t>値</t>
    </r>
  </si>
  <si>
    <r>
      <t>μ</t>
    </r>
    <r>
      <rPr>
        <sz val="11"/>
        <rFont val="Times New Roman"/>
        <family val="1"/>
      </rPr>
      <t>=</t>
    </r>
  </si>
  <si>
    <r>
      <t>直径</t>
    </r>
    <r>
      <rPr>
        <sz val="11"/>
        <rFont val="Times New Roman"/>
        <family val="1"/>
      </rPr>
      <t>(mm)</t>
    </r>
  </si>
  <si>
    <r>
      <t>間隔</t>
    </r>
    <r>
      <rPr>
        <sz val="11"/>
        <rFont val="Times New Roman"/>
        <family val="1"/>
      </rPr>
      <t>(mm)</t>
    </r>
  </si>
  <si>
    <r>
      <t>ｶﾌﾞﾘ</t>
    </r>
    <r>
      <rPr>
        <sz val="11"/>
        <rFont val="Times New Roman"/>
        <family val="1"/>
      </rPr>
      <t>(mm)</t>
    </r>
  </si>
  <si>
    <r>
      <t>σ</t>
    </r>
    <r>
      <rPr>
        <i/>
        <vertAlign val="subscript"/>
        <sz val="11"/>
        <rFont val="Times New Roman"/>
        <family val="1"/>
      </rPr>
      <t>ck</t>
    </r>
    <r>
      <rPr>
        <sz val="11"/>
        <rFont val="Times New Roman"/>
        <family val="1"/>
      </rPr>
      <t>=</t>
    </r>
  </si>
  <si>
    <r>
      <t>σ</t>
    </r>
    <r>
      <rPr>
        <i/>
        <vertAlign val="subscript"/>
        <sz val="11"/>
        <rFont val="Times New Roman"/>
        <family val="1"/>
      </rPr>
      <t>ca</t>
    </r>
    <r>
      <rPr>
        <sz val="11"/>
        <rFont val="Times New Roman"/>
        <family val="1"/>
      </rPr>
      <t>=</t>
    </r>
  </si>
  <si>
    <r>
      <t>τ</t>
    </r>
    <r>
      <rPr>
        <i/>
        <vertAlign val="subscript"/>
        <sz val="11"/>
        <rFont val="Times New Roman"/>
        <family val="1"/>
      </rPr>
      <t>ca</t>
    </r>
    <r>
      <rPr>
        <sz val="11"/>
        <rFont val="Times New Roman"/>
        <family val="1"/>
      </rPr>
      <t>=</t>
    </r>
  </si>
  <si>
    <r>
      <t>σ</t>
    </r>
    <r>
      <rPr>
        <i/>
        <vertAlign val="subscript"/>
        <sz val="11"/>
        <rFont val="Times New Roman"/>
        <family val="1"/>
      </rPr>
      <t>sa</t>
    </r>
    <r>
      <rPr>
        <sz val="11"/>
        <rFont val="Times New Roman"/>
        <family val="1"/>
      </rPr>
      <t>=</t>
    </r>
  </si>
  <si>
    <r>
      <t xml:space="preserve"> </t>
    </r>
    <r>
      <rPr>
        <sz val="11"/>
        <rFont val="ＭＳ 明朝"/>
        <family val="1"/>
      </rPr>
      <t>部材中心の軸線に対して計算する．</t>
    </r>
  </si>
  <si>
    <r>
      <t>安全側を考えて，壁面摩擦角はδ</t>
    </r>
    <r>
      <rPr>
        <sz val="11"/>
        <rFont val="Times New Roman"/>
        <family val="1"/>
      </rPr>
      <t>=0</t>
    </r>
    <r>
      <rPr>
        <sz val="11"/>
        <rFont val="ＭＳ 明朝"/>
        <family val="1"/>
      </rPr>
      <t>とする．</t>
    </r>
  </si>
  <si>
    <r>
      <t>kN</t>
    </r>
    <r>
      <rPr>
        <sz val="11"/>
        <rFont val="ＭＳ 明朝"/>
        <family val="1"/>
      </rPr>
      <t>･</t>
    </r>
    <r>
      <rPr>
        <sz val="11"/>
        <rFont val="Times New Roman"/>
        <family val="1"/>
      </rPr>
      <t>m/m</t>
    </r>
  </si>
  <si>
    <r>
      <t>tf</t>
    </r>
    <r>
      <rPr>
        <sz val="11"/>
        <rFont val="ＭＳ 明朝"/>
        <family val="1"/>
      </rPr>
      <t>･</t>
    </r>
    <r>
      <rPr>
        <sz val="11"/>
        <rFont val="Times New Roman"/>
        <family val="1"/>
      </rPr>
      <t>m/m</t>
    </r>
  </si>
  <si>
    <r>
      <t>h</t>
    </r>
    <r>
      <rPr>
        <sz val="11"/>
        <rFont val="Times New Roman"/>
        <family val="1"/>
      </rPr>
      <t>=</t>
    </r>
  </si>
  <si>
    <r>
      <t>d</t>
    </r>
    <r>
      <rPr>
        <sz val="11"/>
        <rFont val="Times New Roman"/>
        <family val="1"/>
      </rPr>
      <t>=</t>
    </r>
  </si>
  <si>
    <r>
      <t>N/mm</t>
    </r>
    <r>
      <rPr>
        <vertAlign val="superscript"/>
        <sz val="11"/>
        <rFont val="Times New Roman"/>
        <family val="1"/>
      </rPr>
      <t>2</t>
    </r>
  </si>
  <si>
    <r>
      <t>N/mm</t>
    </r>
    <r>
      <rPr>
        <vertAlign val="superscript"/>
        <sz val="11"/>
        <rFont val="Times New Roman"/>
        <family val="1"/>
      </rPr>
      <t>2</t>
    </r>
  </si>
  <si>
    <r>
      <t>kN/m</t>
    </r>
    <r>
      <rPr>
        <vertAlign val="superscript"/>
        <sz val="11"/>
        <rFont val="Times New Roman"/>
        <family val="1"/>
      </rPr>
      <t>3</t>
    </r>
  </si>
  <si>
    <t>単位体積重量</t>
  </si>
  <si>
    <r>
      <t>h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</si>
  <si>
    <r>
      <t>t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</si>
  <si>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r</t>
    </r>
    <r>
      <rPr>
        <i/>
        <sz val="11"/>
        <rFont val="Times New Roman"/>
        <family val="1"/>
      </rPr>
      <t>=</t>
    </r>
  </si>
  <si>
    <r>
      <t>t</t>
    </r>
    <r>
      <rPr>
        <i/>
        <vertAlign val="subscript"/>
        <sz val="11"/>
        <rFont val="Times New Roman"/>
        <family val="1"/>
      </rPr>
      <t>r</t>
    </r>
    <r>
      <rPr>
        <i/>
        <sz val="11"/>
        <rFont val="Times New Roman"/>
        <family val="1"/>
      </rPr>
      <t>=</t>
    </r>
  </si>
  <si>
    <r>
      <t>t</t>
    </r>
    <r>
      <rPr>
        <i/>
        <vertAlign val="subscript"/>
        <sz val="11"/>
        <rFont val="Times New Roman"/>
        <family val="1"/>
      </rPr>
      <t>b</t>
    </r>
    <r>
      <rPr>
        <i/>
        <sz val="11"/>
        <rFont val="Times New Roman"/>
        <family val="1"/>
      </rPr>
      <t>=</t>
    </r>
  </si>
  <si>
    <r>
      <t>γ</t>
    </r>
    <r>
      <rPr>
        <i/>
        <sz val="11"/>
        <rFont val="Times New Roman"/>
        <family val="1"/>
      </rPr>
      <t>=</t>
    </r>
  </si>
  <si>
    <r>
      <t>φ</t>
    </r>
    <r>
      <rPr>
        <i/>
        <sz val="11"/>
        <rFont val="Times New Roman"/>
        <family val="1"/>
      </rPr>
      <t>=</t>
    </r>
  </si>
  <si>
    <r>
      <t>N</t>
    </r>
    <r>
      <rPr>
        <i/>
        <vertAlign val="subscript"/>
        <sz val="11"/>
        <rFont val="Times New Roman"/>
        <family val="1"/>
      </rPr>
      <t>b</t>
    </r>
    <r>
      <rPr>
        <i/>
        <sz val="11"/>
        <rFont val="Times New Roman"/>
        <family val="1"/>
      </rPr>
      <t>=</t>
    </r>
  </si>
  <si>
    <r>
      <t>μ</t>
    </r>
    <r>
      <rPr>
        <i/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</si>
  <si>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d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</si>
  <si>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</si>
  <si>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t>（４）支持地盤</t>
  </si>
  <si>
    <t>（５）使用鉄筋</t>
  </si>
  <si>
    <t>インプットデータ</t>
  </si>
  <si>
    <t>（５）コンクリート</t>
  </si>
  <si>
    <r>
      <t>γ</t>
    </r>
    <r>
      <rPr>
        <i/>
        <vertAlign val="subscript"/>
        <sz val="11"/>
        <rFont val="ＭＳ 明朝"/>
        <family val="1"/>
      </rPr>
      <t>c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</si>
  <si>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</si>
  <si>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</si>
  <si>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N/mm</t>
    </r>
    <r>
      <rPr>
        <vertAlign val="superscript"/>
        <sz val="11"/>
        <rFont val="Times New Roman"/>
        <family val="1"/>
      </rPr>
      <t>2</t>
    </r>
  </si>
  <si>
    <t>（６）使用材料と許容応力度</t>
  </si>
  <si>
    <r>
      <t>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</si>
  <si>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t>b=</t>
  </si>
  <si>
    <r>
      <t>W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</si>
  <si>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x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</si>
  <si>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V=W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</si>
  <si>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H=P</t>
    </r>
    <r>
      <rPr>
        <i/>
        <vertAlign val="subscript"/>
        <sz val="11"/>
        <rFont val="Times New Roman"/>
        <family val="1"/>
      </rPr>
      <t>A</t>
    </r>
    <r>
      <rPr>
        <i/>
        <sz val="11"/>
        <rFont val="Times New Roman"/>
        <family val="1"/>
      </rPr>
      <t>=</t>
    </r>
  </si>
  <si>
    <t>（１）解析モデル</t>
  </si>
  <si>
    <t>（２）地盤反力係数</t>
  </si>
  <si>
    <t>（３）バネ定数</t>
  </si>
  <si>
    <t>（４）座標原点の変位量</t>
  </si>
  <si>
    <t>（５）地盤反力度</t>
  </si>
  <si>
    <t>延長</t>
  </si>
  <si>
    <t>L=</t>
  </si>
  <si>
    <t>m</t>
  </si>
  <si>
    <t>水平変位</t>
  </si>
  <si>
    <t>鉛直変位</t>
  </si>
  <si>
    <t>回転角</t>
  </si>
  <si>
    <t>前壁側面の地盤反力度</t>
  </si>
  <si>
    <t>基部からyの位置の水平バネ定数</t>
  </si>
  <si>
    <t>基部からyの位置の水平変位</t>
  </si>
  <si>
    <t>基部からyの位置の水平地盤反力度</t>
  </si>
  <si>
    <t>底面の鉛直地盤反力度</t>
  </si>
  <si>
    <t>底面の水平地盤反力度</t>
  </si>
  <si>
    <r>
      <t>Q</t>
    </r>
    <r>
      <rPr>
        <i/>
        <vertAlign val="subscript"/>
        <sz val="11"/>
        <rFont val="Times New Roman"/>
        <family val="1"/>
      </rPr>
      <t>V</t>
    </r>
    <r>
      <rPr>
        <i/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</si>
  <si>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H</t>
    </r>
    <r>
      <rPr>
        <i/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</si>
  <si>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t</t>
    </r>
    <r>
      <rPr>
        <i/>
        <sz val="11"/>
        <rFont val="Times New Roman"/>
        <family val="1"/>
      </rPr>
      <t>=</t>
    </r>
  </si>
  <si>
    <r>
      <t>V</t>
    </r>
    <r>
      <rPr>
        <i/>
        <vertAlign val="subscript"/>
        <sz val="11"/>
        <rFont val="Times New Roman"/>
        <family val="1"/>
      </rPr>
      <t>B</t>
    </r>
    <r>
      <rPr>
        <i/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</si>
  <si>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H</t>
    </r>
    <r>
      <rPr>
        <i/>
        <sz val="11"/>
        <rFont val="ＭＳ Ｐ明朝"/>
        <family val="1"/>
      </rPr>
      <t>･</t>
    </r>
    <r>
      <rPr>
        <i/>
        <sz val="11"/>
        <rFont val="Times New Roman"/>
        <family val="1"/>
      </rPr>
      <t>b=</t>
    </r>
  </si>
  <si>
    <r>
      <t>Q</t>
    </r>
    <r>
      <rPr>
        <i/>
        <vertAlign val="subscript"/>
        <sz val="11"/>
        <rFont val="Times New Roman"/>
        <family val="1"/>
      </rPr>
      <t>t</t>
    </r>
    <r>
      <rPr>
        <i/>
        <sz val="11"/>
        <rFont val="Times New Roman"/>
        <family val="1"/>
      </rPr>
      <t>=H-q</t>
    </r>
    <r>
      <rPr>
        <i/>
        <vertAlign val="subscript"/>
        <sz val="11"/>
        <rFont val="Times New Roman"/>
        <family val="1"/>
      </rPr>
      <t>H</t>
    </r>
    <r>
      <rPr>
        <i/>
        <sz val="11"/>
        <rFont val="Times New Roman"/>
        <family val="1"/>
      </rPr>
      <t>b=</t>
    </r>
  </si>
  <si>
    <r>
      <t>q</t>
    </r>
    <r>
      <rPr>
        <i/>
        <vertAlign val="subscript"/>
        <sz val="11"/>
        <rFont val="Times New Roman"/>
        <family val="1"/>
      </rPr>
      <t>v</t>
    </r>
    <r>
      <rPr>
        <vertAlign val="subscript"/>
        <sz val="11"/>
        <rFont val="Times New Roman"/>
        <family val="1"/>
      </rPr>
      <t>max</t>
    </r>
    <r>
      <rPr>
        <i/>
        <sz val="11"/>
        <rFont val="Times New Roman"/>
        <family val="1"/>
      </rPr>
      <t>=</t>
    </r>
  </si>
  <si>
    <t>　　◇コンクリートの曲げ圧縮応力度</t>
  </si>
  <si>
    <t>　　◇鉄筋の引張応力度</t>
  </si>
  <si>
    <t>　　◇コンクリートの平均せん断応力度</t>
  </si>
  <si>
    <t>転倒</t>
  </si>
  <si>
    <t>滑動</t>
  </si>
  <si>
    <t>支持</t>
  </si>
  <si>
    <t>照査項目</t>
  </si>
  <si>
    <t>判定</t>
  </si>
  <si>
    <t>前壁</t>
  </si>
  <si>
    <t>hf=</t>
  </si>
  <si>
    <r>
      <t>γ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</si>
  <si>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t>SD295A</t>
  </si>
  <si>
    <t>SD345</t>
  </si>
  <si>
    <t>（６）使用鉄筋</t>
  </si>
  <si>
    <t>材質</t>
  </si>
  <si>
    <t>延長</t>
  </si>
  <si>
    <t>m</t>
  </si>
  <si>
    <t>単位体積重量</t>
  </si>
  <si>
    <r>
      <t>kN/m</t>
    </r>
    <r>
      <rPr>
        <vertAlign val="superscript"/>
        <sz val="11"/>
        <rFont val="Times New Roman"/>
        <family val="1"/>
      </rPr>
      <t>3</t>
    </r>
  </si>
  <si>
    <r>
      <t>kN/m</t>
    </r>
    <r>
      <rPr>
        <vertAlign val="superscript"/>
        <sz val="11"/>
        <rFont val="Times New Roman"/>
        <family val="1"/>
      </rPr>
      <t>2</t>
    </r>
  </si>
  <si>
    <t>（４）支持地盤</t>
  </si>
  <si>
    <t>（５）コンクリート</t>
  </si>
  <si>
    <r>
      <t>N/mm</t>
    </r>
    <r>
      <rPr>
        <vertAlign val="superscript"/>
        <sz val="11"/>
        <rFont val="Times New Roman"/>
        <family val="1"/>
      </rPr>
      <t>2</t>
    </r>
  </si>
  <si>
    <t>単位体積重量</t>
  </si>
  <si>
    <t>（６）使用鉄筋</t>
  </si>
  <si>
    <t>安定計算結果</t>
  </si>
  <si>
    <t>応力度計算結果</t>
  </si>
  <si>
    <t>安全率</t>
  </si>
  <si>
    <t>規定値</t>
  </si>
  <si>
    <t>判定</t>
  </si>
  <si>
    <t>ｺﾝｸﾘｰﾄ</t>
  </si>
  <si>
    <t>鉄筋</t>
  </si>
  <si>
    <t>せん断</t>
  </si>
  <si>
    <t>後壁</t>
  </si>
  <si>
    <t>前面地盤</t>
  </si>
  <si>
    <t>底面地盤</t>
  </si>
  <si>
    <t>許容応力</t>
  </si>
  <si>
    <t>外側</t>
  </si>
  <si>
    <t>内側</t>
  </si>
  <si>
    <t>下側</t>
  </si>
  <si>
    <t>上側</t>
  </si>
  <si>
    <t>部材</t>
  </si>
  <si>
    <t>鉄筋</t>
  </si>
  <si>
    <t>１本当り</t>
  </si>
  <si>
    <t>1m当り本数</t>
  </si>
  <si>
    <t>鉄筋量As</t>
  </si>
  <si>
    <t>As=</t>
  </si>
  <si>
    <t>As'=</t>
  </si>
  <si>
    <t>=</t>
  </si>
  <si>
    <r>
      <t>mm</t>
    </r>
    <r>
      <rPr>
        <vertAlign val="superscript"/>
        <sz val="11"/>
        <rFont val="Times New Roman"/>
        <family val="1"/>
      </rPr>
      <t>2</t>
    </r>
  </si>
  <si>
    <t>有効幅</t>
  </si>
  <si>
    <r>
      <t>b</t>
    </r>
    <r>
      <rPr>
        <sz val="11"/>
        <rFont val="Times New Roman"/>
        <family val="1"/>
      </rPr>
      <t>=</t>
    </r>
  </si>
  <si>
    <t>mm</t>
  </si>
  <si>
    <r>
      <t>d'</t>
    </r>
    <r>
      <rPr>
        <sz val="11"/>
        <rFont val="Times New Roman"/>
        <family val="1"/>
      </rPr>
      <t>=</t>
    </r>
  </si>
  <si>
    <t>=</t>
  </si>
  <si>
    <t>（３）底版端部</t>
  </si>
  <si>
    <t>厚さ</t>
  </si>
  <si>
    <t>底版端</t>
  </si>
  <si>
    <t>底版中央</t>
  </si>
  <si>
    <t>下側</t>
  </si>
  <si>
    <t>（４）底版中央</t>
  </si>
  <si>
    <r>
      <t>N</t>
    </r>
    <r>
      <rPr>
        <sz val="11"/>
        <rFont val="Times New Roman"/>
        <family val="1"/>
      </rPr>
      <t>(kN)</t>
    </r>
  </si>
  <si>
    <r>
      <t>S</t>
    </r>
    <r>
      <rPr>
        <sz val="11"/>
        <rFont val="Times New Roman"/>
        <family val="1"/>
      </rPr>
      <t>(kN)</t>
    </r>
  </si>
  <si>
    <r>
      <t>M</t>
    </r>
    <r>
      <rPr>
        <sz val="11"/>
        <rFont val="Times New Roman"/>
        <family val="1"/>
      </rPr>
      <t>(kN</t>
    </r>
    <r>
      <rPr>
        <sz val="11"/>
        <rFont val="ＭＳ 明朝"/>
        <family val="1"/>
      </rPr>
      <t>･</t>
    </r>
    <r>
      <rPr>
        <sz val="11"/>
        <rFont val="Times New Roman"/>
        <family val="1"/>
      </rPr>
      <t>m)</t>
    </r>
  </si>
  <si>
    <r>
      <t>M</t>
    </r>
    <r>
      <rPr>
        <sz val="11"/>
        <rFont val="Times New Roman"/>
        <family val="1"/>
      </rPr>
      <t>(kN</t>
    </r>
    <r>
      <rPr>
        <sz val="11"/>
        <rFont val="Times New Roman"/>
        <family val="1"/>
      </rPr>
      <t>m)</t>
    </r>
  </si>
  <si>
    <t>D</t>
  </si>
  <si>
    <t>pich</t>
  </si>
  <si>
    <t>As</t>
  </si>
  <si>
    <t>底版端部</t>
  </si>
  <si>
    <t>底版中央</t>
  </si>
  <si>
    <t>－</t>
  </si>
  <si>
    <r>
      <t>h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</si>
  <si>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B</t>
    </r>
    <r>
      <rPr>
        <i/>
        <sz val="11"/>
        <rFont val="Times New Roman"/>
        <family val="1"/>
      </rPr>
      <t>=</t>
    </r>
  </si>
  <si>
    <t>（６）地盤反力の合力と作用位置</t>
  </si>
  <si>
    <t>５．断面力</t>
  </si>
  <si>
    <t>６．応力度の計算</t>
  </si>
  <si>
    <r>
      <t>h</t>
    </r>
    <r>
      <rPr>
        <vertAlign val="subscript"/>
        <sz val="11"/>
        <rFont val="Times New Roman"/>
        <family val="1"/>
      </rPr>
      <t>r</t>
    </r>
    <r>
      <rPr>
        <sz val="11"/>
        <rFont val="Times New Roman"/>
        <family val="1"/>
      </rPr>
      <t>=</t>
    </r>
  </si>
  <si>
    <r>
      <t>γ</t>
    </r>
    <r>
      <rPr>
        <sz val="11"/>
        <rFont val="Times New Roman"/>
        <family val="1"/>
      </rPr>
      <t>=</t>
    </r>
  </si>
  <si>
    <r>
      <t>φ</t>
    </r>
    <r>
      <rPr>
        <sz val="11"/>
        <rFont val="Times New Roman"/>
        <family val="1"/>
      </rPr>
      <t>=</t>
    </r>
  </si>
  <si>
    <r>
      <t>N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</si>
  <si>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d</t>
    </r>
    <r>
      <rPr>
        <sz val="11"/>
        <rFont val="Times New Roman"/>
        <family val="1"/>
      </rPr>
      <t>=</t>
    </r>
  </si>
  <si>
    <r>
      <t>h</t>
    </r>
    <r>
      <rPr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</t>
    </r>
  </si>
  <si>
    <r>
      <t>t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</si>
  <si>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t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</si>
  <si>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t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=</t>
    </r>
  </si>
  <si>
    <r>
      <t>t</t>
    </r>
    <r>
      <rPr>
        <i/>
        <vertAlign val="subscript"/>
        <sz val="11"/>
        <rFont val="Times New Roman"/>
        <family val="1"/>
      </rPr>
      <t>2</t>
    </r>
    <r>
      <rPr>
        <i/>
        <sz val="11"/>
        <rFont val="Times New Roman"/>
        <family val="1"/>
      </rPr>
      <t>=</t>
    </r>
  </si>
  <si>
    <t>t1=</t>
  </si>
  <si>
    <t>t3=</t>
  </si>
  <si>
    <r>
      <t>h</t>
    </r>
    <r>
      <rPr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</t>
    </r>
  </si>
  <si>
    <r>
      <t>σ</t>
    </r>
    <r>
      <rPr>
        <vertAlign val="subscript"/>
        <sz val="11"/>
        <rFont val="Times New Roman"/>
        <family val="1"/>
      </rPr>
      <t>ck</t>
    </r>
    <r>
      <rPr>
        <sz val="11"/>
        <rFont val="Times New Roman"/>
        <family val="1"/>
      </rPr>
      <t>=</t>
    </r>
  </si>
  <si>
    <r>
      <t>γ</t>
    </r>
    <r>
      <rPr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</si>
  <si>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t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</si>
  <si>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t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=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</si>
</sst>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0.00_);[Red]\(0.00\)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vertAlign val="superscript"/>
      <sz val="11"/>
      <name val="Times New Roman"/>
      <family val="1"/>
    </font>
    <font>
      <i/>
      <sz val="11"/>
      <name val="ＭＳ 明朝"/>
      <family val="1"/>
    </font>
    <font>
      <i/>
      <vertAlign val="subscript"/>
      <sz val="11"/>
      <name val="Times New Roman"/>
      <family val="1"/>
    </font>
    <font>
      <i/>
      <vertAlign val="subscript"/>
      <sz val="11"/>
      <name val="ＭＳ 明朝"/>
      <family val="1"/>
    </font>
    <font>
      <vertAlign val="subscript"/>
      <sz val="11"/>
      <name val="Times New Roman"/>
      <family val="1"/>
    </font>
    <font>
      <sz val="11"/>
      <color indexed="10"/>
      <name val="Times New Roman"/>
      <family val="1"/>
    </font>
    <font>
      <sz val="11"/>
      <name val="ＭＳ Ｐ明朝"/>
      <family val="1"/>
    </font>
    <font>
      <i/>
      <sz val="11"/>
      <name val="ＭＳ Ｐ明朝"/>
      <family val="1"/>
    </font>
    <font>
      <sz val="10"/>
      <name val="Times New Roman"/>
      <family val="1"/>
    </font>
    <font>
      <sz val="10"/>
      <name val="ＭＳ Ｐ明朝"/>
      <family val="1"/>
    </font>
    <font>
      <sz val="7"/>
      <name val="ＭＳ Ｐゴシック"/>
      <family val="3"/>
    </font>
    <font>
      <sz val="10"/>
      <color indexed="10"/>
      <name val="Times New Roman"/>
      <family val="1"/>
    </font>
    <font>
      <b/>
      <sz val="11"/>
      <name val="ＭＳ 明朝"/>
      <family val="1"/>
    </font>
    <font>
      <u val="single"/>
      <sz val="14.4"/>
      <color indexed="12"/>
      <name val="ＭＳ 明朝"/>
      <family val="1"/>
    </font>
    <font>
      <sz val="14"/>
      <color indexed="61"/>
      <name val="ＭＳ Ｐゴシック"/>
      <family val="3"/>
    </font>
    <font>
      <u val="single"/>
      <sz val="7.8"/>
      <color indexed="36"/>
      <name val="ＭＳ 明朝"/>
      <family val="1"/>
    </font>
    <font>
      <sz val="9"/>
      <name val="MS UI Gothic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 quotePrefix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 quotePrefix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 quotePrefix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 quotePrefix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5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 quotePrefix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2" fontId="6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quotePrefix="1">
      <alignment horizontal="right" vertical="center"/>
    </xf>
    <xf numFmtId="1" fontId="6" fillId="0" borderId="0" xfId="0" applyNumberFormat="1" applyFont="1" applyFill="1" applyBorder="1" applyAlignment="1" quotePrefix="1">
      <alignment horizontal="right" vertical="center"/>
    </xf>
    <xf numFmtId="0" fontId="1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 quotePrefix="1">
      <alignment horizontal="right" vertical="center"/>
    </xf>
    <xf numFmtId="179" fontId="6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Alignment="1">
      <alignment/>
    </xf>
    <xf numFmtId="0" fontId="15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2" fontId="6" fillId="33" borderId="18" xfId="0" applyNumberFormat="1" applyFont="1" applyFill="1" applyBorder="1" applyAlignment="1">
      <alignment horizontal="center" vertical="center"/>
    </xf>
    <xf numFmtId="177" fontId="6" fillId="33" borderId="18" xfId="0" applyNumberFormat="1" applyFont="1" applyFill="1" applyBorder="1" applyAlignment="1">
      <alignment horizontal="center" vertical="center"/>
    </xf>
    <xf numFmtId="1" fontId="6" fillId="33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18" fillId="33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7" fillId="0" borderId="18" xfId="0" applyFont="1" applyBorder="1" applyAlignment="1">
      <alignment/>
    </xf>
    <xf numFmtId="0" fontId="4" fillId="0" borderId="18" xfId="0" applyFont="1" applyFill="1" applyBorder="1" applyAlignment="1" quotePrefix="1">
      <alignment horizontal="center" vertical="center"/>
    </xf>
    <xf numFmtId="0" fontId="4" fillId="0" borderId="18" xfId="0" applyFont="1" applyFill="1" applyBorder="1" applyAlignment="1">
      <alignment vertical="center"/>
    </xf>
    <xf numFmtId="0" fontId="17" fillId="0" borderId="18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0" xfId="0" applyFont="1" applyAlignment="1">
      <alignment/>
    </xf>
    <xf numFmtId="1" fontId="6" fillId="0" borderId="0" xfId="0" applyNumberFormat="1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vertical="center"/>
    </xf>
    <xf numFmtId="2" fontId="6" fillId="33" borderId="18" xfId="0" applyNumberFormat="1" applyFont="1" applyFill="1" applyBorder="1" applyAlignment="1">
      <alignment horizontal="center"/>
    </xf>
    <xf numFmtId="1" fontId="6" fillId="33" borderId="18" xfId="0" applyNumberFormat="1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 quotePrefix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 shrinkToFit="1"/>
    </xf>
    <xf numFmtId="176" fontId="6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9" fontId="6" fillId="0" borderId="22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horizontal="center" vertical="center"/>
    </xf>
    <xf numFmtId="179" fontId="6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4" fillId="33" borderId="18" xfId="0" applyFont="1" applyFill="1" applyBorder="1" applyAlignment="1" quotePrefix="1">
      <alignment horizontal="center" vertical="center" shrinkToFit="1"/>
    </xf>
    <xf numFmtId="0" fontId="4" fillId="33" borderId="18" xfId="0" applyFont="1" applyFill="1" applyBorder="1" applyAlignment="1">
      <alignment vertical="center" shrinkToFit="1"/>
    </xf>
    <xf numFmtId="0" fontId="15" fillId="33" borderId="18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21" fillId="33" borderId="0" xfId="0" applyFont="1" applyFill="1" applyAlignment="1">
      <alignment/>
    </xf>
    <xf numFmtId="0" fontId="0" fillId="33" borderId="0" xfId="0" applyFill="1" applyAlignment="1">
      <alignment shrinkToFit="1"/>
    </xf>
    <xf numFmtId="49" fontId="23" fillId="33" borderId="0" xfId="0" applyNumberFormat="1" applyFont="1" applyFill="1" applyBorder="1" applyAlignment="1">
      <alignment/>
    </xf>
    <xf numFmtId="0" fontId="15" fillId="33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33" borderId="18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48"/>
          <c:w val="0.93075"/>
          <c:h val="0.92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'計算'!$AV$3</c:f>
              <c:strCache>
                <c:ptCount val="1"/>
                <c:pt idx="0">
                  <c:v>擁壁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'計算'!$AU$4:$AU$21</c:f>
              <c:numCache>
                <c:ptCount val="18"/>
                <c:pt idx="0">
                  <c:v>0</c:v>
                </c:pt>
                <c:pt idx="1">
                  <c:v>-2.5</c:v>
                </c:pt>
                <c:pt idx="2">
                  <c:v>-2.5</c:v>
                </c:pt>
                <c:pt idx="3">
                  <c:v>-2.1</c:v>
                </c:pt>
                <c:pt idx="4">
                  <c:v>-2.1</c:v>
                </c:pt>
                <c:pt idx="5">
                  <c:v>2.1</c:v>
                </c:pt>
                <c:pt idx="6">
                  <c:v>2.1</c:v>
                </c:pt>
                <c:pt idx="7">
                  <c:v>2.5</c:v>
                </c:pt>
                <c:pt idx="8">
                  <c:v>2.5</c:v>
                </c:pt>
                <c:pt idx="9">
                  <c:v>0</c:v>
                </c:pt>
                <c:pt idx="10">
                  <c:v>-2.5</c:v>
                </c:pt>
                <c:pt idx="11">
                  <c:v>-4.5649999999999995</c:v>
                </c:pt>
                <c:pt idx="12">
                  <c:v>2.5</c:v>
                </c:pt>
                <c:pt idx="13">
                  <c:v>5.225</c:v>
                </c:pt>
                <c:pt idx="14">
                  <c:v>2.5</c:v>
                </c:pt>
                <c:pt idx="15">
                  <c:v>2.5</c:v>
                </c:pt>
                <c:pt idx="16">
                  <c:v>5.225</c:v>
                </c:pt>
                <c:pt idx="17">
                  <c:v>5.225</c:v>
                </c:pt>
              </c:numCache>
            </c:numRef>
          </c:xVal>
          <c:yVal>
            <c:numRef>
              <c:f>'計算'!$AV$4:$AV$21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4.13</c:v>
                </c:pt>
                <c:pt idx="3">
                  <c:v>4.13</c:v>
                </c:pt>
                <c:pt idx="4">
                  <c:v>0.4</c:v>
                </c:pt>
                <c:pt idx="5">
                  <c:v>0.4</c:v>
                </c:pt>
                <c:pt idx="6">
                  <c:v>5.45</c:v>
                </c:pt>
                <c:pt idx="7">
                  <c:v>5.45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'計算'!$AW$3</c:f>
              <c:strCache>
                <c:ptCount val="1"/>
                <c:pt idx="0">
                  <c:v>前面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'計算'!$AU$4:$AU$21</c:f>
              <c:numCache>
                <c:ptCount val="18"/>
                <c:pt idx="0">
                  <c:v>0</c:v>
                </c:pt>
                <c:pt idx="1">
                  <c:v>-2.5</c:v>
                </c:pt>
                <c:pt idx="2">
                  <c:v>-2.5</c:v>
                </c:pt>
                <c:pt idx="3">
                  <c:v>-2.1</c:v>
                </c:pt>
                <c:pt idx="4">
                  <c:v>-2.1</c:v>
                </c:pt>
                <c:pt idx="5">
                  <c:v>2.1</c:v>
                </c:pt>
                <c:pt idx="6">
                  <c:v>2.1</c:v>
                </c:pt>
                <c:pt idx="7">
                  <c:v>2.5</c:v>
                </c:pt>
                <c:pt idx="8">
                  <c:v>2.5</c:v>
                </c:pt>
                <c:pt idx="9">
                  <c:v>0</c:v>
                </c:pt>
                <c:pt idx="10">
                  <c:v>-2.5</c:v>
                </c:pt>
                <c:pt idx="11">
                  <c:v>-4.5649999999999995</c:v>
                </c:pt>
                <c:pt idx="12">
                  <c:v>2.5</c:v>
                </c:pt>
                <c:pt idx="13">
                  <c:v>5.225</c:v>
                </c:pt>
                <c:pt idx="14">
                  <c:v>2.5</c:v>
                </c:pt>
                <c:pt idx="15">
                  <c:v>2.5</c:v>
                </c:pt>
                <c:pt idx="16">
                  <c:v>5.225</c:v>
                </c:pt>
                <c:pt idx="17">
                  <c:v>5.225</c:v>
                </c:pt>
              </c:numCache>
            </c:numRef>
          </c:xVal>
          <c:yVal>
            <c:numRef>
              <c:f>'計算'!$AW$4:$AW$21</c:f>
              <c:numCache>
                <c:ptCount val="18"/>
                <c:pt idx="10">
                  <c:v>4.13</c:v>
                </c:pt>
                <c:pt idx="11">
                  <c:v>4.13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'計算'!$AX$3</c:f>
              <c:strCache>
                <c:ptCount val="1"/>
                <c:pt idx="0">
                  <c:v>背面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'計算'!$AU$4:$AU$21</c:f>
              <c:numCache>
                <c:ptCount val="18"/>
                <c:pt idx="0">
                  <c:v>0</c:v>
                </c:pt>
                <c:pt idx="1">
                  <c:v>-2.5</c:v>
                </c:pt>
                <c:pt idx="2">
                  <c:v>-2.5</c:v>
                </c:pt>
                <c:pt idx="3">
                  <c:v>-2.1</c:v>
                </c:pt>
                <c:pt idx="4">
                  <c:v>-2.1</c:v>
                </c:pt>
                <c:pt idx="5">
                  <c:v>2.1</c:v>
                </c:pt>
                <c:pt idx="6">
                  <c:v>2.1</c:v>
                </c:pt>
                <c:pt idx="7">
                  <c:v>2.5</c:v>
                </c:pt>
                <c:pt idx="8">
                  <c:v>2.5</c:v>
                </c:pt>
                <c:pt idx="9">
                  <c:v>0</c:v>
                </c:pt>
                <c:pt idx="10">
                  <c:v>-2.5</c:v>
                </c:pt>
                <c:pt idx="11">
                  <c:v>-4.5649999999999995</c:v>
                </c:pt>
                <c:pt idx="12">
                  <c:v>2.5</c:v>
                </c:pt>
                <c:pt idx="13">
                  <c:v>5.225</c:v>
                </c:pt>
                <c:pt idx="14">
                  <c:v>2.5</c:v>
                </c:pt>
                <c:pt idx="15">
                  <c:v>2.5</c:v>
                </c:pt>
                <c:pt idx="16">
                  <c:v>5.225</c:v>
                </c:pt>
                <c:pt idx="17">
                  <c:v>5.225</c:v>
                </c:pt>
              </c:numCache>
            </c:numRef>
          </c:xVal>
          <c:yVal>
            <c:numRef>
              <c:f>'計算'!$AX$4:$AX$21</c:f>
              <c:numCache>
                <c:ptCount val="18"/>
                <c:pt idx="12">
                  <c:v>5.45</c:v>
                </c:pt>
                <c:pt idx="13">
                  <c:v>5.45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'計算'!$AY$3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'計算'!$AU$4:$AU$21</c:f>
              <c:numCache>
                <c:ptCount val="18"/>
                <c:pt idx="0">
                  <c:v>0</c:v>
                </c:pt>
                <c:pt idx="1">
                  <c:v>-2.5</c:v>
                </c:pt>
                <c:pt idx="2">
                  <c:v>-2.5</c:v>
                </c:pt>
                <c:pt idx="3">
                  <c:v>-2.1</c:v>
                </c:pt>
                <c:pt idx="4">
                  <c:v>-2.1</c:v>
                </c:pt>
                <c:pt idx="5">
                  <c:v>2.1</c:v>
                </c:pt>
                <c:pt idx="6">
                  <c:v>2.1</c:v>
                </c:pt>
                <c:pt idx="7">
                  <c:v>2.5</c:v>
                </c:pt>
                <c:pt idx="8">
                  <c:v>2.5</c:v>
                </c:pt>
                <c:pt idx="9">
                  <c:v>0</c:v>
                </c:pt>
                <c:pt idx="10">
                  <c:v>-2.5</c:v>
                </c:pt>
                <c:pt idx="11">
                  <c:v>-4.5649999999999995</c:v>
                </c:pt>
                <c:pt idx="12">
                  <c:v>2.5</c:v>
                </c:pt>
                <c:pt idx="13">
                  <c:v>5.225</c:v>
                </c:pt>
                <c:pt idx="14">
                  <c:v>2.5</c:v>
                </c:pt>
                <c:pt idx="15">
                  <c:v>2.5</c:v>
                </c:pt>
                <c:pt idx="16">
                  <c:v>5.225</c:v>
                </c:pt>
                <c:pt idx="17">
                  <c:v>5.225</c:v>
                </c:pt>
              </c:numCache>
            </c:numRef>
          </c:xVal>
          <c:yVal>
            <c:numRef>
              <c:f>'計算'!$AY$4:$AY$21</c:f>
              <c:numCache>
                <c:ptCount val="18"/>
                <c:pt idx="14">
                  <c:v>5.45</c:v>
                </c:pt>
                <c:pt idx="15">
                  <c:v>5.45</c:v>
                </c:pt>
                <c:pt idx="16">
                  <c:v>5.45</c:v>
                </c:pt>
                <c:pt idx="17">
                  <c:v>5.45</c:v>
                </c:pt>
              </c:numCache>
            </c:numRef>
          </c:yVal>
          <c:smooth val="0"/>
        </c:ser>
        <c:axId val="47498409"/>
        <c:axId val="24832498"/>
      </c:scatterChart>
      <c:valAx>
        <c:axId val="47498409"/>
        <c:scaling>
          <c:orientation val="minMax"/>
        </c:scaling>
        <c:axPos val="b"/>
        <c:delete val="1"/>
        <c:majorTickMark val="out"/>
        <c:minorTickMark val="none"/>
        <c:tickLblPos val="nextTo"/>
        <c:crossAx val="24832498"/>
        <c:crosses val="autoZero"/>
        <c:crossBetween val="midCat"/>
        <c:dispUnits/>
      </c:valAx>
      <c:valAx>
        <c:axId val="24832498"/>
        <c:scaling>
          <c:orientation val="minMax"/>
        </c:scaling>
        <c:axPos val="l"/>
        <c:delete val="1"/>
        <c:majorTickMark val="out"/>
        <c:minorTickMark val="none"/>
        <c:tickLblPos val="nextTo"/>
        <c:crossAx val="474984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地盤反力図</a:t>
            </a:r>
          </a:p>
        </c:rich>
      </c:tx>
      <c:layout>
        <c:manualLayout>
          <c:xMode val="factor"/>
          <c:yMode val="factor"/>
          <c:x val="-0.1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965"/>
          <c:w val="0.93175"/>
          <c:h val="0.85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'計算'!$AU$88</c:f>
              <c:strCache>
                <c:ptCount val="1"/>
                <c:pt idx="0">
                  <c:v>擁壁骨組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'計算'!$AT$89:$AT$112</c:f>
              <c:numCache>
                <c:ptCount val="24"/>
                <c:pt idx="0">
                  <c:v>-2.3</c:v>
                </c:pt>
                <c:pt idx="1">
                  <c:v>-2.3</c:v>
                </c:pt>
                <c:pt idx="2">
                  <c:v>2.3</c:v>
                </c:pt>
                <c:pt idx="3">
                  <c:v>2.3</c:v>
                </c:pt>
                <c:pt idx="4">
                  <c:v>-2.3</c:v>
                </c:pt>
                <c:pt idx="5">
                  <c:v>-2.4585</c:v>
                </c:pt>
                <c:pt idx="6">
                  <c:v>-2.6025</c:v>
                </c:pt>
                <c:pt idx="7">
                  <c:v>-2.7325</c:v>
                </c:pt>
                <c:pt idx="8">
                  <c:v>-2.848</c:v>
                </c:pt>
                <c:pt idx="9">
                  <c:v>-2.9494999999999996</c:v>
                </c:pt>
                <c:pt idx="10">
                  <c:v>-3.0359999999999996</c:v>
                </c:pt>
                <c:pt idx="11">
                  <c:v>-3.109</c:v>
                </c:pt>
                <c:pt idx="12">
                  <c:v>-3.167</c:v>
                </c:pt>
                <c:pt idx="13">
                  <c:v>-3.211</c:v>
                </c:pt>
                <c:pt idx="14">
                  <c:v>-3.2405</c:v>
                </c:pt>
                <c:pt idx="15">
                  <c:v>-2.3</c:v>
                </c:pt>
                <c:pt idx="16">
                  <c:v>-2.3</c:v>
                </c:pt>
                <c:pt idx="17">
                  <c:v>-2.3</c:v>
                </c:pt>
                <c:pt idx="18">
                  <c:v>2.3</c:v>
                </c:pt>
                <c:pt idx="19">
                  <c:v>2.3</c:v>
                </c:pt>
                <c:pt idx="20">
                  <c:v>2.3</c:v>
                </c:pt>
                <c:pt idx="21">
                  <c:v>2.3</c:v>
                </c:pt>
                <c:pt idx="22">
                  <c:v>3.961</c:v>
                </c:pt>
                <c:pt idx="23">
                  <c:v>2.3</c:v>
                </c:pt>
              </c:numCache>
            </c:numRef>
          </c:xVal>
          <c:yVal>
            <c:numRef>
              <c:f>'計算'!$AU$89:$AU$112</c:f>
              <c:numCache>
                <c:ptCount val="24"/>
                <c:pt idx="0">
                  <c:v>3.9299999999999997</c:v>
                </c:pt>
                <c:pt idx="1">
                  <c:v>0</c:v>
                </c:pt>
                <c:pt idx="2">
                  <c:v>0</c:v>
                </c:pt>
                <c:pt idx="3">
                  <c:v>5.25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'計算'!$AV$88</c:f>
              <c:strCache>
                <c:ptCount val="1"/>
                <c:pt idx="0">
                  <c:v>側面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'計算'!$AT$89:$AT$112</c:f>
              <c:numCache>
                <c:ptCount val="24"/>
                <c:pt idx="0">
                  <c:v>-2.3</c:v>
                </c:pt>
                <c:pt idx="1">
                  <c:v>-2.3</c:v>
                </c:pt>
                <c:pt idx="2">
                  <c:v>2.3</c:v>
                </c:pt>
                <c:pt idx="3">
                  <c:v>2.3</c:v>
                </c:pt>
                <c:pt idx="4">
                  <c:v>-2.3</c:v>
                </c:pt>
                <c:pt idx="5">
                  <c:v>-2.4585</c:v>
                </c:pt>
                <c:pt idx="6">
                  <c:v>-2.6025</c:v>
                </c:pt>
                <c:pt idx="7">
                  <c:v>-2.7325</c:v>
                </c:pt>
                <c:pt idx="8">
                  <c:v>-2.848</c:v>
                </c:pt>
                <c:pt idx="9">
                  <c:v>-2.9494999999999996</c:v>
                </c:pt>
                <c:pt idx="10">
                  <c:v>-3.0359999999999996</c:v>
                </c:pt>
                <c:pt idx="11">
                  <c:v>-3.109</c:v>
                </c:pt>
                <c:pt idx="12">
                  <c:v>-3.167</c:v>
                </c:pt>
                <c:pt idx="13">
                  <c:v>-3.211</c:v>
                </c:pt>
                <c:pt idx="14">
                  <c:v>-3.2405</c:v>
                </c:pt>
                <c:pt idx="15">
                  <c:v>-2.3</c:v>
                </c:pt>
                <c:pt idx="16">
                  <c:v>-2.3</c:v>
                </c:pt>
                <c:pt idx="17">
                  <c:v>-2.3</c:v>
                </c:pt>
                <c:pt idx="18">
                  <c:v>2.3</c:v>
                </c:pt>
                <c:pt idx="19">
                  <c:v>2.3</c:v>
                </c:pt>
                <c:pt idx="20">
                  <c:v>2.3</c:v>
                </c:pt>
                <c:pt idx="21">
                  <c:v>2.3</c:v>
                </c:pt>
                <c:pt idx="22">
                  <c:v>3.961</c:v>
                </c:pt>
                <c:pt idx="23">
                  <c:v>2.3</c:v>
                </c:pt>
              </c:numCache>
            </c:numRef>
          </c:xVal>
          <c:yVal>
            <c:numRef>
              <c:f>'計算'!$AV$89:$AV$112</c:f>
              <c:numCache>
                <c:ptCount val="24"/>
                <c:pt idx="4">
                  <c:v>3.93</c:v>
                </c:pt>
                <c:pt idx="5">
                  <c:v>3.537</c:v>
                </c:pt>
                <c:pt idx="6">
                  <c:v>3.144</c:v>
                </c:pt>
                <c:pt idx="7">
                  <c:v>2.751</c:v>
                </c:pt>
                <c:pt idx="8">
                  <c:v>2.358</c:v>
                </c:pt>
                <c:pt idx="9">
                  <c:v>1.965</c:v>
                </c:pt>
                <c:pt idx="10">
                  <c:v>1.572</c:v>
                </c:pt>
                <c:pt idx="11">
                  <c:v>1.179</c:v>
                </c:pt>
                <c:pt idx="12">
                  <c:v>0.786</c:v>
                </c:pt>
                <c:pt idx="13">
                  <c:v>0.393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'計算'!$AW$88</c:f>
              <c:strCache>
                <c:ptCount val="1"/>
                <c:pt idx="0">
                  <c:v>底面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'計算'!$AT$89:$AT$112</c:f>
              <c:numCache>
                <c:ptCount val="24"/>
                <c:pt idx="0">
                  <c:v>-2.3</c:v>
                </c:pt>
                <c:pt idx="1">
                  <c:v>-2.3</c:v>
                </c:pt>
                <c:pt idx="2">
                  <c:v>2.3</c:v>
                </c:pt>
                <c:pt idx="3">
                  <c:v>2.3</c:v>
                </c:pt>
                <c:pt idx="4">
                  <c:v>-2.3</c:v>
                </c:pt>
                <c:pt idx="5">
                  <c:v>-2.4585</c:v>
                </c:pt>
                <c:pt idx="6">
                  <c:v>-2.6025</c:v>
                </c:pt>
                <c:pt idx="7">
                  <c:v>-2.7325</c:v>
                </c:pt>
                <c:pt idx="8">
                  <c:v>-2.848</c:v>
                </c:pt>
                <c:pt idx="9">
                  <c:v>-2.9494999999999996</c:v>
                </c:pt>
                <c:pt idx="10">
                  <c:v>-3.0359999999999996</c:v>
                </c:pt>
                <c:pt idx="11">
                  <c:v>-3.109</c:v>
                </c:pt>
                <c:pt idx="12">
                  <c:v>-3.167</c:v>
                </c:pt>
                <c:pt idx="13">
                  <c:v>-3.211</c:v>
                </c:pt>
                <c:pt idx="14">
                  <c:v>-3.2405</c:v>
                </c:pt>
                <c:pt idx="15">
                  <c:v>-2.3</c:v>
                </c:pt>
                <c:pt idx="16">
                  <c:v>-2.3</c:v>
                </c:pt>
                <c:pt idx="17">
                  <c:v>-2.3</c:v>
                </c:pt>
                <c:pt idx="18">
                  <c:v>2.3</c:v>
                </c:pt>
                <c:pt idx="19">
                  <c:v>2.3</c:v>
                </c:pt>
                <c:pt idx="20">
                  <c:v>2.3</c:v>
                </c:pt>
                <c:pt idx="21">
                  <c:v>2.3</c:v>
                </c:pt>
                <c:pt idx="22">
                  <c:v>3.961</c:v>
                </c:pt>
                <c:pt idx="23">
                  <c:v>2.3</c:v>
                </c:pt>
              </c:numCache>
            </c:numRef>
          </c:xVal>
          <c:yVal>
            <c:numRef>
              <c:f>'計算'!$AW$89:$AW$112</c:f>
              <c:numCache>
                <c:ptCount val="24"/>
                <c:pt idx="16">
                  <c:v>0</c:v>
                </c:pt>
                <c:pt idx="17">
                  <c:v>-2.2600000000000002</c:v>
                </c:pt>
                <c:pt idx="18">
                  <c:v>-0.6745</c:v>
                </c:pt>
                <c:pt idx="1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'計算'!$AX$88</c:f>
              <c:strCache>
                <c:ptCount val="1"/>
                <c:pt idx="0">
                  <c:v>土圧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'計算'!$AT$89:$AT$112</c:f>
              <c:numCache>
                <c:ptCount val="24"/>
                <c:pt idx="0">
                  <c:v>-2.3</c:v>
                </c:pt>
                <c:pt idx="1">
                  <c:v>-2.3</c:v>
                </c:pt>
                <c:pt idx="2">
                  <c:v>2.3</c:v>
                </c:pt>
                <c:pt idx="3">
                  <c:v>2.3</c:v>
                </c:pt>
                <c:pt idx="4">
                  <c:v>-2.3</c:v>
                </c:pt>
                <c:pt idx="5">
                  <c:v>-2.4585</c:v>
                </c:pt>
                <c:pt idx="6">
                  <c:v>-2.6025</c:v>
                </c:pt>
                <c:pt idx="7">
                  <c:v>-2.7325</c:v>
                </c:pt>
                <c:pt idx="8">
                  <c:v>-2.848</c:v>
                </c:pt>
                <c:pt idx="9">
                  <c:v>-2.9494999999999996</c:v>
                </c:pt>
                <c:pt idx="10">
                  <c:v>-3.0359999999999996</c:v>
                </c:pt>
                <c:pt idx="11">
                  <c:v>-3.109</c:v>
                </c:pt>
                <c:pt idx="12">
                  <c:v>-3.167</c:v>
                </c:pt>
                <c:pt idx="13">
                  <c:v>-3.211</c:v>
                </c:pt>
                <c:pt idx="14">
                  <c:v>-3.2405</c:v>
                </c:pt>
                <c:pt idx="15">
                  <c:v>-2.3</c:v>
                </c:pt>
                <c:pt idx="16">
                  <c:v>-2.3</c:v>
                </c:pt>
                <c:pt idx="17">
                  <c:v>-2.3</c:v>
                </c:pt>
                <c:pt idx="18">
                  <c:v>2.3</c:v>
                </c:pt>
                <c:pt idx="19">
                  <c:v>2.3</c:v>
                </c:pt>
                <c:pt idx="20">
                  <c:v>2.3</c:v>
                </c:pt>
                <c:pt idx="21">
                  <c:v>2.3</c:v>
                </c:pt>
                <c:pt idx="22">
                  <c:v>3.961</c:v>
                </c:pt>
                <c:pt idx="23">
                  <c:v>2.3</c:v>
                </c:pt>
              </c:numCache>
            </c:numRef>
          </c:xVal>
          <c:yVal>
            <c:numRef>
              <c:f>'計算'!$AX$89:$AX$112</c:f>
              <c:numCache>
                <c:ptCount val="24"/>
                <c:pt idx="20">
                  <c:v>5.25</c:v>
                </c:pt>
                <c:pt idx="21">
                  <c:v>5.25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22165891"/>
        <c:axId val="65275292"/>
      </c:scatterChart>
      <c:valAx>
        <c:axId val="22165891"/>
        <c:scaling>
          <c:orientation val="minMax"/>
        </c:scaling>
        <c:axPos val="b"/>
        <c:delete val="1"/>
        <c:majorTickMark val="out"/>
        <c:minorTickMark val="none"/>
        <c:tickLblPos val="nextTo"/>
        <c:crossAx val="65275292"/>
        <c:crosses val="autoZero"/>
        <c:crossBetween val="midCat"/>
        <c:dispUnits/>
      </c:valAx>
      <c:valAx>
        <c:axId val="65275292"/>
        <c:scaling>
          <c:orientation val="minMax"/>
        </c:scaling>
        <c:axPos val="l"/>
        <c:delete val="1"/>
        <c:majorTickMark val="out"/>
        <c:minorTickMark val="none"/>
        <c:tickLblPos val="nextTo"/>
        <c:crossAx val="2216589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モーメント図</a:t>
            </a:r>
          </a:p>
        </c:rich>
      </c:tx>
      <c:layout>
        <c:manualLayout>
          <c:xMode val="factor"/>
          <c:yMode val="factor"/>
          <c:x val="-0.106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7625"/>
          <c:w val="0.944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'計算'!$AU$117</c:f>
              <c:strCache>
                <c:ptCount val="1"/>
                <c:pt idx="0">
                  <c:v>擁壁骨組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'計算'!$AT$118:$AT$158</c:f>
              <c:numCache>
                <c:ptCount val="41"/>
                <c:pt idx="0">
                  <c:v>-2.3</c:v>
                </c:pt>
                <c:pt idx="1">
                  <c:v>-2.3</c:v>
                </c:pt>
                <c:pt idx="2">
                  <c:v>2.3</c:v>
                </c:pt>
                <c:pt idx="3">
                  <c:v>2.3</c:v>
                </c:pt>
                <c:pt idx="4">
                  <c:v>-2.3</c:v>
                </c:pt>
                <c:pt idx="5">
                  <c:v>-2.416</c:v>
                </c:pt>
                <c:pt idx="6">
                  <c:v>-2.719</c:v>
                </c:pt>
                <c:pt idx="7">
                  <c:v>-3.1449999999999996</c:v>
                </c:pt>
                <c:pt idx="8">
                  <c:v>-3.6374999999999997</c:v>
                </c:pt>
                <c:pt idx="9">
                  <c:v>-4.1465</c:v>
                </c:pt>
                <c:pt idx="10">
                  <c:v>-4.628</c:v>
                </c:pt>
                <c:pt idx="11">
                  <c:v>-5.045999999999999</c:v>
                </c:pt>
                <c:pt idx="12">
                  <c:v>-5.369</c:v>
                </c:pt>
                <c:pt idx="13">
                  <c:v>-5.574999999999999</c:v>
                </c:pt>
                <c:pt idx="14">
                  <c:v>-5.646</c:v>
                </c:pt>
                <c:pt idx="15">
                  <c:v>-2.3</c:v>
                </c:pt>
                <c:pt idx="16">
                  <c:v>2.3</c:v>
                </c:pt>
                <c:pt idx="17">
                  <c:v>2.3</c:v>
                </c:pt>
                <c:pt idx="18">
                  <c:v>1.8399999999999999</c:v>
                </c:pt>
                <c:pt idx="19">
                  <c:v>1.38</c:v>
                </c:pt>
                <c:pt idx="20">
                  <c:v>0.9199999999999999</c:v>
                </c:pt>
                <c:pt idx="21">
                  <c:v>0.45999999999999974</c:v>
                </c:pt>
                <c:pt idx="22">
                  <c:v>0</c:v>
                </c:pt>
                <c:pt idx="23">
                  <c:v>-0.45999999999999996</c:v>
                </c:pt>
                <c:pt idx="24">
                  <c:v>-0.9200000000000004</c:v>
                </c:pt>
                <c:pt idx="25">
                  <c:v>-1.3800000000000003</c:v>
                </c:pt>
                <c:pt idx="26">
                  <c:v>-1.8399999999999999</c:v>
                </c:pt>
                <c:pt idx="27">
                  <c:v>-2.3</c:v>
                </c:pt>
                <c:pt idx="28">
                  <c:v>-2.3</c:v>
                </c:pt>
                <c:pt idx="29">
                  <c:v>2.3</c:v>
                </c:pt>
                <c:pt idx="30">
                  <c:v>2.3074999999999997</c:v>
                </c:pt>
                <c:pt idx="31">
                  <c:v>2.3609999999999998</c:v>
                </c:pt>
                <c:pt idx="32">
                  <c:v>2.506</c:v>
                </c:pt>
                <c:pt idx="33">
                  <c:v>2.7885</c:v>
                </c:pt>
                <c:pt idx="34">
                  <c:v>3.2535</c:v>
                </c:pt>
                <c:pt idx="35">
                  <c:v>3.948</c:v>
                </c:pt>
                <c:pt idx="36">
                  <c:v>4.917</c:v>
                </c:pt>
                <c:pt idx="37">
                  <c:v>6.2065</c:v>
                </c:pt>
                <c:pt idx="38">
                  <c:v>7.861999999999999</c:v>
                </c:pt>
                <c:pt idx="39">
                  <c:v>9.9295</c:v>
                </c:pt>
                <c:pt idx="40">
                  <c:v>2.3</c:v>
                </c:pt>
              </c:numCache>
            </c:numRef>
          </c:xVal>
          <c:yVal>
            <c:numRef>
              <c:f>'計算'!$AU$118:$AU$158</c:f>
              <c:numCache>
                <c:ptCount val="41"/>
                <c:pt idx="0">
                  <c:v>3.9299999999999997</c:v>
                </c:pt>
                <c:pt idx="1">
                  <c:v>0</c:v>
                </c:pt>
                <c:pt idx="2">
                  <c:v>0</c:v>
                </c:pt>
                <c:pt idx="3">
                  <c:v>5.25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'計算'!$AV$117</c:f>
              <c:strCache>
                <c:ptCount val="1"/>
                <c:pt idx="0">
                  <c:v>前壁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'計算'!$AT$118:$AT$158</c:f>
              <c:numCache>
                <c:ptCount val="41"/>
                <c:pt idx="0">
                  <c:v>-2.3</c:v>
                </c:pt>
                <c:pt idx="1">
                  <c:v>-2.3</c:v>
                </c:pt>
                <c:pt idx="2">
                  <c:v>2.3</c:v>
                </c:pt>
                <c:pt idx="3">
                  <c:v>2.3</c:v>
                </c:pt>
                <c:pt idx="4">
                  <c:v>-2.3</c:v>
                </c:pt>
                <c:pt idx="5">
                  <c:v>-2.416</c:v>
                </c:pt>
                <c:pt idx="6">
                  <c:v>-2.719</c:v>
                </c:pt>
                <c:pt idx="7">
                  <c:v>-3.1449999999999996</c:v>
                </c:pt>
                <c:pt idx="8">
                  <c:v>-3.6374999999999997</c:v>
                </c:pt>
                <c:pt idx="9">
                  <c:v>-4.1465</c:v>
                </c:pt>
                <c:pt idx="10">
                  <c:v>-4.628</c:v>
                </c:pt>
                <c:pt idx="11">
                  <c:v>-5.045999999999999</c:v>
                </c:pt>
                <c:pt idx="12">
                  <c:v>-5.369</c:v>
                </c:pt>
                <c:pt idx="13">
                  <c:v>-5.574999999999999</c:v>
                </c:pt>
                <c:pt idx="14">
                  <c:v>-5.646</c:v>
                </c:pt>
                <c:pt idx="15">
                  <c:v>-2.3</c:v>
                </c:pt>
                <c:pt idx="16">
                  <c:v>2.3</c:v>
                </c:pt>
                <c:pt idx="17">
                  <c:v>2.3</c:v>
                </c:pt>
                <c:pt idx="18">
                  <c:v>1.8399999999999999</c:v>
                </c:pt>
                <c:pt idx="19">
                  <c:v>1.38</c:v>
                </c:pt>
                <c:pt idx="20">
                  <c:v>0.9199999999999999</c:v>
                </c:pt>
                <c:pt idx="21">
                  <c:v>0.45999999999999974</c:v>
                </c:pt>
                <c:pt idx="22">
                  <c:v>0</c:v>
                </c:pt>
                <c:pt idx="23">
                  <c:v>-0.45999999999999996</c:v>
                </c:pt>
                <c:pt idx="24">
                  <c:v>-0.9200000000000004</c:v>
                </c:pt>
                <c:pt idx="25">
                  <c:v>-1.3800000000000003</c:v>
                </c:pt>
                <c:pt idx="26">
                  <c:v>-1.8399999999999999</c:v>
                </c:pt>
                <c:pt idx="27">
                  <c:v>-2.3</c:v>
                </c:pt>
                <c:pt idx="28">
                  <c:v>-2.3</c:v>
                </c:pt>
                <c:pt idx="29">
                  <c:v>2.3</c:v>
                </c:pt>
                <c:pt idx="30">
                  <c:v>2.3074999999999997</c:v>
                </c:pt>
                <c:pt idx="31">
                  <c:v>2.3609999999999998</c:v>
                </c:pt>
                <c:pt idx="32">
                  <c:v>2.506</c:v>
                </c:pt>
                <c:pt idx="33">
                  <c:v>2.7885</c:v>
                </c:pt>
                <c:pt idx="34">
                  <c:v>3.2535</c:v>
                </c:pt>
                <c:pt idx="35">
                  <c:v>3.948</c:v>
                </c:pt>
                <c:pt idx="36">
                  <c:v>4.917</c:v>
                </c:pt>
                <c:pt idx="37">
                  <c:v>6.2065</c:v>
                </c:pt>
                <c:pt idx="38">
                  <c:v>7.861999999999999</c:v>
                </c:pt>
                <c:pt idx="39">
                  <c:v>9.9295</c:v>
                </c:pt>
                <c:pt idx="40">
                  <c:v>2.3</c:v>
                </c:pt>
              </c:numCache>
            </c:numRef>
          </c:xVal>
          <c:yVal>
            <c:numRef>
              <c:f>'計算'!$AV$118:$AV$158</c:f>
              <c:numCache>
                <c:ptCount val="41"/>
                <c:pt idx="4">
                  <c:v>3.9299999999999997</c:v>
                </c:pt>
                <c:pt idx="5">
                  <c:v>3.537</c:v>
                </c:pt>
                <c:pt idx="6">
                  <c:v>3.144</c:v>
                </c:pt>
                <c:pt idx="7">
                  <c:v>2.751</c:v>
                </c:pt>
                <c:pt idx="8">
                  <c:v>2.358</c:v>
                </c:pt>
                <c:pt idx="9">
                  <c:v>1.965</c:v>
                </c:pt>
                <c:pt idx="10">
                  <c:v>1.572</c:v>
                </c:pt>
                <c:pt idx="11">
                  <c:v>1.179</c:v>
                </c:pt>
                <c:pt idx="12">
                  <c:v>0.786</c:v>
                </c:pt>
                <c:pt idx="13">
                  <c:v>0.393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'計算'!$AW$117</c:f>
              <c:strCache>
                <c:ptCount val="1"/>
                <c:pt idx="0">
                  <c:v>底面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'計算'!$AT$118:$AT$158</c:f>
              <c:numCache>
                <c:ptCount val="41"/>
                <c:pt idx="0">
                  <c:v>-2.3</c:v>
                </c:pt>
                <c:pt idx="1">
                  <c:v>-2.3</c:v>
                </c:pt>
                <c:pt idx="2">
                  <c:v>2.3</c:v>
                </c:pt>
                <c:pt idx="3">
                  <c:v>2.3</c:v>
                </c:pt>
                <c:pt idx="4">
                  <c:v>-2.3</c:v>
                </c:pt>
                <c:pt idx="5">
                  <c:v>-2.416</c:v>
                </c:pt>
                <c:pt idx="6">
                  <c:v>-2.719</c:v>
                </c:pt>
                <c:pt idx="7">
                  <c:v>-3.1449999999999996</c:v>
                </c:pt>
                <c:pt idx="8">
                  <c:v>-3.6374999999999997</c:v>
                </c:pt>
                <c:pt idx="9">
                  <c:v>-4.1465</c:v>
                </c:pt>
                <c:pt idx="10">
                  <c:v>-4.628</c:v>
                </c:pt>
                <c:pt idx="11">
                  <c:v>-5.045999999999999</c:v>
                </c:pt>
                <c:pt idx="12">
                  <c:v>-5.369</c:v>
                </c:pt>
                <c:pt idx="13">
                  <c:v>-5.574999999999999</c:v>
                </c:pt>
                <c:pt idx="14">
                  <c:v>-5.646</c:v>
                </c:pt>
                <c:pt idx="15">
                  <c:v>-2.3</c:v>
                </c:pt>
                <c:pt idx="16">
                  <c:v>2.3</c:v>
                </c:pt>
                <c:pt idx="17">
                  <c:v>2.3</c:v>
                </c:pt>
                <c:pt idx="18">
                  <c:v>1.8399999999999999</c:v>
                </c:pt>
                <c:pt idx="19">
                  <c:v>1.38</c:v>
                </c:pt>
                <c:pt idx="20">
                  <c:v>0.9199999999999999</c:v>
                </c:pt>
                <c:pt idx="21">
                  <c:v>0.45999999999999974</c:v>
                </c:pt>
                <c:pt idx="22">
                  <c:v>0</c:v>
                </c:pt>
                <c:pt idx="23">
                  <c:v>-0.45999999999999996</c:v>
                </c:pt>
                <c:pt idx="24">
                  <c:v>-0.9200000000000004</c:v>
                </c:pt>
                <c:pt idx="25">
                  <c:v>-1.3800000000000003</c:v>
                </c:pt>
                <c:pt idx="26">
                  <c:v>-1.8399999999999999</c:v>
                </c:pt>
                <c:pt idx="27">
                  <c:v>-2.3</c:v>
                </c:pt>
                <c:pt idx="28">
                  <c:v>-2.3</c:v>
                </c:pt>
                <c:pt idx="29">
                  <c:v>2.3</c:v>
                </c:pt>
                <c:pt idx="30">
                  <c:v>2.3074999999999997</c:v>
                </c:pt>
                <c:pt idx="31">
                  <c:v>2.3609999999999998</c:v>
                </c:pt>
                <c:pt idx="32">
                  <c:v>2.506</c:v>
                </c:pt>
                <c:pt idx="33">
                  <c:v>2.7885</c:v>
                </c:pt>
                <c:pt idx="34">
                  <c:v>3.2535</c:v>
                </c:pt>
                <c:pt idx="35">
                  <c:v>3.948</c:v>
                </c:pt>
                <c:pt idx="36">
                  <c:v>4.917</c:v>
                </c:pt>
                <c:pt idx="37">
                  <c:v>6.2065</c:v>
                </c:pt>
                <c:pt idx="38">
                  <c:v>7.861999999999999</c:v>
                </c:pt>
                <c:pt idx="39">
                  <c:v>9.9295</c:v>
                </c:pt>
                <c:pt idx="40">
                  <c:v>2.3</c:v>
                </c:pt>
              </c:numCache>
            </c:numRef>
          </c:xVal>
          <c:yVal>
            <c:numRef>
              <c:f>'計算'!$AW$118:$AW$158</c:f>
              <c:numCache>
                <c:ptCount val="41"/>
                <c:pt idx="16">
                  <c:v>0</c:v>
                </c:pt>
                <c:pt idx="17">
                  <c:v>-7.6295</c:v>
                </c:pt>
                <c:pt idx="18">
                  <c:v>-6.471500000000001</c:v>
                </c:pt>
                <c:pt idx="19">
                  <c:v>-5.3854999999999995</c:v>
                </c:pt>
                <c:pt idx="20">
                  <c:v>-4.406000000000001</c:v>
                </c:pt>
                <c:pt idx="21">
                  <c:v>-3.5665</c:v>
                </c:pt>
                <c:pt idx="22">
                  <c:v>-2.8995</c:v>
                </c:pt>
                <c:pt idx="23">
                  <c:v>-2.44</c:v>
                </c:pt>
                <c:pt idx="24">
                  <c:v>-2.2205</c:v>
                </c:pt>
                <c:pt idx="25">
                  <c:v>-2.275</c:v>
                </c:pt>
                <c:pt idx="26">
                  <c:v>-2.6365</c:v>
                </c:pt>
                <c:pt idx="27">
                  <c:v>-3.3395</c:v>
                </c:pt>
                <c:pt idx="2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'計算'!$AX$117</c:f>
              <c:strCache>
                <c:ptCount val="1"/>
                <c:pt idx="0">
                  <c:v>後壁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'計算'!$AT$118:$AT$158</c:f>
              <c:numCache>
                <c:ptCount val="41"/>
                <c:pt idx="0">
                  <c:v>-2.3</c:v>
                </c:pt>
                <c:pt idx="1">
                  <c:v>-2.3</c:v>
                </c:pt>
                <c:pt idx="2">
                  <c:v>2.3</c:v>
                </c:pt>
                <c:pt idx="3">
                  <c:v>2.3</c:v>
                </c:pt>
                <c:pt idx="4">
                  <c:v>-2.3</c:v>
                </c:pt>
                <c:pt idx="5">
                  <c:v>-2.416</c:v>
                </c:pt>
                <c:pt idx="6">
                  <c:v>-2.719</c:v>
                </c:pt>
                <c:pt idx="7">
                  <c:v>-3.1449999999999996</c:v>
                </c:pt>
                <c:pt idx="8">
                  <c:v>-3.6374999999999997</c:v>
                </c:pt>
                <c:pt idx="9">
                  <c:v>-4.1465</c:v>
                </c:pt>
                <c:pt idx="10">
                  <c:v>-4.628</c:v>
                </c:pt>
                <c:pt idx="11">
                  <c:v>-5.045999999999999</c:v>
                </c:pt>
                <c:pt idx="12">
                  <c:v>-5.369</c:v>
                </c:pt>
                <c:pt idx="13">
                  <c:v>-5.574999999999999</c:v>
                </c:pt>
                <c:pt idx="14">
                  <c:v>-5.646</c:v>
                </c:pt>
                <c:pt idx="15">
                  <c:v>-2.3</c:v>
                </c:pt>
                <c:pt idx="16">
                  <c:v>2.3</c:v>
                </c:pt>
                <c:pt idx="17">
                  <c:v>2.3</c:v>
                </c:pt>
                <c:pt idx="18">
                  <c:v>1.8399999999999999</c:v>
                </c:pt>
                <c:pt idx="19">
                  <c:v>1.38</c:v>
                </c:pt>
                <c:pt idx="20">
                  <c:v>0.9199999999999999</c:v>
                </c:pt>
                <c:pt idx="21">
                  <c:v>0.45999999999999974</c:v>
                </c:pt>
                <c:pt idx="22">
                  <c:v>0</c:v>
                </c:pt>
                <c:pt idx="23">
                  <c:v>-0.45999999999999996</c:v>
                </c:pt>
                <c:pt idx="24">
                  <c:v>-0.9200000000000004</c:v>
                </c:pt>
                <c:pt idx="25">
                  <c:v>-1.3800000000000003</c:v>
                </c:pt>
                <c:pt idx="26">
                  <c:v>-1.8399999999999999</c:v>
                </c:pt>
                <c:pt idx="27">
                  <c:v>-2.3</c:v>
                </c:pt>
                <c:pt idx="28">
                  <c:v>-2.3</c:v>
                </c:pt>
                <c:pt idx="29">
                  <c:v>2.3</c:v>
                </c:pt>
                <c:pt idx="30">
                  <c:v>2.3074999999999997</c:v>
                </c:pt>
                <c:pt idx="31">
                  <c:v>2.3609999999999998</c:v>
                </c:pt>
                <c:pt idx="32">
                  <c:v>2.506</c:v>
                </c:pt>
                <c:pt idx="33">
                  <c:v>2.7885</c:v>
                </c:pt>
                <c:pt idx="34">
                  <c:v>3.2535</c:v>
                </c:pt>
                <c:pt idx="35">
                  <c:v>3.948</c:v>
                </c:pt>
                <c:pt idx="36">
                  <c:v>4.917</c:v>
                </c:pt>
                <c:pt idx="37">
                  <c:v>6.2065</c:v>
                </c:pt>
                <c:pt idx="38">
                  <c:v>7.861999999999999</c:v>
                </c:pt>
                <c:pt idx="39">
                  <c:v>9.9295</c:v>
                </c:pt>
                <c:pt idx="40">
                  <c:v>2.3</c:v>
                </c:pt>
              </c:numCache>
            </c:numRef>
          </c:xVal>
          <c:yVal>
            <c:numRef>
              <c:f>'計算'!$AX$118:$AX$158</c:f>
              <c:numCache>
                <c:ptCount val="41"/>
                <c:pt idx="29">
                  <c:v>5.25</c:v>
                </c:pt>
                <c:pt idx="30">
                  <c:v>4.725</c:v>
                </c:pt>
                <c:pt idx="31">
                  <c:v>4.2</c:v>
                </c:pt>
                <c:pt idx="32">
                  <c:v>3.675</c:v>
                </c:pt>
                <c:pt idx="33">
                  <c:v>3.15</c:v>
                </c:pt>
                <c:pt idx="34">
                  <c:v>2.625</c:v>
                </c:pt>
                <c:pt idx="35">
                  <c:v>2.1</c:v>
                </c:pt>
                <c:pt idx="36">
                  <c:v>1.5750000000000002</c:v>
                </c:pt>
                <c:pt idx="37">
                  <c:v>1.0499999999999998</c:v>
                </c:pt>
                <c:pt idx="38">
                  <c:v>0.5250000000000004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50606717"/>
        <c:axId val="52807270"/>
      </c:scatterChart>
      <c:valAx>
        <c:axId val="50606717"/>
        <c:scaling>
          <c:orientation val="minMax"/>
        </c:scaling>
        <c:axPos val="b"/>
        <c:delete val="1"/>
        <c:majorTickMark val="out"/>
        <c:minorTickMark val="none"/>
        <c:tickLblPos val="nextTo"/>
        <c:crossAx val="52807270"/>
        <c:crosses val="autoZero"/>
        <c:crossBetween val="midCat"/>
        <c:dispUnits/>
        <c:majorUnit val="1"/>
      </c:valAx>
      <c:valAx>
        <c:axId val="52807270"/>
        <c:scaling>
          <c:orientation val="minMax"/>
        </c:scaling>
        <c:axPos val="l"/>
        <c:delete val="1"/>
        <c:majorTickMark val="out"/>
        <c:minorTickMark val="none"/>
        <c:tickLblPos val="nextTo"/>
        <c:crossAx val="506067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425"/>
          <c:h val="0.89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'計算'!$AV$3</c:f>
              <c:strCache>
                <c:ptCount val="1"/>
                <c:pt idx="0">
                  <c:v>擁壁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'計算'!$AU$4:$AU$21</c:f>
              <c:numCache/>
            </c:numRef>
          </c:xVal>
          <c:yVal>
            <c:numRef>
              <c:f>'計算'!$AV$4:$AV$21</c:f>
              <c:numCache/>
            </c:numRef>
          </c:yVal>
          <c:smooth val="0"/>
        </c:ser>
        <c:ser>
          <c:idx val="1"/>
          <c:order val="1"/>
          <c:tx>
            <c:strRef>
              <c:f>'計算'!$AW$3</c:f>
              <c:strCache>
                <c:ptCount val="1"/>
                <c:pt idx="0">
                  <c:v>前面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'計算'!$AU$4:$AU$21</c:f>
              <c:numCache/>
            </c:numRef>
          </c:xVal>
          <c:yVal>
            <c:numRef>
              <c:f>'計算'!$AW$4:$AW$21</c:f>
              <c:numCache/>
            </c:numRef>
          </c:yVal>
          <c:smooth val="0"/>
        </c:ser>
        <c:ser>
          <c:idx val="2"/>
          <c:order val="2"/>
          <c:tx>
            <c:strRef>
              <c:f>'計算'!$AX$3</c:f>
              <c:strCache>
                <c:ptCount val="1"/>
                <c:pt idx="0">
                  <c:v>背面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'計算'!$AU$4:$AU$21</c:f>
              <c:numCache/>
            </c:numRef>
          </c:xVal>
          <c:yVal>
            <c:numRef>
              <c:f>'計算'!$AX$4:$AX$21</c:f>
              <c:numCache/>
            </c:numRef>
          </c:yVal>
          <c:smooth val="0"/>
        </c:ser>
        <c:ser>
          <c:idx val="3"/>
          <c:order val="3"/>
          <c:tx>
            <c:strRef>
              <c:f>'計算'!$AY$3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'計算'!$AU$4:$AU$21</c:f>
              <c:numCache/>
            </c:numRef>
          </c:xVal>
          <c:yVal>
            <c:numRef>
              <c:f>'計算'!$AY$4:$AY$21</c:f>
              <c:numCache/>
            </c:numRef>
          </c:yVal>
          <c:smooth val="0"/>
        </c:ser>
        <c:axId val="5503383"/>
        <c:axId val="49530448"/>
      </c:scatterChart>
      <c:valAx>
        <c:axId val="5503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30448"/>
        <c:crosses val="autoZero"/>
        <c:crossBetween val="midCat"/>
        <c:dispUnits/>
      </c:valAx>
      <c:valAx>
        <c:axId val="495304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5033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地盤反力図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28"/>
          <c:h val="0.8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'計算'!$AU$88</c:f>
              <c:strCache>
                <c:ptCount val="1"/>
                <c:pt idx="0">
                  <c:v>擁壁骨組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'計算'!$AT$89:$AT$112</c:f>
              <c:numCache/>
            </c:numRef>
          </c:xVal>
          <c:yVal>
            <c:numRef>
              <c:f>'計算'!$AU$89:$AU$112</c:f>
              <c:numCache/>
            </c:numRef>
          </c:yVal>
          <c:smooth val="0"/>
        </c:ser>
        <c:ser>
          <c:idx val="1"/>
          <c:order val="1"/>
          <c:tx>
            <c:strRef>
              <c:f>'計算'!$AV$88</c:f>
              <c:strCache>
                <c:ptCount val="1"/>
                <c:pt idx="0">
                  <c:v>側面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'計算'!$AT$89:$AT$112</c:f>
              <c:numCache/>
            </c:numRef>
          </c:xVal>
          <c:yVal>
            <c:numRef>
              <c:f>'計算'!$AV$89:$AV$112</c:f>
              <c:numCache/>
            </c:numRef>
          </c:yVal>
          <c:smooth val="0"/>
        </c:ser>
        <c:ser>
          <c:idx val="2"/>
          <c:order val="2"/>
          <c:tx>
            <c:strRef>
              <c:f>'計算'!$AW$88</c:f>
              <c:strCache>
                <c:ptCount val="1"/>
                <c:pt idx="0">
                  <c:v>底面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'計算'!$AT$89:$AT$112</c:f>
              <c:numCache/>
            </c:numRef>
          </c:xVal>
          <c:yVal>
            <c:numRef>
              <c:f>'計算'!$AW$89:$AW$112</c:f>
              <c:numCache/>
            </c:numRef>
          </c:yVal>
          <c:smooth val="0"/>
        </c:ser>
        <c:ser>
          <c:idx val="3"/>
          <c:order val="3"/>
          <c:tx>
            <c:strRef>
              <c:f>'計算'!$AX$88</c:f>
              <c:strCache>
                <c:ptCount val="1"/>
                <c:pt idx="0">
                  <c:v>土圧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'計算'!$AT$89:$AT$112</c:f>
              <c:numCache/>
            </c:numRef>
          </c:xVal>
          <c:yVal>
            <c:numRef>
              <c:f>'計算'!$AX$89:$AX$112</c:f>
              <c:numCache/>
            </c:numRef>
          </c:yVal>
          <c:smooth val="0"/>
        </c:ser>
        <c:axId val="43120849"/>
        <c:axId val="52543322"/>
      </c:scatterChart>
      <c:valAx>
        <c:axId val="43120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43322"/>
        <c:crosses val="autoZero"/>
        <c:crossBetween val="midCat"/>
        <c:dispUnits/>
      </c:valAx>
      <c:valAx>
        <c:axId val="525433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208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モーメント図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76"/>
          <c:w val="0.9245"/>
          <c:h val="0.8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'計算'!$AU$117</c:f>
              <c:strCache>
                <c:ptCount val="1"/>
                <c:pt idx="0">
                  <c:v>擁壁骨組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'計算'!$AT$118:$AT$158</c:f>
              <c:numCache/>
            </c:numRef>
          </c:xVal>
          <c:yVal>
            <c:numRef>
              <c:f>'計算'!$AU$118:$AU$158</c:f>
              <c:numCache/>
            </c:numRef>
          </c:yVal>
          <c:smooth val="0"/>
        </c:ser>
        <c:ser>
          <c:idx val="1"/>
          <c:order val="1"/>
          <c:tx>
            <c:strRef>
              <c:f>'計算'!$AV$117</c:f>
              <c:strCache>
                <c:ptCount val="1"/>
                <c:pt idx="0">
                  <c:v>前壁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'計算'!$AT$118:$AT$158</c:f>
              <c:numCache/>
            </c:numRef>
          </c:xVal>
          <c:yVal>
            <c:numRef>
              <c:f>'計算'!$AV$118:$AV$158</c:f>
              <c:numCache/>
            </c:numRef>
          </c:yVal>
          <c:smooth val="0"/>
        </c:ser>
        <c:ser>
          <c:idx val="2"/>
          <c:order val="2"/>
          <c:tx>
            <c:strRef>
              <c:f>'計算'!$AW$117</c:f>
              <c:strCache>
                <c:ptCount val="1"/>
                <c:pt idx="0">
                  <c:v>底面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'計算'!$AT$118:$AT$158</c:f>
              <c:numCache/>
            </c:numRef>
          </c:xVal>
          <c:yVal>
            <c:numRef>
              <c:f>'計算'!$AW$118:$AW$158</c:f>
              <c:numCache/>
            </c:numRef>
          </c:yVal>
          <c:smooth val="0"/>
        </c:ser>
        <c:ser>
          <c:idx val="3"/>
          <c:order val="3"/>
          <c:tx>
            <c:strRef>
              <c:f>'計算'!$AX$117</c:f>
              <c:strCache>
                <c:ptCount val="1"/>
                <c:pt idx="0">
                  <c:v>後壁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'計算'!$AT$118:$AT$158</c:f>
              <c:numCache/>
            </c:numRef>
          </c:xVal>
          <c:yVal>
            <c:numRef>
              <c:f>'計算'!$AX$118:$AX$158</c:f>
              <c:numCache/>
            </c:numRef>
          </c:yVal>
          <c:smooth val="0"/>
        </c:ser>
        <c:axId val="3127851"/>
        <c:axId val="28150660"/>
      </c:scatterChart>
      <c:valAx>
        <c:axId val="3127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50660"/>
        <c:crosses val="autoZero"/>
        <c:crossBetween val="midCat"/>
        <c:dispUnits/>
        <c:majorUnit val="1"/>
      </c:valAx>
      <c:valAx>
        <c:axId val="281506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78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せん断力図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205"/>
          <c:w val="0.92825"/>
          <c:h val="0.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'計算'!$BA$117</c:f>
              <c:strCache>
                <c:ptCount val="1"/>
                <c:pt idx="0">
                  <c:v>擁壁骨組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'計算'!$AZ$118:$AZ$158</c:f>
              <c:numCache/>
            </c:numRef>
          </c:xVal>
          <c:yVal>
            <c:numRef>
              <c:f>'計算'!$BA$118:$BA$158</c:f>
              <c:numCache/>
            </c:numRef>
          </c:yVal>
          <c:smooth val="0"/>
        </c:ser>
        <c:ser>
          <c:idx val="1"/>
          <c:order val="1"/>
          <c:tx>
            <c:strRef>
              <c:f>'計算'!$BB$117</c:f>
              <c:strCache>
                <c:ptCount val="1"/>
                <c:pt idx="0">
                  <c:v>前壁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'計算'!$AZ$118:$AZ$158</c:f>
              <c:numCache/>
            </c:numRef>
          </c:xVal>
          <c:yVal>
            <c:numRef>
              <c:f>'計算'!$BB$118:$BB$158</c:f>
              <c:numCache/>
            </c:numRef>
          </c:yVal>
          <c:smooth val="0"/>
        </c:ser>
        <c:ser>
          <c:idx val="2"/>
          <c:order val="2"/>
          <c:tx>
            <c:strRef>
              <c:f>'計算'!$BC$117</c:f>
              <c:strCache>
                <c:ptCount val="1"/>
                <c:pt idx="0">
                  <c:v>底面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'計算'!$AZ$118:$AZ$158</c:f>
              <c:numCache/>
            </c:numRef>
          </c:xVal>
          <c:yVal>
            <c:numRef>
              <c:f>'計算'!$BC$118:$BC$158</c:f>
              <c:numCache/>
            </c:numRef>
          </c:yVal>
          <c:smooth val="0"/>
        </c:ser>
        <c:ser>
          <c:idx val="3"/>
          <c:order val="3"/>
          <c:tx>
            <c:strRef>
              <c:f>'計算'!$BD$117</c:f>
              <c:strCache>
                <c:ptCount val="1"/>
                <c:pt idx="0">
                  <c:v>後壁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'計算'!$AZ$118:$AZ$158</c:f>
              <c:numCache/>
            </c:numRef>
          </c:xVal>
          <c:yVal>
            <c:numRef>
              <c:f>'計算'!$BD$118:$BD$158</c:f>
              <c:numCache/>
            </c:numRef>
          </c:yVal>
          <c:smooth val="0"/>
        </c:ser>
        <c:axId val="52029349"/>
        <c:axId val="65610958"/>
      </c:scatterChart>
      <c:valAx>
        <c:axId val="52029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10958"/>
        <c:crosses val="autoZero"/>
        <c:crossBetween val="midCat"/>
        <c:dispUnits/>
        <c:majorUnit val="1"/>
      </c:valAx>
      <c:valAx>
        <c:axId val="656109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293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6.emf" /><Relationship Id="rId6" Type="http://schemas.openxmlformats.org/officeDocument/2006/relationships/image" Target="../media/image17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Relationship Id="rId9" Type="http://schemas.openxmlformats.org/officeDocument/2006/relationships/image" Target="../media/image20.emf" /><Relationship Id="rId10" Type="http://schemas.openxmlformats.org/officeDocument/2006/relationships/image" Target="../media/image21.emf" /><Relationship Id="rId11" Type="http://schemas.openxmlformats.org/officeDocument/2006/relationships/image" Target="../media/image22.emf" /><Relationship Id="rId12" Type="http://schemas.openxmlformats.org/officeDocument/2006/relationships/image" Target="../media/image23.emf" /><Relationship Id="rId13" Type="http://schemas.openxmlformats.org/officeDocument/2006/relationships/image" Target="../media/image24.emf" /><Relationship Id="rId14" Type="http://schemas.openxmlformats.org/officeDocument/2006/relationships/image" Target="../media/image25.emf" /><Relationship Id="rId15" Type="http://schemas.openxmlformats.org/officeDocument/2006/relationships/image" Target="../media/image26.emf" /><Relationship Id="rId16" Type="http://schemas.openxmlformats.org/officeDocument/2006/relationships/image" Target="../media/image27.emf" /><Relationship Id="rId17" Type="http://schemas.openxmlformats.org/officeDocument/2006/relationships/image" Target="../media/image28.emf" /><Relationship Id="rId18" Type="http://schemas.openxmlformats.org/officeDocument/2006/relationships/image" Target="../media/image29.emf" /><Relationship Id="rId19" Type="http://schemas.openxmlformats.org/officeDocument/2006/relationships/image" Target="../media/image30.emf" /><Relationship Id="rId20" Type="http://schemas.openxmlformats.org/officeDocument/2006/relationships/image" Target="../media/image31.emf" /><Relationship Id="rId21" Type="http://schemas.openxmlformats.org/officeDocument/2006/relationships/image" Target="../media/image32.emf" /><Relationship Id="rId22" Type="http://schemas.openxmlformats.org/officeDocument/2006/relationships/image" Target="../media/image33.emf" /><Relationship Id="rId23" Type="http://schemas.openxmlformats.org/officeDocument/2006/relationships/image" Target="../media/image34.emf" /><Relationship Id="rId24" Type="http://schemas.openxmlformats.org/officeDocument/2006/relationships/image" Target="../media/image35.emf" /><Relationship Id="rId25" Type="http://schemas.openxmlformats.org/officeDocument/2006/relationships/image" Target="../media/image36.emf" /><Relationship Id="rId26" Type="http://schemas.openxmlformats.org/officeDocument/2006/relationships/image" Target="../media/image37.emf" /><Relationship Id="rId27" Type="http://schemas.openxmlformats.org/officeDocument/2006/relationships/image" Target="../media/image38.emf" /><Relationship Id="rId28" Type="http://schemas.openxmlformats.org/officeDocument/2006/relationships/image" Target="../media/image39.emf" /><Relationship Id="rId29" Type="http://schemas.openxmlformats.org/officeDocument/2006/relationships/image" Target="../media/image40.emf" /><Relationship Id="rId30" Type="http://schemas.openxmlformats.org/officeDocument/2006/relationships/image" Target="../media/image41.emf" /><Relationship Id="rId31" Type="http://schemas.openxmlformats.org/officeDocument/2006/relationships/image" Target="../media/image42.emf" /><Relationship Id="rId32" Type="http://schemas.openxmlformats.org/officeDocument/2006/relationships/image" Target="../media/image43.emf" /><Relationship Id="rId33" Type="http://schemas.openxmlformats.org/officeDocument/2006/relationships/image" Target="../media/image44.emf" /><Relationship Id="rId34" Type="http://schemas.openxmlformats.org/officeDocument/2006/relationships/image" Target="../media/image45.emf" /><Relationship Id="rId35" Type="http://schemas.openxmlformats.org/officeDocument/2006/relationships/image" Target="../media/image46.emf" /><Relationship Id="rId36" Type="http://schemas.openxmlformats.org/officeDocument/2006/relationships/image" Target="../media/image47.emf" /><Relationship Id="rId37" Type="http://schemas.openxmlformats.org/officeDocument/2006/relationships/image" Target="../media/image48.emf" /><Relationship Id="rId38" Type="http://schemas.openxmlformats.org/officeDocument/2006/relationships/image" Target="../media/image49.emf" /><Relationship Id="rId39" Type="http://schemas.openxmlformats.org/officeDocument/2006/relationships/image" Target="../media/image50.emf" /><Relationship Id="rId40" Type="http://schemas.openxmlformats.org/officeDocument/2006/relationships/image" Target="../media/image51.emf" /><Relationship Id="rId41" Type="http://schemas.openxmlformats.org/officeDocument/2006/relationships/image" Target="../media/image52.emf" /><Relationship Id="rId42" Type="http://schemas.openxmlformats.org/officeDocument/2006/relationships/image" Target="../media/image53.emf" /><Relationship Id="rId43" Type="http://schemas.openxmlformats.org/officeDocument/2006/relationships/image" Target="../media/image54.emf" /><Relationship Id="rId44" Type="http://schemas.openxmlformats.org/officeDocument/2006/relationships/image" Target="../media/image55.emf" /><Relationship Id="rId45" Type="http://schemas.openxmlformats.org/officeDocument/2006/relationships/image" Target="../media/image56.emf" /><Relationship Id="rId46" Type="http://schemas.openxmlformats.org/officeDocument/2006/relationships/image" Target="../media/image5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8.emf" /><Relationship Id="rId13" Type="http://schemas.openxmlformats.org/officeDocument/2006/relationships/image" Target="../media/image12.emf" /><Relationship Id="rId14" Type="http://schemas.openxmlformats.org/officeDocument/2006/relationships/image" Target="../media/image8.emf" /><Relationship Id="rId15" Type="http://schemas.openxmlformats.org/officeDocument/2006/relationships/image" Target="../media/image8.emf" /><Relationship Id="rId16" Type="http://schemas.openxmlformats.org/officeDocument/2006/relationships/image" Target="../media/image13.emf" /><Relationship Id="rId17" Type="http://schemas.openxmlformats.org/officeDocument/2006/relationships/image" Target="../media/image14.emf" /><Relationship Id="rId18" Type="http://schemas.openxmlformats.org/officeDocument/2006/relationships/image" Target="../media/image15.emf" /><Relationship Id="rId19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438150</xdr:colOff>
      <xdr:row>10</xdr:row>
      <xdr:rowOff>114300</xdr:rowOff>
    </xdr:from>
    <xdr:to>
      <xdr:col>21</xdr:col>
      <xdr:colOff>104775</xdr:colOff>
      <xdr:row>27</xdr:row>
      <xdr:rowOff>104775</xdr:rowOff>
    </xdr:to>
    <xdr:graphicFrame>
      <xdr:nvGraphicFramePr>
        <xdr:cNvPr id="1" name="グラフ 17"/>
        <xdr:cNvGraphicFramePr/>
      </xdr:nvGraphicFramePr>
      <xdr:xfrm>
        <a:off x="9906000" y="2085975"/>
        <a:ext cx="44005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27</xdr:row>
      <xdr:rowOff>85725</xdr:rowOff>
    </xdr:from>
    <xdr:to>
      <xdr:col>12</xdr:col>
      <xdr:colOff>466725</xdr:colOff>
      <xdr:row>49</xdr:row>
      <xdr:rowOff>0</xdr:rowOff>
    </xdr:to>
    <xdr:graphicFrame>
      <xdr:nvGraphicFramePr>
        <xdr:cNvPr id="2" name="グラフ 18"/>
        <xdr:cNvGraphicFramePr/>
      </xdr:nvGraphicFramePr>
      <xdr:xfrm>
        <a:off x="4924425" y="5505450"/>
        <a:ext cx="36576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27</xdr:row>
      <xdr:rowOff>76200</xdr:rowOff>
    </xdr:from>
    <xdr:to>
      <xdr:col>18</xdr:col>
      <xdr:colOff>9525</xdr:colOff>
      <xdr:row>48</xdr:row>
      <xdr:rowOff>133350</xdr:rowOff>
    </xdr:to>
    <xdr:graphicFrame>
      <xdr:nvGraphicFramePr>
        <xdr:cNvPr id="3" name="グラフ 19"/>
        <xdr:cNvGraphicFramePr/>
      </xdr:nvGraphicFramePr>
      <xdr:xfrm>
        <a:off x="8982075" y="5495925"/>
        <a:ext cx="3200400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457200</xdr:colOff>
      <xdr:row>5</xdr:row>
      <xdr:rowOff>0</xdr:rowOff>
    </xdr:from>
    <xdr:to>
      <xdr:col>15</xdr:col>
      <xdr:colOff>485775</xdr:colOff>
      <xdr:row>27</xdr:row>
      <xdr:rowOff>38100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38575" y="962025"/>
          <a:ext cx="679132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16</xdr:row>
      <xdr:rowOff>28575</xdr:rowOff>
    </xdr:from>
    <xdr:to>
      <xdr:col>10</xdr:col>
      <xdr:colOff>704850</xdr:colOff>
      <xdr:row>27</xdr:row>
      <xdr:rowOff>95250</xdr:rowOff>
    </xdr:to>
    <xdr:graphicFrame>
      <xdr:nvGraphicFramePr>
        <xdr:cNvPr id="1" name="グラフ 4"/>
        <xdr:cNvGraphicFramePr/>
      </xdr:nvGraphicFramePr>
      <xdr:xfrm>
        <a:off x="4276725" y="3686175"/>
        <a:ext cx="35718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188</xdr:row>
      <xdr:rowOff>9525</xdr:rowOff>
    </xdr:from>
    <xdr:to>
      <xdr:col>7</xdr:col>
      <xdr:colOff>238125</xdr:colOff>
      <xdr:row>206</xdr:row>
      <xdr:rowOff>190500</xdr:rowOff>
    </xdr:to>
    <xdr:graphicFrame>
      <xdr:nvGraphicFramePr>
        <xdr:cNvPr id="2" name="グラフ 5"/>
        <xdr:cNvGraphicFramePr/>
      </xdr:nvGraphicFramePr>
      <xdr:xfrm>
        <a:off x="933450" y="42986325"/>
        <a:ext cx="43053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314</xdr:row>
      <xdr:rowOff>114300</xdr:rowOff>
    </xdr:from>
    <xdr:to>
      <xdr:col>3</xdr:col>
      <xdr:colOff>685800</xdr:colOff>
      <xdr:row>328</xdr:row>
      <xdr:rowOff>114300</xdr:rowOff>
    </xdr:to>
    <xdr:graphicFrame>
      <xdr:nvGraphicFramePr>
        <xdr:cNvPr id="3" name="グラフ 7"/>
        <xdr:cNvGraphicFramePr/>
      </xdr:nvGraphicFramePr>
      <xdr:xfrm>
        <a:off x="28575" y="71894700"/>
        <a:ext cx="2800350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228600</xdr:colOff>
      <xdr:row>314</xdr:row>
      <xdr:rowOff>161925</xdr:rowOff>
    </xdr:from>
    <xdr:to>
      <xdr:col>8</xdr:col>
      <xdr:colOff>638175</xdr:colOff>
      <xdr:row>325</xdr:row>
      <xdr:rowOff>190500</xdr:rowOff>
    </xdr:to>
    <xdr:graphicFrame>
      <xdr:nvGraphicFramePr>
        <xdr:cNvPr id="4" name="グラフ 8"/>
        <xdr:cNvGraphicFramePr/>
      </xdr:nvGraphicFramePr>
      <xdr:xfrm>
        <a:off x="3086100" y="71942325"/>
        <a:ext cx="326707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285750</xdr:colOff>
      <xdr:row>92</xdr:row>
      <xdr:rowOff>114300</xdr:rowOff>
    </xdr:from>
    <xdr:to>
      <xdr:col>2</xdr:col>
      <xdr:colOff>485775</xdr:colOff>
      <xdr:row>92</xdr:row>
      <xdr:rowOff>114300</xdr:rowOff>
    </xdr:to>
    <xdr:sp>
      <xdr:nvSpPr>
        <xdr:cNvPr id="5" name="Line 9"/>
        <xdr:cNvSpPr>
          <a:spLocks/>
        </xdr:cNvSpPr>
      </xdr:nvSpPr>
      <xdr:spPr>
        <a:xfrm>
          <a:off x="1714500" y="21145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266700</xdr:colOff>
      <xdr:row>92</xdr:row>
      <xdr:rowOff>123825</xdr:rowOff>
    </xdr:from>
    <xdr:to>
      <xdr:col>3</xdr:col>
      <xdr:colOff>457200</xdr:colOff>
      <xdr:row>92</xdr:row>
      <xdr:rowOff>123825</xdr:rowOff>
    </xdr:to>
    <xdr:sp>
      <xdr:nvSpPr>
        <xdr:cNvPr id="6" name="Line 10"/>
        <xdr:cNvSpPr>
          <a:spLocks/>
        </xdr:cNvSpPr>
      </xdr:nvSpPr>
      <xdr:spPr>
        <a:xfrm>
          <a:off x="2409825" y="21155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200025</xdr:colOff>
      <xdr:row>92</xdr:row>
      <xdr:rowOff>123825</xdr:rowOff>
    </xdr:from>
    <xdr:to>
      <xdr:col>5</xdr:col>
      <xdr:colOff>390525</xdr:colOff>
      <xdr:row>92</xdr:row>
      <xdr:rowOff>123825</xdr:rowOff>
    </xdr:to>
    <xdr:sp>
      <xdr:nvSpPr>
        <xdr:cNvPr id="7" name="Line 11"/>
        <xdr:cNvSpPr>
          <a:spLocks/>
        </xdr:cNvSpPr>
      </xdr:nvSpPr>
      <xdr:spPr>
        <a:xfrm>
          <a:off x="3771900" y="21155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2</xdr:col>
      <xdr:colOff>666750</xdr:colOff>
      <xdr:row>99</xdr:row>
      <xdr:rowOff>161925</xdr:rowOff>
    </xdr:from>
    <xdr:to>
      <xdr:col>4</xdr:col>
      <xdr:colOff>571500</xdr:colOff>
      <xdr:row>101</xdr:row>
      <xdr:rowOff>133350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0" y="22793325"/>
          <a:ext cx="1333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4</xdr:col>
      <xdr:colOff>142875</xdr:colOff>
      <xdr:row>103</xdr:row>
      <xdr:rowOff>0</xdr:rowOff>
    </xdr:to>
    <xdr:pic>
      <xdr:nvPicPr>
        <xdr:cNvPr id="9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43125" y="23317200"/>
          <a:ext cx="857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103</xdr:row>
      <xdr:rowOff>9525</xdr:rowOff>
    </xdr:from>
    <xdr:to>
      <xdr:col>4</xdr:col>
      <xdr:colOff>647700</xdr:colOff>
      <xdr:row>104</xdr:row>
      <xdr:rowOff>9525</xdr:rowOff>
    </xdr:to>
    <xdr:pic>
      <xdr:nvPicPr>
        <xdr:cNvPr id="10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19325" y="23555325"/>
          <a:ext cx="1285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104</xdr:row>
      <xdr:rowOff>142875</xdr:rowOff>
    </xdr:from>
    <xdr:to>
      <xdr:col>4</xdr:col>
      <xdr:colOff>704850</xdr:colOff>
      <xdr:row>106</xdr:row>
      <xdr:rowOff>142875</xdr:rowOff>
    </xdr:to>
    <xdr:pic>
      <xdr:nvPicPr>
        <xdr:cNvPr id="11" name="Picture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24050" y="23917275"/>
          <a:ext cx="163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106</xdr:row>
      <xdr:rowOff>190500</xdr:rowOff>
    </xdr:from>
    <xdr:to>
      <xdr:col>5</xdr:col>
      <xdr:colOff>38100</xdr:colOff>
      <xdr:row>108</xdr:row>
      <xdr:rowOff>190500</xdr:rowOff>
    </xdr:to>
    <xdr:pic>
      <xdr:nvPicPr>
        <xdr:cNvPr id="12" name="Picture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66950" y="24422100"/>
          <a:ext cx="1343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131</xdr:row>
      <xdr:rowOff>200025</xdr:rowOff>
    </xdr:from>
    <xdr:to>
      <xdr:col>6</xdr:col>
      <xdr:colOff>495300</xdr:colOff>
      <xdr:row>133</xdr:row>
      <xdr:rowOff>85725</xdr:rowOff>
    </xdr:to>
    <xdr:pic>
      <xdr:nvPicPr>
        <xdr:cNvPr id="13" name="Picture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24175" y="30146625"/>
          <a:ext cx="1857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133</xdr:row>
      <xdr:rowOff>152400</xdr:rowOff>
    </xdr:from>
    <xdr:to>
      <xdr:col>5</xdr:col>
      <xdr:colOff>180975</xdr:colOff>
      <xdr:row>135</xdr:row>
      <xdr:rowOff>114300</xdr:rowOff>
    </xdr:to>
    <xdr:pic>
      <xdr:nvPicPr>
        <xdr:cNvPr id="14" name="Picture 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90850" y="30556200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136</xdr:row>
      <xdr:rowOff>200025</xdr:rowOff>
    </xdr:from>
    <xdr:to>
      <xdr:col>6</xdr:col>
      <xdr:colOff>609600</xdr:colOff>
      <xdr:row>138</xdr:row>
      <xdr:rowOff>66675</xdr:rowOff>
    </xdr:to>
    <xdr:pic>
      <xdr:nvPicPr>
        <xdr:cNvPr id="15" name="Picture 2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81325" y="31289625"/>
          <a:ext cx="1914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149</xdr:row>
      <xdr:rowOff>152400</xdr:rowOff>
    </xdr:from>
    <xdr:to>
      <xdr:col>4</xdr:col>
      <xdr:colOff>514350</xdr:colOff>
      <xdr:row>151</xdr:row>
      <xdr:rowOff>171450</xdr:rowOff>
    </xdr:to>
    <xdr:pic>
      <xdr:nvPicPr>
        <xdr:cNvPr id="16" name="Picture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43075" y="34213800"/>
          <a:ext cx="1628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151</xdr:row>
      <xdr:rowOff>152400</xdr:rowOff>
    </xdr:from>
    <xdr:to>
      <xdr:col>3</xdr:col>
      <xdr:colOff>352425</xdr:colOff>
      <xdr:row>153</xdr:row>
      <xdr:rowOff>152400</xdr:rowOff>
    </xdr:to>
    <xdr:pic>
      <xdr:nvPicPr>
        <xdr:cNvPr id="17" name="Picture 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85925" y="34671000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153</xdr:row>
      <xdr:rowOff>161925</xdr:rowOff>
    </xdr:from>
    <xdr:to>
      <xdr:col>4</xdr:col>
      <xdr:colOff>533400</xdr:colOff>
      <xdr:row>155</xdr:row>
      <xdr:rowOff>180975</xdr:rowOff>
    </xdr:to>
    <xdr:pic>
      <xdr:nvPicPr>
        <xdr:cNvPr id="18" name="Picture 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0" y="35137725"/>
          <a:ext cx="1581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158</xdr:row>
      <xdr:rowOff>133350</xdr:rowOff>
    </xdr:from>
    <xdr:to>
      <xdr:col>7</xdr:col>
      <xdr:colOff>666750</xdr:colOff>
      <xdr:row>160</xdr:row>
      <xdr:rowOff>133350</xdr:rowOff>
    </xdr:to>
    <xdr:pic>
      <xdr:nvPicPr>
        <xdr:cNvPr id="19" name="Picture 3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24350" y="36252150"/>
          <a:ext cx="1343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7</xdr:col>
      <xdr:colOff>457200</xdr:colOff>
      <xdr:row>162</xdr:row>
      <xdr:rowOff>47625</xdr:rowOff>
    </xdr:to>
    <xdr:pic>
      <xdr:nvPicPr>
        <xdr:cNvPr id="20" name="Picture 3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86250" y="36804600"/>
          <a:ext cx="1171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179</xdr:row>
      <xdr:rowOff>104775</xdr:rowOff>
    </xdr:from>
    <xdr:to>
      <xdr:col>5</xdr:col>
      <xdr:colOff>38100</xdr:colOff>
      <xdr:row>181</xdr:row>
      <xdr:rowOff>114300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133600" y="41024175"/>
          <a:ext cx="1476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181</xdr:row>
      <xdr:rowOff>142875</xdr:rowOff>
    </xdr:from>
    <xdr:to>
      <xdr:col>5</xdr:col>
      <xdr:colOff>47625</xdr:colOff>
      <xdr:row>183</xdr:row>
      <xdr:rowOff>152400</xdr:rowOff>
    </xdr:to>
    <xdr:pic>
      <xdr:nvPicPr>
        <xdr:cNvPr id="22" name="Picture 4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133600" y="41519475"/>
          <a:ext cx="1485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184</xdr:row>
      <xdr:rowOff>0</xdr:rowOff>
    </xdr:from>
    <xdr:to>
      <xdr:col>5</xdr:col>
      <xdr:colOff>400050</xdr:colOff>
      <xdr:row>185</xdr:row>
      <xdr:rowOff>28575</xdr:rowOff>
    </xdr:to>
    <xdr:pic>
      <xdr:nvPicPr>
        <xdr:cNvPr id="23" name="Picture 4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067050" y="42062400"/>
          <a:ext cx="904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216</xdr:row>
      <xdr:rowOff>142875</xdr:rowOff>
    </xdr:from>
    <xdr:to>
      <xdr:col>5</xdr:col>
      <xdr:colOff>504825</xdr:colOff>
      <xdr:row>218</xdr:row>
      <xdr:rowOff>142875</xdr:rowOff>
    </xdr:to>
    <xdr:pic>
      <xdr:nvPicPr>
        <xdr:cNvPr id="24" name="Picture 4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400300" y="49520475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218</xdr:row>
      <xdr:rowOff>123825</xdr:rowOff>
    </xdr:from>
    <xdr:to>
      <xdr:col>4</xdr:col>
      <xdr:colOff>238125</xdr:colOff>
      <xdr:row>220</xdr:row>
      <xdr:rowOff>133350</xdr:rowOff>
    </xdr:to>
    <xdr:pic>
      <xdr:nvPicPr>
        <xdr:cNvPr id="25" name="Picture 4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295525" y="499586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228</xdr:row>
      <xdr:rowOff>95250</xdr:rowOff>
    </xdr:from>
    <xdr:to>
      <xdr:col>4</xdr:col>
      <xdr:colOff>152400</xdr:colOff>
      <xdr:row>230</xdr:row>
      <xdr:rowOff>95250</xdr:rowOff>
    </xdr:to>
    <xdr:pic>
      <xdr:nvPicPr>
        <xdr:cNvPr id="26" name="Picture 4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66925" y="52216050"/>
          <a:ext cx="942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704850</xdr:colOff>
      <xdr:row>234</xdr:row>
      <xdr:rowOff>114300</xdr:rowOff>
    </xdr:from>
    <xdr:to>
      <xdr:col>6</xdr:col>
      <xdr:colOff>428625</xdr:colOff>
      <xdr:row>236</xdr:row>
      <xdr:rowOff>133350</xdr:rowOff>
    </xdr:to>
    <xdr:pic>
      <xdr:nvPicPr>
        <xdr:cNvPr id="27" name="Picture 4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47975" y="53606700"/>
          <a:ext cx="1866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236</xdr:row>
      <xdr:rowOff>123825</xdr:rowOff>
    </xdr:from>
    <xdr:to>
      <xdr:col>4</xdr:col>
      <xdr:colOff>28575</xdr:colOff>
      <xdr:row>238</xdr:row>
      <xdr:rowOff>123825</xdr:rowOff>
    </xdr:to>
    <xdr:pic>
      <xdr:nvPicPr>
        <xdr:cNvPr id="28" name="Picture 4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076450" y="54073425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243</xdr:row>
      <xdr:rowOff>133350</xdr:rowOff>
    </xdr:from>
    <xdr:to>
      <xdr:col>3</xdr:col>
      <xdr:colOff>552450</xdr:colOff>
      <xdr:row>245</xdr:row>
      <xdr:rowOff>133350</xdr:rowOff>
    </xdr:to>
    <xdr:pic>
      <xdr:nvPicPr>
        <xdr:cNvPr id="29" name="Picture 4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704975" y="55683150"/>
          <a:ext cx="990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248</xdr:row>
      <xdr:rowOff>161925</xdr:rowOff>
    </xdr:from>
    <xdr:to>
      <xdr:col>8</xdr:col>
      <xdr:colOff>561975</xdr:colOff>
      <xdr:row>253</xdr:row>
      <xdr:rowOff>133350</xdr:rowOff>
    </xdr:to>
    <xdr:pic>
      <xdr:nvPicPr>
        <xdr:cNvPr id="30" name="Picture 4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266825" y="56854725"/>
          <a:ext cx="5010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271</xdr:row>
      <xdr:rowOff>104775</xdr:rowOff>
    </xdr:from>
    <xdr:to>
      <xdr:col>5</xdr:col>
      <xdr:colOff>666750</xdr:colOff>
      <xdr:row>276</xdr:row>
      <xdr:rowOff>85725</xdr:rowOff>
    </xdr:to>
    <xdr:pic>
      <xdr:nvPicPr>
        <xdr:cNvPr id="31" name="Picture 5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638300" y="62055375"/>
          <a:ext cx="2600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294</xdr:row>
      <xdr:rowOff>57150</xdr:rowOff>
    </xdr:from>
    <xdr:to>
      <xdr:col>6</xdr:col>
      <xdr:colOff>638175</xdr:colOff>
      <xdr:row>299</xdr:row>
      <xdr:rowOff>190500</xdr:rowOff>
    </xdr:to>
    <xdr:pic>
      <xdr:nvPicPr>
        <xdr:cNvPr id="32" name="Picture 5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609725" y="67265550"/>
          <a:ext cx="33147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362</xdr:row>
      <xdr:rowOff>142875</xdr:rowOff>
    </xdr:from>
    <xdr:to>
      <xdr:col>3</xdr:col>
      <xdr:colOff>361950</xdr:colOff>
      <xdr:row>364</xdr:row>
      <xdr:rowOff>114300</xdr:rowOff>
    </xdr:to>
    <xdr:pic>
      <xdr:nvPicPr>
        <xdr:cNvPr id="33" name="Picture 5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609725" y="82896075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1</xdr:row>
      <xdr:rowOff>200025</xdr:rowOff>
    </xdr:from>
    <xdr:to>
      <xdr:col>10</xdr:col>
      <xdr:colOff>647700</xdr:colOff>
      <xdr:row>14</xdr:row>
      <xdr:rowOff>28575</xdr:rowOff>
    </xdr:to>
    <xdr:pic>
      <xdr:nvPicPr>
        <xdr:cNvPr id="34" name="Picture 7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248150" y="428625"/>
          <a:ext cx="354330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341</xdr:row>
      <xdr:rowOff>161925</xdr:rowOff>
    </xdr:from>
    <xdr:to>
      <xdr:col>2</xdr:col>
      <xdr:colOff>190500</xdr:colOff>
      <xdr:row>343</xdr:row>
      <xdr:rowOff>85725</xdr:rowOff>
    </xdr:to>
    <xdr:pic>
      <xdr:nvPicPr>
        <xdr:cNvPr id="35" name="Picture 20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19150" y="78114525"/>
          <a:ext cx="800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341</xdr:row>
      <xdr:rowOff>171450</xdr:rowOff>
    </xdr:from>
    <xdr:to>
      <xdr:col>3</xdr:col>
      <xdr:colOff>666750</xdr:colOff>
      <xdr:row>343</xdr:row>
      <xdr:rowOff>95250</xdr:rowOff>
    </xdr:to>
    <xdr:pic>
      <xdr:nvPicPr>
        <xdr:cNvPr id="36" name="Picture 20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066925" y="78124050"/>
          <a:ext cx="742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341</xdr:row>
      <xdr:rowOff>171450</xdr:rowOff>
    </xdr:from>
    <xdr:to>
      <xdr:col>6</xdr:col>
      <xdr:colOff>676275</xdr:colOff>
      <xdr:row>343</xdr:row>
      <xdr:rowOff>95250</xdr:rowOff>
    </xdr:to>
    <xdr:pic>
      <xdr:nvPicPr>
        <xdr:cNvPr id="37" name="Picture 21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10050" y="78124050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344</xdr:row>
      <xdr:rowOff>95250</xdr:rowOff>
    </xdr:from>
    <xdr:to>
      <xdr:col>5</xdr:col>
      <xdr:colOff>85725</xdr:colOff>
      <xdr:row>346</xdr:row>
      <xdr:rowOff>114300</xdr:rowOff>
    </xdr:to>
    <xdr:pic>
      <xdr:nvPicPr>
        <xdr:cNvPr id="38" name="Picture 21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42950" y="78733650"/>
          <a:ext cx="2914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347</xdr:row>
      <xdr:rowOff>19050</xdr:rowOff>
    </xdr:from>
    <xdr:to>
      <xdr:col>2</xdr:col>
      <xdr:colOff>76200</xdr:colOff>
      <xdr:row>347</xdr:row>
      <xdr:rowOff>228600</xdr:rowOff>
    </xdr:to>
    <xdr:pic>
      <xdr:nvPicPr>
        <xdr:cNvPr id="39" name="Picture 21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819150" y="79343250"/>
          <a:ext cx="685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350</xdr:row>
      <xdr:rowOff>95250</xdr:rowOff>
    </xdr:from>
    <xdr:to>
      <xdr:col>5</xdr:col>
      <xdr:colOff>9525</xdr:colOff>
      <xdr:row>353</xdr:row>
      <xdr:rowOff>9525</xdr:rowOff>
    </xdr:to>
    <xdr:pic>
      <xdr:nvPicPr>
        <xdr:cNvPr id="40" name="Picture 21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90625" y="80105250"/>
          <a:ext cx="2390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357</xdr:row>
      <xdr:rowOff>171450</xdr:rowOff>
    </xdr:from>
    <xdr:to>
      <xdr:col>3</xdr:col>
      <xdr:colOff>476250</xdr:colOff>
      <xdr:row>359</xdr:row>
      <xdr:rowOff>95250</xdr:rowOff>
    </xdr:to>
    <xdr:pic>
      <xdr:nvPicPr>
        <xdr:cNvPr id="41" name="Picture 21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466850" y="81781650"/>
          <a:ext cx="1152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397</xdr:row>
      <xdr:rowOff>142875</xdr:rowOff>
    </xdr:from>
    <xdr:to>
      <xdr:col>3</xdr:col>
      <xdr:colOff>361950</xdr:colOff>
      <xdr:row>399</xdr:row>
      <xdr:rowOff>114300</xdr:rowOff>
    </xdr:to>
    <xdr:pic>
      <xdr:nvPicPr>
        <xdr:cNvPr id="42" name="Picture 21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609725" y="90897075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376</xdr:row>
      <xdr:rowOff>161925</xdr:rowOff>
    </xdr:from>
    <xdr:to>
      <xdr:col>2</xdr:col>
      <xdr:colOff>190500</xdr:colOff>
      <xdr:row>378</xdr:row>
      <xdr:rowOff>85725</xdr:rowOff>
    </xdr:to>
    <xdr:pic>
      <xdr:nvPicPr>
        <xdr:cNvPr id="43" name="Picture 21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19150" y="86115525"/>
          <a:ext cx="800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376</xdr:row>
      <xdr:rowOff>171450</xdr:rowOff>
    </xdr:from>
    <xdr:to>
      <xdr:col>3</xdr:col>
      <xdr:colOff>666750</xdr:colOff>
      <xdr:row>378</xdr:row>
      <xdr:rowOff>95250</xdr:rowOff>
    </xdr:to>
    <xdr:pic>
      <xdr:nvPicPr>
        <xdr:cNvPr id="44" name="Picture 21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066925" y="86125050"/>
          <a:ext cx="742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376</xdr:row>
      <xdr:rowOff>171450</xdr:rowOff>
    </xdr:from>
    <xdr:to>
      <xdr:col>6</xdr:col>
      <xdr:colOff>676275</xdr:colOff>
      <xdr:row>378</xdr:row>
      <xdr:rowOff>95250</xdr:rowOff>
    </xdr:to>
    <xdr:pic>
      <xdr:nvPicPr>
        <xdr:cNvPr id="45" name="Picture 21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10050" y="86125050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379</xdr:row>
      <xdr:rowOff>95250</xdr:rowOff>
    </xdr:from>
    <xdr:to>
      <xdr:col>5</xdr:col>
      <xdr:colOff>85725</xdr:colOff>
      <xdr:row>381</xdr:row>
      <xdr:rowOff>114300</xdr:rowOff>
    </xdr:to>
    <xdr:pic>
      <xdr:nvPicPr>
        <xdr:cNvPr id="46" name="Picture 22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42950" y="86734650"/>
          <a:ext cx="2914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382</xdr:row>
      <xdr:rowOff>19050</xdr:rowOff>
    </xdr:from>
    <xdr:to>
      <xdr:col>2</xdr:col>
      <xdr:colOff>76200</xdr:colOff>
      <xdr:row>382</xdr:row>
      <xdr:rowOff>228600</xdr:rowOff>
    </xdr:to>
    <xdr:pic>
      <xdr:nvPicPr>
        <xdr:cNvPr id="47" name="Picture 22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819150" y="87344250"/>
          <a:ext cx="685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385</xdr:row>
      <xdr:rowOff>95250</xdr:rowOff>
    </xdr:from>
    <xdr:to>
      <xdr:col>5</xdr:col>
      <xdr:colOff>9525</xdr:colOff>
      <xdr:row>388</xdr:row>
      <xdr:rowOff>9525</xdr:rowOff>
    </xdr:to>
    <xdr:pic>
      <xdr:nvPicPr>
        <xdr:cNvPr id="48" name="Picture 22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90625" y="88106250"/>
          <a:ext cx="2390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392</xdr:row>
      <xdr:rowOff>171450</xdr:rowOff>
    </xdr:from>
    <xdr:to>
      <xdr:col>3</xdr:col>
      <xdr:colOff>476250</xdr:colOff>
      <xdr:row>394</xdr:row>
      <xdr:rowOff>95250</xdr:rowOff>
    </xdr:to>
    <xdr:pic>
      <xdr:nvPicPr>
        <xdr:cNvPr id="49" name="Picture 22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466850" y="89782650"/>
          <a:ext cx="1152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432</xdr:row>
      <xdr:rowOff>142875</xdr:rowOff>
    </xdr:from>
    <xdr:to>
      <xdr:col>3</xdr:col>
      <xdr:colOff>361950</xdr:colOff>
      <xdr:row>434</xdr:row>
      <xdr:rowOff>114300</xdr:rowOff>
    </xdr:to>
    <xdr:pic>
      <xdr:nvPicPr>
        <xdr:cNvPr id="50" name="Picture 22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609725" y="98898075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411</xdr:row>
      <xdr:rowOff>161925</xdr:rowOff>
    </xdr:from>
    <xdr:to>
      <xdr:col>2</xdr:col>
      <xdr:colOff>190500</xdr:colOff>
      <xdr:row>413</xdr:row>
      <xdr:rowOff>85725</xdr:rowOff>
    </xdr:to>
    <xdr:pic>
      <xdr:nvPicPr>
        <xdr:cNvPr id="51" name="Picture 22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19150" y="94116525"/>
          <a:ext cx="800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411</xdr:row>
      <xdr:rowOff>171450</xdr:rowOff>
    </xdr:from>
    <xdr:to>
      <xdr:col>3</xdr:col>
      <xdr:colOff>666750</xdr:colOff>
      <xdr:row>413</xdr:row>
      <xdr:rowOff>95250</xdr:rowOff>
    </xdr:to>
    <xdr:pic>
      <xdr:nvPicPr>
        <xdr:cNvPr id="52" name="Picture 22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066925" y="94126050"/>
          <a:ext cx="742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411</xdr:row>
      <xdr:rowOff>171450</xdr:rowOff>
    </xdr:from>
    <xdr:to>
      <xdr:col>6</xdr:col>
      <xdr:colOff>676275</xdr:colOff>
      <xdr:row>413</xdr:row>
      <xdr:rowOff>95250</xdr:rowOff>
    </xdr:to>
    <xdr:pic>
      <xdr:nvPicPr>
        <xdr:cNvPr id="53" name="Picture 22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10050" y="94126050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414</xdr:row>
      <xdr:rowOff>95250</xdr:rowOff>
    </xdr:from>
    <xdr:to>
      <xdr:col>5</xdr:col>
      <xdr:colOff>85725</xdr:colOff>
      <xdr:row>416</xdr:row>
      <xdr:rowOff>114300</xdr:rowOff>
    </xdr:to>
    <xdr:pic>
      <xdr:nvPicPr>
        <xdr:cNvPr id="54" name="Picture 22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42950" y="94735650"/>
          <a:ext cx="2914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417</xdr:row>
      <xdr:rowOff>19050</xdr:rowOff>
    </xdr:from>
    <xdr:to>
      <xdr:col>2</xdr:col>
      <xdr:colOff>76200</xdr:colOff>
      <xdr:row>417</xdr:row>
      <xdr:rowOff>228600</xdr:rowOff>
    </xdr:to>
    <xdr:pic>
      <xdr:nvPicPr>
        <xdr:cNvPr id="55" name="Picture 22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819150" y="95345250"/>
          <a:ext cx="685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420</xdr:row>
      <xdr:rowOff>95250</xdr:rowOff>
    </xdr:from>
    <xdr:to>
      <xdr:col>5</xdr:col>
      <xdr:colOff>9525</xdr:colOff>
      <xdr:row>423</xdr:row>
      <xdr:rowOff>9525</xdr:rowOff>
    </xdr:to>
    <xdr:pic>
      <xdr:nvPicPr>
        <xdr:cNvPr id="56" name="Picture 23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90625" y="96107250"/>
          <a:ext cx="2390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427</xdr:row>
      <xdr:rowOff>171450</xdr:rowOff>
    </xdr:from>
    <xdr:to>
      <xdr:col>3</xdr:col>
      <xdr:colOff>476250</xdr:colOff>
      <xdr:row>429</xdr:row>
      <xdr:rowOff>95250</xdr:rowOff>
    </xdr:to>
    <xdr:pic>
      <xdr:nvPicPr>
        <xdr:cNvPr id="57" name="Picture 23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466850" y="97783650"/>
          <a:ext cx="1152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446</xdr:row>
      <xdr:rowOff>161925</xdr:rowOff>
    </xdr:from>
    <xdr:to>
      <xdr:col>2</xdr:col>
      <xdr:colOff>190500</xdr:colOff>
      <xdr:row>448</xdr:row>
      <xdr:rowOff>85725</xdr:rowOff>
    </xdr:to>
    <xdr:pic>
      <xdr:nvPicPr>
        <xdr:cNvPr id="58" name="Picture 2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19150" y="102117525"/>
          <a:ext cx="800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446</xdr:row>
      <xdr:rowOff>171450</xdr:rowOff>
    </xdr:from>
    <xdr:to>
      <xdr:col>3</xdr:col>
      <xdr:colOff>666750</xdr:colOff>
      <xdr:row>448</xdr:row>
      <xdr:rowOff>95250</xdr:rowOff>
    </xdr:to>
    <xdr:pic>
      <xdr:nvPicPr>
        <xdr:cNvPr id="59" name="Picture 2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066925" y="102127050"/>
          <a:ext cx="742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446</xdr:row>
      <xdr:rowOff>171450</xdr:rowOff>
    </xdr:from>
    <xdr:to>
      <xdr:col>6</xdr:col>
      <xdr:colOff>676275</xdr:colOff>
      <xdr:row>448</xdr:row>
      <xdr:rowOff>95250</xdr:rowOff>
    </xdr:to>
    <xdr:pic>
      <xdr:nvPicPr>
        <xdr:cNvPr id="60" name="Picture 2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10050" y="102127050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449</xdr:row>
      <xdr:rowOff>95250</xdr:rowOff>
    </xdr:from>
    <xdr:to>
      <xdr:col>5</xdr:col>
      <xdr:colOff>85725</xdr:colOff>
      <xdr:row>451</xdr:row>
      <xdr:rowOff>114300</xdr:rowOff>
    </xdr:to>
    <xdr:pic>
      <xdr:nvPicPr>
        <xdr:cNvPr id="61" name="Picture 23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42950" y="102736650"/>
          <a:ext cx="2914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452</xdr:row>
      <xdr:rowOff>19050</xdr:rowOff>
    </xdr:from>
    <xdr:to>
      <xdr:col>2</xdr:col>
      <xdr:colOff>76200</xdr:colOff>
      <xdr:row>452</xdr:row>
      <xdr:rowOff>228600</xdr:rowOff>
    </xdr:to>
    <xdr:pic>
      <xdr:nvPicPr>
        <xdr:cNvPr id="62" name="Picture 23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819150" y="103346250"/>
          <a:ext cx="685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455</xdr:row>
      <xdr:rowOff>95250</xdr:rowOff>
    </xdr:from>
    <xdr:to>
      <xdr:col>5</xdr:col>
      <xdr:colOff>9525</xdr:colOff>
      <xdr:row>458</xdr:row>
      <xdr:rowOff>9525</xdr:rowOff>
    </xdr:to>
    <xdr:pic>
      <xdr:nvPicPr>
        <xdr:cNvPr id="63" name="Picture 23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90625" y="104108250"/>
          <a:ext cx="2390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462</xdr:row>
      <xdr:rowOff>171450</xdr:rowOff>
    </xdr:from>
    <xdr:to>
      <xdr:col>3</xdr:col>
      <xdr:colOff>476250</xdr:colOff>
      <xdr:row>464</xdr:row>
      <xdr:rowOff>95250</xdr:rowOff>
    </xdr:to>
    <xdr:pic>
      <xdr:nvPicPr>
        <xdr:cNvPr id="64" name="Picture 23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466850" y="105784650"/>
          <a:ext cx="1152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163</xdr:row>
      <xdr:rowOff>0</xdr:rowOff>
    </xdr:from>
    <xdr:to>
      <xdr:col>7</xdr:col>
      <xdr:colOff>704850</xdr:colOff>
      <xdr:row>164</xdr:row>
      <xdr:rowOff>66675</xdr:rowOff>
    </xdr:to>
    <xdr:pic>
      <xdr:nvPicPr>
        <xdr:cNvPr id="65" name="Picture 24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248150" y="37261800"/>
          <a:ext cx="1457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117</xdr:row>
      <xdr:rowOff>200025</xdr:rowOff>
    </xdr:from>
    <xdr:to>
      <xdr:col>8</xdr:col>
      <xdr:colOff>228600</xdr:colOff>
      <xdr:row>129</xdr:row>
      <xdr:rowOff>219075</xdr:rowOff>
    </xdr:to>
    <xdr:pic>
      <xdr:nvPicPr>
        <xdr:cNvPr id="66" name="Picture 24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476375" y="26946225"/>
          <a:ext cx="446722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78</xdr:row>
      <xdr:rowOff>38100</xdr:rowOff>
    </xdr:from>
    <xdr:to>
      <xdr:col>8</xdr:col>
      <xdr:colOff>209550</xdr:colOff>
      <xdr:row>86</xdr:row>
      <xdr:rowOff>66675</xdr:rowOff>
    </xdr:to>
    <xdr:pic>
      <xdr:nvPicPr>
        <xdr:cNvPr id="67" name="Picture 24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57550" y="17868900"/>
          <a:ext cx="26670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140</xdr:row>
      <xdr:rowOff>142875</xdr:rowOff>
    </xdr:from>
    <xdr:to>
      <xdr:col>3</xdr:col>
      <xdr:colOff>409575</xdr:colOff>
      <xdr:row>142</xdr:row>
      <xdr:rowOff>114300</xdr:rowOff>
    </xdr:to>
    <xdr:pic>
      <xdr:nvPicPr>
        <xdr:cNvPr id="68" name="Picture 24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247775" y="32146875"/>
          <a:ext cx="1304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142</xdr:row>
      <xdr:rowOff>133350</xdr:rowOff>
    </xdr:from>
    <xdr:to>
      <xdr:col>3</xdr:col>
      <xdr:colOff>381000</xdr:colOff>
      <xdr:row>144</xdr:row>
      <xdr:rowOff>95250</xdr:rowOff>
    </xdr:to>
    <xdr:pic>
      <xdr:nvPicPr>
        <xdr:cNvPr id="69" name="Picture 24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562100" y="32594550"/>
          <a:ext cx="962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144</xdr:row>
      <xdr:rowOff>161925</xdr:rowOff>
    </xdr:from>
    <xdr:to>
      <xdr:col>3</xdr:col>
      <xdr:colOff>495300</xdr:colOff>
      <xdr:row>146</xdr:row>
      <xdr:rowOff>133350</xdr:rowOff>
    </xdr:to>
    <xdr:pic>
      <xdr:nvPicPr>
        <xdr:cNvPr id="70" name="Picture 24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057275" y="33080325"/>
          <a:ext cx="1581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4</xdr:col>
      <xdr:colOff>85725</xdr:colOff>
      <xdr:row>113</xdr:row>
      <xdr:rowOff>19050</xdr:rowOff>
    </xdr:to>
    <xdr:pic>
      <xdr:nvPicPr>
        <xdr:cNvPr id="71" name="Picture 24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428750" y="25603200"/>
          <a:ext cx="1514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43</xdr:row>
      <xdr:rowOff>28575</xdr:rowOff>
    </xdr:from>
    <xdr:to>
      <xdr:col>9</xdr:col>
      <xdr:colOff>0</xdr:colOff>
      <xdr:row>52</xdr:row>
      <xdr:rowOff>38100</xdr:rowOff>
    </xdr:to>
    <xdr:pic>
      <xdr:nvPicPr>
        <xdr:cNvPr id="72" name="Picture 248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000500" y="9858375"/>
          <a:ext cx="24288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Excel&#25793;&#22721;\My%20Documents\&#25793;&#22721;&#35373;&#35336;\&#36870;&#65332;&#25793;&#22721;\&#36870;&#65332;&#25793;&#227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計条件"/>
    </sheetNames>
    <sheetDataSet>
      <sheetData sheetId="0">
        <row r="6">
          <cell r="C6">
            <v>0.5821607284005279</v>
          </cell>
        </row>
        <row r="8">
          <cell r="C8">
            <v>0.8423746679929223</v>
          </cell>
        </row>
        <row r="38">
          <cell r="D38">
            <v>16</v>
          </cell>
          <cell r="E38">
            <v>125</v>
          </cell>
          <cell r="F38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K56"/>
  <sheetViews>
    <sheetView showGridLines="0" showRowColHeaders="0" tabSelected="1" zoomScalePageLayoutView="0" workbookViewId="0" topLeftCell="A28">
      <selection activeCell="G49" sqref="G49"/>
    </sheetView>
  </sheetViews>
  <sheetFormatPr defaultColWidth="9.00390625" defaultRowHeight="12.75"/>
  <cols>
    <col min="1" max="16384" width="8.875" style="78" customWidth="1"/>
  </cols>
  <sheetData>
    <row r="2" spans="1:6" ht="15">
      <c r="A2" s="71" t="s">
        <v>162</v>
      </c>
      <c r="B2" s="72"/>
      <c r="C2" s="72"/>
      <c r="D2" s="72"/>
      <c r="E2" s="72"/>
      <c r="F2" s="72"/>
    </row>
    <row r="3" spans="1:6" ht="15">
      <c r="A3" s="71" t="s">
        <v>3</v>
      </c>
      <c r="B3" s="72"/>
      <c r="C3" s="72"/>
      <c r="D3" s="72"/>
      <c r="E3" s="72"/>
      <c r="F3" s="72"/>
    </row>
    <row r="4" spans="1:6" ht="16.5">
      <c r="A4" s="72"/>
      <c r="B4" s="71" t="s">
        <v>8</v>
      </c>
      <c r="C4" s="71" t="s">
        <v>9</v>
      </c>
      <c r="D4" s="75" t="s">
        <v>287</v>
      </c>
      <c r="E4" s="86">
        <v>4.13</v>
      </c>
      <c r="F4" s="72" t="s">
        <v>10</v>
      </c>
    </row>
    <row r="5" spans="1:6" ht="16.5">
      <c r="A5" s="72"/>
      <c r="B5" s="72"/>
      <c r="C5" s="71" t="s">
        <v>11</v>
      </c>
      <c r="D5" s="75" t="s">
        <v>281</v>
      </c>
      <c r="E5" s="86">
        <v>0.4</v>
      </c>
      <c r="F5" s="72" t="s">
        <v>10</v>
      </c>
    </row>
    <row r="6" spans="1:6" ht="16.5">
      <c r="A6" s="72"/>
      <c r="B6" s="71" t="s">
        <v>12</v>
      </c>
      <c r="C6" s="71" t="s">
        <v>9</v>
      </c>
      <c r="D6" s="75" t="s">
        <v>275</v>
      </c>
      <c r="E6" s="86">
        <v>5.45</v>
      </c>
      <c r="F6" s="72" t="s">
        <v>10</v>
      </c>
    </row>
    <row r="7" spans="1:6" ht="16.5">
      <c r="A7" s="72"/>
      <c r="B7" s="72"/>
      <c r="C7" s="71" t="s">
        <v>11</v>
      </c>
      <c r="D7" s="75" t="s">
        <v>290</v>
      </c>
      <c r="E7" s="86">
        <v>0.4</v>
      </c>
      <c r="F7" s="72" t="s">
        <v>10</v>
      </c>
    </row>
    <row r="8" spans="1:6" ht="15">
      <c r="A8" s="72"/>
      <c r="B8" s="71" t="s">
        <v>13</v>
      </c>
      <c r="C8" s="71" t="s">
        <v>14</v>
      </c>
      <c r="D8" s="75" t="s">
        <v>15</v>
      </c>
      <c r="E8" s="86">
        <v>5</v>
      </c>
      <c r="F8" s="72" t="s">
        <v>10</v>
      </c>
    </row>
    <row r="9" spans="1:6" ht="16.5">
      <c r="A9" s="72"/>
      <c r="B9" s="72"/>
      <c r="C9" s="71" t="s">
        <v>16</v>
      </c>
      <c r="D9" s="75" t="s">
        <v>291</v>
      </c>
      <c r="E9" s="86">
        <v>0.4</v>
      </c>
      <c r="F9" s="72" t="s">
        <v>10</v>
      </c>
    </row>
    <row r="10" spans="1:6" ht="15">
      <c r="A10" s="72"/>
      <c r="B10" s="73" t="s">
        <v>214</v>
      </c>
      <c r="C10" s="72"/>
      <c r="D10" s="75" t="s">
        <v>181</v>
      </c>
      <c r="E10" s="86">
        <v>10</v>
      </c>
      <c r="F10" s="72" t="s">
        <v>215</v>
      </c>
    </row>
    <row r="11" spans="1:6" ht="15">
      <c r="A11" s="71" t="s">
        <v>17</v>
      </c>
      <c r="B11" s="72"/>
      <c r="C11" s="72"/>
      <c r="D11" s="75"/>
      <c r="E11" s="72"/>
      <c r="F11" s="72"/>
    </row>
    <row r="12" spans="1:6" ht="15">
      <c r="A12" s="72"/>
      <c r="B12" s="72" t="s">
        <v>130</v>
      </c>
      <c r="C12" s="72"/>
      <c r="D12" s="75" t="s">
        <v>18</v>
      </c>
      <c r="E12" s="86">
        <v>10</v>
      </c>
      <c r="F12" s="72"/>
    </row>
    <row r="13" spans="1:6" ht="18">
      <c r="A13" s="72"/>
      <c r="B13" s="71" t="s">
        <v>216</v>
      </c>
      <c r="C13" s="72"/>
      <c r="D13" s="142" t="s">
        <v>276</v>
      </c>
      <c r="E13" s="86">
        <v>19</v>
      </c>
      <c r="F13" s="72" t="s">
        <v>217</v>
      </c>
    </row>
    <row r="14" spans="1:6" ht="15">
      <c r="A14" s="72"/>
      <c r="B14" s="71" t="s">
        <v>19</v>
      </c>
      <c r="C14" s="72"/>
      <c r="D14" s="142" t="s">
        <v>277</v>
      </c>
      <c r="E14" s="86">
        <v>30</v>
      </c>
      <c r="F14" s="71" t="s">
        <v>20</v>
      </c>
    </row>
    <row r="15" spans="1:6" ht="18">
      <c r="A15" s="71" t="s">
        <v>21</v>
      </c>
      <c r="B15" s="72"/>
      <c r="C15" s="72"/>
      <c r="D15" s="75" t="s">
        <v>22</v>
      </c>
      <c r="E15" s="86">
        <v>0</v>
      </c>
      <c r="F15" s="72" t="s">
        <v>218</v>
      </c>
    </row>
    <row r="16" spans="1:6" ht="15">
      <c r="A16" s="71" t="s">
        <v>219</v>
      </c>
      <c r="B16" s="72"/>
      <c r="C16" s="72"/>
      <c r="D16" s="75"/>
      <c r="E16" s="72"/>
      <c r="F16" s="72"/>
    </row>
    <row r="17" spans="1:6" ht="16.5">
      <c r="A17" s="72"/>
      <c r="B17" s="72" t="s">
        <v>130</v>
      </c>
      <c r="C17" s="72"/>
      <c r="D17" s="75" t="s">
        <v>278</v>
      </c>
      <c r="E17" s="86">
        <v>20</v>
      </c>
      <c r="F17" s="72"/>
    </row>
    <row r="18" spans="1:6" ht="15">
      <c r="A18" s="72"/>
      <c r="B18" s="71" t="s">
        <v>23</v>
      </c>
      <c r="C18" s="72"/>
      <c r="D18" s="142" t="s">
        <v>131</v>
      </c>
      <c r="E18" s="86">
        <v>0.6</v>
      </c>
      <c r="F18" s="72"/>
    </row>
    <row r="19" spans="1:6" ht="18">
      <c r="A19" s="72"/>
      <c r="B19" s="71" t="s">
        <v>24</v>
      </c>
      <c r="C19" s="72"/>
      <c r="D19" s="75" t="s">
        <v>279</v>
      </c>
      <c r="E19" s="86">
        <v>600</v>
      </c>
      <c r="F19" s="72" t="s">
        <v>218</v>
      </c>
    </row>
    <row r="20" spans="1:6" ht="15">
      <c r="A20" s="71" t="s">
        <v>220</v>
      </c>
      <c r="B20" s="72"/>
      <c r="C20" s="72"/>
      <c r="D20" s="75"/>
      <c r="E20" s="72"/>
      <c r="F20" s="72"/>
    </row>
    <row r="21" spans="1:6" ht="18">
      <c r="A21" s="72"/>
      <c r="B21" s="71" t="s">
        <v>28</v>
      </c>
      <c r="C21" s="72"/>
      <c r="D21" s="142" t="s">
        <v>288</v>
      </c>
      <c r="E21" s="86">
        <v>24</v>
      </c>
      <c r="F21" s="72" t="s">
        <v>221</v>
      </c>
    </row>
    <row r="22" spans="1:6" ht="18">
      <c r="A22" s="72"/>
      <c r="B22" s="71" t="s">
        <v>222</v>
      </c>
      <c r="C22" s="72"/>
      <c r="D22" s="142" t="s">
        <v>289</v>
      </c>
      <c r="E22" s="86">
        <v>24.5</v>
      </c>
      <c r="F22" s="72" t="s">
        <v>217</v>
      </c>
    </row>
    <row r="23" spans="1:6" ht="15">
      <c r="A23" s="71" t="s">
        <v>223</v>
      </c>
      <c r="B23" s="72"/>
      <c r="C23" s="72"/>
      <c r="D23" s="72"/>
      <c r="E23" s="72"/>
      <c r="F23" s="72"/>
    </row>
    <row r="24" spans="1:6" ht="15">
      <c r="A24" s="72"/>
      <c r="B24" s="73" t="s">
        <v>213</v>
      </c>
      <c r="C24" s="72"/>
      <c r="D24" s="72"/>
      <c r="E24" s="72"/>
      <c r="F24" s="72"/>
    </row>
    <row r="25" spans="1:6" ht="15">
      <c r="A25" s="79" t="s">
        <v>240</v>
      </c>
      <c r="B25" s="76" t="s">
        <v>241</v>
      </c>
      <c r="C25" s="135" t="s">
        <v>132</v>
      </c>
      <c r="D25" s="135" t="s">
        <v>133</v>
      </c>
      <c r="E25" s="136" t="s">
        <v>134</v>
      </c>
      <c r="F25" s="72"/>
    </row>
    <row r="26" spans="1:6" ht="15">
      <c r="A26" s="149" t="s">
        <v>8</v>
      </c>
      <c r="B26" s="88" t="s">
        <v>236</v>
      </c>
      <c r="C26" s="77">
        <v>16</v>
      </c>
      <c r="D26" s="77">
        <v>125</v>
      </c>
      <c r="E26" s="77">
        <v>70</v>
      </c>
      <c r="F26" s="72"/>
    </row>
    <row r="27" spans="1:6" ht="15">
      <c r="A27" s="150"/>
      <c r="B27" s="88" t="s">
        <v>237</v>
      </c>
      <c r="C27" s="87">
        <v>16</v>
      </c>
      <c r="D27" s="87">
        <v>250</v>
      </c>
      <c r="E27" s="87">
        <v>70</v>
      </c>
      <c r="F27" s="72"/>
    </row>
    <row r="28" spans="1:6" ht="15">
      <c r="A28" s="149" t="s">
        <v>12</v>
      </c>
      <c r="B28" s="88" t="s">
        <v>236</v>
      </c>
      <c r="C28" s="77">
        <v>25</v>
      </c>
      <c r="D28" s="77">
        <v>125</v>
      </c>
      <c r="E28" s="77">
        <v>70</v>
      </c>
      <c r="F28" s="72"/>
    </row>
    <row r="29" spans="1:6" ht="15">
      <c r="A29" s="150"/>
      <c r="B29" s="88" t="s">
        <v>237</v>
      </c>
      <c r="C29" s="87">
        <v>22</v>
      </c>
      <c r="D29" s="87">
        <v>250</v>
      </c>
      <c r="E29" s="87">
        <v>70</v>
      </c>
      <c r="F29" s="72"/>
    </row>
    <row r="30" spans="1:5" ht="15">
      <c r="A30" s="149" t="s">
        <v>13</v>
      </c>
      <c r="B30" s="88" t="s">
        <v>238</v>
      </c>
      <c r="C30" s="77">
        <v>25</v>
      </c>
      <c r="D30" s="77">
        <v>125</v>
      </c>
      <c r="E30" s="77">
        <v>100</v>
      </c>
    </row>
    <row r="31" spans="1:5" ht="15">
      <c r="A31" s="150"/>
      <c r="B31" s="88" t="s">
        <v>239</v>
      </c>
      <c r="C31" s="87">
        <v>22</v>
      </c>
      <c r="D31" s="87">
        <v>125</v>
      </c>
      <c r="E31" s="87">
        <v>70</v>
      </c>
    </row>
    <row r="32" ht="12.75">
      <c r="C32" s="140">
        <f>IF(データ!H42="規格外","鉄筋が規格外","")</f>
      </c>
    </row>
    <row r="34" spans="1:5" ht="15">
      <c r="A34" s="73" t="s">
        <v>224</v>
      </c>
      <c r="B34" s="72"/>
      <c r="C34" s="72"/>
      <c r="D34" s="72"/>
      <c r="E34" s="72"/>
    </row>
    <row r="35" spans="1:5" ht="13.5">
      <c r="A35" s="151" t="s">
        <v>205</v>
      </c>
      <c r="B35" s="152"/>
      <c r="C35" s="137" t="s">
        <v>226</v>
      </c>
      <c r="D35" s="137" t="s">
        <v>227</v>
      </c>
      <c r="E35" s="137" t="s">
        <v>228</v>
      </c>
    </row>
    <row r="36" spans="1:11" ht="13.5">
      <c r="A36" s="147" t="s">
        <v>202</v>
      </c>
      <c r="B36" s="148"/>
      <c r="C36" s="81">
        <f>'計算'!E220</f>
        <v>5.555555555555555</v>
      </c>
      <c r="D36" s="80">
        <v>3</v>
      </c>
      <c r="E36" s="80" t="str">
        <f>IF(C36&gt;=D36,"OK","OUT")</f>
        <v>OK</v>
      </c>
      <c r="K36" s="75"/>
    </row>
    <row r="37" spans="1:5" ht="13.5">
      <c r="A37" s="147" t="s">
        <v>203</v>
      </c>
      <c r="B37" s="148"/>
      <c r="C37" s="81">
        <f>'計算'!E230</f>
        <v>1.9858823529411762</v>
      </c>
      <c r="D37" s="80">
        <v>1.5</v>
      </c>
      <c r="E37" s="80" t="str">
        <f>IF(C37&gt;=D37,"OK","OUT")</f>
        <v>OK</v>
      </c>
    </row>
    <row r="38" spans="1:5" ht="13.5">
      <c r="A38" s="147" t="s">
        <v>204</v>
      </c>
      <c r="B38" s="137" t="s">
        <v>233</v>
      </c>
      <c r="C38" s="81">
        <f>'計算'!E238</f>
        <v>9.490728762397584</v>
      </c>
      <c r="D38" s="80">
        <v>1.5</v>
      </c>
      <c r="E38" s="80" t="str">
        <f>IF(C38&gt;=D38,"OK","OUT")</f>
        <v>OK</v>
      </c>
    </row>
    <row r="39" spans="1:5" ht="13.5">
      <c r="A39" s="148"/>
      <c r="B39" s="137" t="s">
        <v>234</v>
      </c>
      <c r="C39" s="81">
        <f>'計算'!E245</f>
        <v>13.27433628318584</v>
      </c>
      <c r="D39" s="80">
        <v>3</v>
      </c>
      <c r="E39" s="80" t="str">
        <f>IF(C39&gt;=D39,"OK","OUT")</f>
        <v>OK</v>
      </c>
    </row>
    <row r="41" spans="1:7" ht="13.5">
      <c r="A41" s="73" t="s">
        <v>225</v>
      </c>
      <c r="B41" s="72"/>
      <c r="C41" s="72"/>
      <c r="D41" s="72"/>
      <c r="E41" s="72"/>
      <c r="G41" s="74"/>
    </row>
    <row r="42" spans="1:7" ht="12.75">
      <c r="A42" s="137" t="s">
        <v>205</v>
      </c>
      <c r="B42" s="137" t="s">
        <v>207</v>
      </c>
      <c r="C42" s="137" t="s">
        <v>232</v>
      </c>
      <c r="D42" s="137" t="s">
        <v>267</v>
      </c>
      <c r="E42" s="137" t="s">
        <v>268</v>
      </c>
      <c r="F42" s="137" t="s">
        <v>235</v>
      </c>
      <c r="G42" s="137" t="s">
        <v>206</v>
      </c>
    </row>
    <row r="43" spans="1:7" ht="13.5">
      <c r="A43" s="79" t="s">
        <v>229</v>
      </c>
      <c r="B43" s="82">
        <f>'計算'!D355</f>
        <v>4.208290248837136</v>
      </c>
      <c r="C43" s="82">
        <f>'計算'!D390</f>
        <v>6.654084061592537</v>
      </c>
      <c r="D43" s="82">
        <f>'計算'!D425</f>
        <v>7.256036423399318</v>
      </c>
      <c r="E43" s="101">
        <f>'計算'!D460</f>
        <v>2.111806655502744</v>
      </c>
      <c r="F43" s="80">
        <f>'計算'!E21/3</f>
        <v>8</v>
      </c>
      <c r="G43" s="84" t="str">
        <f>IF(MAX(B43:E43)&gt;F43,"out","safe")</f>
        <v>safe</v>
      </c>
    </row>
    <row r="44" spans="1:7" ht="13.5">
      <c r="A44" s="79" t="s">
        <v>230</v>
      </c>
      <c r="B44" s="83">
        <f>'計算'!E359</f>
        <v>143.30845284498798</v>
      </c>
      <c r="C44" s="83">
        <f>'計算'!E394</f>
        <v>134.51096620887554</v>
      </c>
      <c r="D44" s="83">
        <f>'計算'!E429</f>
        <v>149.9463947624993</v>
      </c>
      <c r="E44" s="102">
        <f>'計算'!E464</f>
        <v>43.64060155582013</v>
      </c>
      <c r="F44" s="80">
        <f>160</f>
        <v>160</v>
      </c>
      <c r="G44" s="84" t="str">
        <f>IF(MAX(B44:E44)&gt;F44,"out","safe")</f>
        <v>safe</v>
      </c>
    </row>
    <row r="45" spans="1:7" ht="13.5">
      <c r="A45" s="79" t="s">
        <v>231</v>
      </c>
      <c r="B45" s="81">
        <f>'計算'!E364</f>
        <v>0.14054545454545456</v>
      </c>
      <c r="C45" s="81">
        <f>'計算'!E399</f>
        <v>0.26421212121212123</v>
      </c>
      <c r="D45" s="81">
        <f>'計算'!E434</f>
        <v>0.1715</v>
      </c>
      <c r="E45" s="103" t="s">
        <v>269</v>
      </c>
      <c r="F45" s="80">
        <f>'計算'!E21/100+0.15</f>
        <v>0.39</v>
      </c>
      <c r="G45" s="84" t="str">
        <f>IF(MAX(B45:E45)&gt;F45,"out","safe")</f>
        <v>safe</v>
      </c>
    </row>
    <row r="50" spans="1:8" ht="12.75">
      <c r="A50" s="143"/>
      <c r="B50" s="143"/>
      <c r="C50" s="143"/>
      <c r="D50" s="143"/>
      <c r="E50" s="143"/>
      <c r="F50" s="143"/>
      <c r="G50" s="143"/>
      <c r="H50" s="143"/>
    </row>
    <row r="51" spans="1:8" ht="13.5">
      <c r="A51" s="144"/>
      <c r="B51" s="143"/>
      <c r="C51" s="143"/>
      <c r="D51" s="143"/>
      <c r="E51" s="143"/>
      <c r="F51" s="143"/>
      <c r="G51" s="143"/>
      <c r="H51" s="143"/>
    </row>
    <row r="52" spans="1:8" ht="12.75">
      <c r="A52" s="143"/>
      <c r="B52" s="143"/>
      <c r="C52" s="143"/>
      <c r="D52" s="143"/>
      <c r="E52" s="143"/>
      <c r="F52" s="143"/>
      <c r="G52" s="143"/>
      <c r="H52" s="143"/>
    </row>
    <row r="53" spans="1:8" ht="12.75">
      <c r="A53" s="143"/>
      <c r="B53" s="143"/>
      <c r="C53" s="143"/>
      <c r="D53" s="143"/>
      <c r="E53" s="143"/>
      <c r="F53" s="143"/>
      <c r="G53" s="143"/>
      <c r="H53" s="143"/>
    </row>
    <row r="54" spans="1:8" ht="12.75">
      <c r="A54" s="143"/>
      <c r="B54" s="143"/>
      <c r="C54" s="143"/>
      <c r="D54" s="143"/>
      <c r="E54" s="143"/>
      <c r="F54" s="143"/>
      <c r="G54" s="143"/>
      <c r="H54" s="143"/>
    </row>
    <row r="55" spans="1:8" ht="16.5">
      <c r="A55" s="145"/>
      <c r="B55" s="146"/>
      <c r="C55" s="143"/>
      <c r="D55" s="143"/>
      <c r="E55" s="143"/>
      <c r="F55" s="143"/>
      <c r="G55" s="143"/>
      <c r="H55" s="143"/>
    </row>
    <row r="56" spans="1:8" ht="16.5">
      <c r="A56" s="145"/>
      <c r="B56" s="146"/>
      <c r="C56" s="143"/>
      <c r="D56" s="143"/>
      <c r="E56" s="143"/>
      <c r="F56" s="143"/>
      <c r="G56" s="143"/>
      <c r="H56" s="143"/>
    </row>
  </sheetData>
  <sheetProtection sheet="1" objects="1" scenarios="1"/>
  <mergeCells count="7">
    <mergeCell ref="A38:A39"/>
    <mergeCell ref="A36:B36"/>
    <mergeCell ref="A37:B37"/>
    <mergeCell ref="A26:A27"/>
    <mergeCell ref="A28:A29"/>
    <mergeCell ref="A30:A31"/>
    <mergeCell ref="A35:B35"/>
  </mergeCells>
  <conditionalFormatting sqref="C36">
    <cfRule type="cellIs" priority="1" dxfId="7" operator="lessThan" stopIfTrue="1">
      <formula>$D$36</formula>
    </cfRule>
  </conditionalFormatting>
  <conditionalFormatting sqref="C37">
    <cfRule type="cellIs" priority="2" dxfId="7" operator="lessThan" stopIfTrue="1">
      <formula>$D$37</formula>
    </cfRule>
  </conditionalFormatting>
  <conditionalFormatting sqref="C38">
    <cfRule type="cellIs" priority="3" dxfId="7" operator="lessThan" stopIfTrue="1">
      <formula>$D$38</formula>
    </cfRule>
  </conditionalFormatting>
  <conditionalFormatting sqref="C39">
    <cfRule type="cellIs" priority="4" dxfId="7" operator="lessThan" stopIfTrue="1">
      <formula>$D$39</formula>
    </cfRule>
  </conditionalFormatting>
  <conditionalFormatting sqref="B43:E43">
    <cfRule type="cellIs" priority="5" dxfId="7" operator="greaterThan" stopIfTrue="1">
      <formula>$F$43</formula>
    </cfRule>
  </conditionalFormatting>
  <conditionalFormatting sqref="B44:E44">
    <cfRule type="cellIs" priority="6" dxfId="7" operator="greaterThan" stopIfTrue="1">
      <formula>$F$44</formula>
    </cfRule>
  </conditionalFormatting>
  <conditionalFormatting sqref="B45:D45">
    <cfRule type="cellIs" priority="7" dxfId="7" operator="greaterThan" stopIfTrue="1">
      <formula>$F$45</formula>
    </cfRule>
  </conditionalFormatting>
  <printOptions/>
  <pageMargins left="0.75" right="0.75" top="1" bottom="1" header="0.512" footer="0.512"/>
  <pageSetup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4:K42"/>
  <sheetViews>
    <sheetView showGridLines="0" zoomScalePageLayoutView="0" workbookViewId="0" topLeftCell="A1">
      <selection activeCell="D11" sqref="D11"/>
    </sheetView>
  </sheetViews>
  <sheetFormatPr defaultColWidth="9.00390625" defaultRowHeight="12.75"/>
  <cols>
    <col min="1" max="3" width="8.875" style="69" customWidth="1"/>
    <col min="4" max="4" width="11.50390625" style="69" customWidth="1"/>
    <col min="5" max="8" width="8.875" style="69" customWidth="1"/>
    <col min="9" max="9" width="14.625" style="69" customWidth="1"/>
    <col min="10" max="10" width="21.875" style="69" customWidth="1"/>
    <col min="11" max="11" width="11.625" style="69" customWidth="1"/>
    <col min="12" max="16384" width="8.875" style="69" customWidth="1"/>
  </cols>
  <sheetData>
    <row r="4" spans="4:6" ht="13.5">
      <c r="D4" s="4"/>
      <c r="E4" s="4"/>
      <c r="F4" s="4"/>
    </row>
    <row r="5" spans="2:8" ht="13.5">
      <c r="B5" s="69">
        <v>1</v>
      </c>
      <c r="C5" s="69" t="s">
        <v>210</v>
      </c>
      <c r="D5" s="35" t="s">
        <v>208</v>
      </c>
      <c r="E5" s="25">
        <f>'入力'!E4</f>
        <v>4.13</v>
      </c>
      <c r="F5" s="4" t="s">
        <v>10</v>
      </c>
      <c r="H5" s="35" t="str">
        <f>D5&amp;E5&amp;F5</f>
        <v>hf=4.13m</v>
      </c>
    </row>
    <row r="6" spans="2:8" ht="15.75">
      <c r="B6" s="69">
        <v>2</v>
      </c>
      <c r="C6" s="69" t="s">
        <v>211</v>
      </c>
      <c r="D6" s="24" t="s">
        <v>284</v>
      </c>
      <c r="E6" s="25">
        <f>'入力'!E5</f>
        <v>0.4</v>
      </c>
      <c r="F6" s="4" t="s">
        <v>10</v>
      </c>
      <c r="H6" s="35" t="str">
        <f aca="true" t="shared" si="0" ref="H6:H12">D6&amp;E6&amp;F6</f>
        <v>t2=0.4m</v>
      </c>
    </row>
    <row r="7" spans="2:8" ht="15.75">
      <c r="B7" s="69">
        <v>2</v>
      </c>
      <c r="C7" s="69" t="str">
        <f>IF(B7=1,C5,C6)</f>
        <v>SD345</v>
      </c>
      <c r="D7" s="24" t="s">
        <v>151</v>
      </c>
      <c r="E7" s="25">
        <f>'入力'!E6</f>
        <v>5.45</v>
      </c>
      <c r="F7" s="4" t="s">
        <v>10</v>
      </c>
      <c r="H7" s="35" t="str">
        <f t="shared" si="0"/>
        <v>hr=5.45m</v>
      </c>
    </row>
    <row r="8" spans="4:8" ht="13.5">
      <c r="D8" s="24" t="s">
        <v>285</v>
      </c>
      <c r="E8" s="25">
        <f>'入力'!E7</f>
        <v>0.4</v>
      </c>
      <c r="F8" s="4" t="s">
        <v>10</v>
      </c>
      <c r="H8" s="35" t="str">
        <f t="shared" si="0"/>
        <v>t1=0.4m</v>
      </c>
    </row>
    <row r="9" spans="4:8" ht="13.5">
      <c r="D9" s="24" t="s">
        <v>15</v>
      </c>
      <c r="E9" s="25">
        <f>'入力'!E8</f>
        <v>5</v>
      </c>
      <c r="F9" s="4" t="s">
        <v>10</v>
      </c>
      <c r="H9" s="35" t="str">
        <f t="shared" si="0"/>
        <v>B=5m</v>
      </c>
    </row>
    <row r="10" spans="4:8" ht="13.5">
      <c r="D10" s="24" t="s">
        <v>286</v>
      </c>
      <c r="E10" s="25">
        <f>'入力'!E9</f>
        <v>0.4</v>
      </c>
      <c r="F10" s="4" t="s">
        <v>10</v>
      </c>
      <c r="H10" s="35" t="str">
        <f t="shared" si="0"/>
        <v>t3=0.4m</v>
      </c>
    </row>
    <row r="11" spans="4:8" ht="13.5">
      <c r="D11" s="24" t="s">
        <v>181</v>
      </c>
      <c r="E11" s="25">
        <f>'入力'!E10</f>
        <v>10</v>
      </c>
      <c r="F11" s="4" t="s">
        <v>182</v>
      </c>
      <c r="H11" s="35" t="str">
        <f t="shared" si="0"/>
        <v>L=10m</v>
      </c>
    </row>
    <row r="12" spans="4:8" ht="13.5">
      <c r="D12" s="24"/>
      <c r="E12" s="25"/>
      <c r="F12" s="4"/>
      <c r="H12" s="35">
        <f t="shared" si="0"/>
      </c>
    </row>
    <row r="13" spans="4:8" ht="13.5">
      <c r="D13" s="24" t="s">
        <v>18</v>
      </c>
      <c r="E13" s="25">
        <f>'入力'!E12</f>
        <v>10</v>
      </c>
      <c r="F13" s="4"/>
      <c r="H13" s="35" t="str">
        <f>"N="&amp;E13</f>
        <v>N=10</v>
      </c>
    </row>
    <row r="14" spans="4:9" ht="16.5">
      <c r="D14" s="27" t="s">
        <v>154</v>
      </c>
      <c r="E14" s="25">
        <f>'入力'!E13</f>
        <v>19</v>
      </c>
      <c r="F14" s="4" t="s">
        <v>165</v>
      </c>
      <c r="I14" s="35" t="str">
        <f>"γ="&amp;E14&amp;"kN/m3"</f>
        <v>γ=19kN/m3</v>
      </c>
    </row>
    <row r="15" spans="4:8" ht="13.5">
      <c r="D15" s="27" t="s">
        <v>155</v>
      </c>
      <c r="E15" s="25">
        <f>'入力'!E14</f>
        <v>30</v>
      </c>
      <c r="F15" s="23" t="s">
        <v>20</v>
      </c>
      <c r="H15" s="35" t="str">
        <f>"φ="&amp;E15&amp;"゜"</f>
        <v>φ=30゜</v>
      </c>
    </row>
    <row r="16" spans="4:9" ht="16.5">
      <c r="D16" s="24" t="s">
        <v>22</v>
      </c>
      <c r="E16" s="25">
        <f>'入力'!E15</f>
        <v>0</v>
      </c>
      <c r="F16" s="4" t="s">
        <v>166</v>
      </c>
      <c r="I16" s="35" t="str">
        <f>"q="&amp;E16&amp;"kN/m2"</f>
        <v>q=0kN/m2</v>
      </c>
    </row>
    <row r="17" spans="4:8" ht="13.5">
      <c r="D17" s="28"/>
      <c r="E17" s="25"/>
      <c r="F17" s="4"/>
      <c r="H17" s="35"/>
    </row>
    <row r="18" spans="4:8" ht="15.75">
      <c r="D18" s="24" t="s">
        <v>156</v>
      </c>
      <c r="E18" s="25">
        <f>'入力'!E17</f>
        <v>20</v>
      </c>
      <c r="F18" s="4"/>
      <c r="H18" s="35" t="str">
        <f>"Nb="&amp;E18</f>
        <v>Nb=20</v>
      </c>
    </row>
    <row r="19" spans="4:8" ht="13.5">
      <c r="D19" s="27" t="s">
        <v>157</v>
      </c>
      <c r="E19" s="25">
        <f>'入力'!E18</f>
        <v>0.6</v>
      </c>
      <c r="F19" s="4"/>
      <c r="H19" s="35" t="str">
        <f>"μ="&amp;E19</f>
        <v>μ=0.6</v>
      </c>
    </row>
    <row r="20" spans="4:9" ht="16.5">
      <c r="D20" s="24" t="s">
        <v>158</v>
      </c>
      <c r="E20" s="25">
        <f>'入力'!E19</f>
        <v>600</v>
      </c>
      <c r="F20" s="4" t="s">
        <v>166</v>
      </c>
      <c r="I20" s="35" t="str">
        <f>"qd="&amp;E20&amp;"kN/m2"</f>
        <v>qd=600kN/m2</v>
      </c>
    </row>
    <row r="21" spans="4:8" ht="13.5">
      <c r="D21" s="24"/>
      <c r="E21" s="25"/>
      <c r="F21" s="4"/>
      <c r="H21" s="35"/>
    </row>
    <row r="22" spans="4:9" ht="16.5">
      <c r="D22" s="29" t="s">
        <v>135</v>
      </c>
      <c r="E22" s="25">
        <f>'入力'!E21</f>
        <v>24</v>
      </c>
      <c r="F22" s="4" t="s">
        <v>167</v>
      </c>
      <c r="I22" s="35" t="str">
        <f>"σck="&amp;E22&amp;"N/mm2"</f>
        <v>σck=24N/mm2</v>
      </c>
    </row>
    <row r="23" spans="4:9" ht="16.5">
      <c r="D23" s="27" t="s">
        <v>209</v>
      </c>
      <c r="E23" s="25">
        <f>'入力'!E22</f>
        <v>24.5</v>
      </c>
      <c r="F23" s="4" t="s">
        <v>165</v>
      </c>
      <c r="I23" s="35" t="str">
        <f>"γc="&amp;E23&amp;"kN/m3"</f>
        <v>γc=24.5kN/m3</v>
      </c>
    </row>
    <row r="26" spans="8:11" ht="13.5">
      <c r="H26" s="70" t="str">
        <f aca="true" t="shared" si="1" ref="H26:H31">G35&amp;"mm"</f>
        <v>70mm</v>
      </c>
      <c r="J26" s="70" t="str">
        <f aca="true" t="shared" si="2" ref="J26:J31">"D"&amp;E35&amp;"@"&amp;F35&amp;"mm("&amp;K26&amp;")"</f>
        <v>D16@125mm(SD345)</v>
      </c>
      <c r="K26" s="70" t="str">
        <f aca="true" t="shared" si="3" ref="K26:K31">IF(E35=0,"なし",$C$7)</f>
        <v>SD345</v>
      </c>
    </row>
    <row r="27" spans="8:11" ht="13.5">
      <c r="H27" s="70" t="str">
        <f t="shared" si="1"/>
        <v>70mm</v>
      </c>
      <c r="J27" s="70" t="str">
        <f t="shared" si="2"/>
        <v>D16@250mm(SD345)</v>
      </c>
      <c r="K27" s="70" t="str">
        <f t="shared" si="3"/>
        <v>SD345</v>
      </c>
    </row>
    <row r="28" spans="8:11" ht="13.5">
      <c r="H28" s="70" t="str">
        <f t="shared" si="1"/>
        <v>70mm</v>
      </c>
      <c r="J28" s="70" t="str">
        <f t="shared" si="2"/>
        <v>D25@125mm(SD345)</v>
      </c>
      <c r="K28" s="70" t="str">
        <f t="shared" si="3"/>
        <v>SD345</v>
      </c>
    </row>
    <row r="29" spans="8:11" ht="13.5">
      <c r="H29" s="70" t="str">
        <f t="shared" si="1"/>
        <v>70mm</v>
      </c>
      <c r="J29" s="70" t="str">
        <f t="shared" si="2"/>
        <v>D22@250mm(SD345)</v>
      </c>
      <c r="K29" s="70" t="str">
        <f t="shared" si="3"/>
        <v>SD345</v>
      </c>
    </row>
    <row r="30" spans="8:11" ht="13.5">
      <c r="H30" s="70" t="str">
        <f t="shared" si="1"/>
        <v>100mm</v>
      </c>
      <c r="J30" s="70" t="str">
        <f t="shared" si="2"/>
        <v>D25@125mm(SD345)</v>
      </c>
      <c r="K30" s="70" t="str">
        <f t="shared" si="3"/>
        <v>SD345</v>
      </c>
    </row>
    <row r="31" spans="8:11" ht="13.5">
      <c r="H31" s="70" t="str">
        <f t="shared" si="1"/>
        <v>70mm</v>
      </c>
      <c r="J31" s="70" t="str">
        <f t="shared" si="2"/>
        <v>D22@125mm(SD345)</v>
      </c>
      <c r="K31" s="70" t="str">
        <f t="shared" si="3"/>
        <v>SD345</v>
      </c>
    </row>
    <row r="34" spans="3:10" ht="13.5">
      <c r="C34" s="89" t="s">
        <v>25</v>
      </c>
      <c r="D34" s="93" t="str">
        <f>'入力'!B25</f>
        <v>鉄筋</v>
      </c>
      <c r="E34" s="94" t="s">
        <v>132</v>
      </c>
      <c r="F34" s="94" t="s">
        <v>133</v>
      </c>
      <c r="G34" s="95" t="s">
        <v>134</v>
      </c>
      <c r="H34" s="97" t="s">
        <v>242</v>
      </c>
      <c r="I34" s="98" t="s">
        <v>243</v>
      </c>
      <c r="J34" s="98" t="s">
        <v>244</v>
      </c>
    </row>
    <row r="35" spans="3:10" ht="13.5">
      <c r="C35" s="89" t="s">
        <v>8</v>
      </c>
      <c r="D35" s="93" t="str">
        <f>'入力'!B26</f>
        <v>外側</v>
      </c>
      <c r="E35" s="77">
        <f>'入力'!C26</f>
        <v>16</v>
      </c>
      <c r="F35" s="77">
        <f>'入力'!D26</f>
        <v>125</v>
      </c>
      <c r="G35" s="77">
        <f>'入力'!E26</f>
        <v>70</v>
      </c>
      <c r="H35" s="15">
        <f aca="true" t="shared" si="4" ref="H35:H40">IF(E35=13,1.267,IF(E35=16,1.986,IF(E35=19,2.865,IF(E35=22,3.871,IF(E35=25,5.067,IF(E35=29,6.424,IF(E35=32,7.942,"*")))))))</f>
        <v>1.986</v>
      </c>
      <c r="I35" s="69">
        <f aca="true" t="shared" si="5" ref="I35:I40">1000/F35</f>
        <v>8</v>
      </c>
      <c r="J35" s="69">
        <f aca="true" t="shared" si="6" ref="J35:J40">IF(E35=0,0,H35*I35*100)</f>
        <v>1588.8</v>
      </c>
    </row>
    <row r="36" spans="3:10" ht="13.5">
      <c r="C36" s="89"/>
      <c r="D36" s="93" t="str">
        <f>'入力'!B27</f>
        <v>内側</v>
      </c>
      <c r="E36" s="77">
        <f>'入力'!C27</f>
        <v>16</v>
      </c>
      <c r="F36" s="77">
        <f>'入力'!D27</f>
        <v>250</v>
      </c>
      <c r="G36" s="77">
        <f>'入力'!E27</f>
        <v>70</v>
      </c>
      <c r="H36" s="15">
        <f t="shared" si="4"/>
        <v>1.986</v>
      </c>
      <c r="I36" s="69">
        <f t="shared" si="5"/>
        <v>4</v>
      </c>
      <c r="J36" s="69">
        <f t="shared" si="6"/>
        <v>794.4</v>
      </c>
    </row>
    <row r="37" spans="3:10" ht="13.5">
      <c r="C37" s="89" t="s">
        <v>12</v>
      </c>
      <c r="D37" s="93" t="str">
        <f>'入力'!B28</f>
        <v>外側</v>
      </c>
      <c r="E37" s="77">
        <f>'入力'!C28</f>
        <v>25</v>
      </c>
      <c r="F37" s="77">
        <f>'入力'!D28</f>
        <v>125</v>
      </c>
      <c r="G37" s="77">
        <f>'入力'!E28</f>
        <v>70</v>
      </c>
      <c r="H37" s="15">
        <f t="shared" si="4"/>
        <v>5.067</v>
      </c>
      <c r="I37" s="69">
        <f t="shared" si="5"/>
        <v>8</v>
      </c>
      <c r="J37" s="69">
        <f t="shared" si="6"/>
        <v>4053.6000000000004</v>
      </c>
    </row>
    <row r="38" spans="3:10" ht="13.5">
      <c r="C38" s="89"/>
      <c r="D38" s="93" t="str">
        <f>'入力'!B29</f>
        <v>内側</v>
      </c>
      <c r="E38" s="77">
        <f>'入力'!C29</f>
        <v>22</v>
      </c>
      <c r="F38" s="77">
        <f>'入力'!D29</f>
        <v>250</v>
      </c>
      <c r="G38" s="77">
        <f>'入力'!E29</f>
        <v>70</v>
      </c>
      <c r="H38" s="15">
        <f t="shared" si="4"/>
        <v>3.871</v>
      </c>
      <c r="I38" s="69">
        <f t="shared" si="5"/>
        <v>4</v>
      </c>
      <c r="J38" s="69">
        <f t="shared" si="6"/>
        <v>1548.4</v>
      </c>
    </row>
    <row r="39" spans="3:10" ht="13.5">
      <c r="C39" s="89" t="s">
        <v>13</v>
      </c>
      <c r="D39" s="93" t="str">
        <f>'入力'!B30</f>
        <v>下側</v>
      </c>
      <c r="E39" s="77">
        <f>'入力'!C30</f>
        <v>25</v>
      </c>
      <c r="F39" s="77">
        <f>'入力'!D30</f>
        <v>125</v>
      </c>
      <c r="G39" s="77">
        <f>'入力'!E30</f>
        <v>100</v>
      </c>
      <c r="H39" s="15">
        <f t="shared" si="4"/>
        <v>5.067</v>
      </c>
      <c r="I39" s="69">
        <f t="shared" si="5"/>
        <v>8</v>
      </c>
      <c r="J39" s="69">
        <f t="shared" si="6"/>
        <v>4053.6000000000004</v>
      </c>
    </row>
    <row r="40" spans="3:10" ht="13.5">
      <c r="C40" s="93"/>
      <c r="D40" s="93" t="str">
        <f>'入力'!B31</f>
        <v>上側</v>
      </c>
      <c r="E40" s="96">
        <f>'入力'!C31</f>
        <v>22</v>
      </c>
      <c r="F40" s="96">
        <f>'入力'!D31</f>
        <v>125</v>
      </c>
      <c r="G40" s="96">
        <f>'入力'!E31</f>
        <v>70</v>
      </c>
      <c r="H40" s="15">
        <f t="shared" si="4"/>
        <v>3.871</v>
      </c>
      <c r="I40" s="69">
        <f t="shared" si="5"/>
        <v>8</v>
      </c>
      <c r="J40" s="69">
        <f t="shared" si="6"/>
        <v>3096.8</v>
      </c>
    </row>
    <row r="42" ht="12.75">
      <c r="H42" s="69">
        <f>IF(H35="*","規格外",IF(H36="*","規格外",IF(H37="*","規格外",IF(H38="*","規格外",IF(H39="*","規格外",IF(H40="*","規格外",""))))))</f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BP504"/>
  <sheetViews>
    <sheetView showGridLines="0" showRowColHeaders="0" zoomScalePageLayoutView="0" workbookViewId="0" topLeftCell="A301">
      <selection activeCell="I312" sqref="I312"/>
    </sheetView>
  </sheetViews>
  <sheetFormatPr defaultColWidth="9.375" defaultRowHeight="18" customHeight="1"/>
  <cols>
    <col min="1" max="16384" width="9.375" style="4" customWidth="1"/>
  </cols>
  <sheetData>
    <row r="2" spans="1:51" ht="18" customHeight="1">
      <c r="A2" s="23" t="s">
        <v>162</v>
      </c>
      <c r="AW2" s="23" t="s">
        <v>1</v>
      </c>
      <c r="AY2" s="23" t="s">
        <v>2</v>
      </c>
    </row>
    <row r="3" spans="1:50" ht="18" customHeight="1">
      <c r="A3" s="23" t="s">
        <v>3</v>
      </c>
      <c r="AU3" s="4" t="s">
        <v>4</v>
      </c>
      <c r="AV3" s="23" t="s">
        <v>5</v>
      </c>
      <c r="AW3" s="23" t="s">
        <v>6</v>
      </c>
      <c r="AX3" s="23" t="s">
        <v>7</v>
      </c>
    </row>
    <row r="4" spans="2:48" ht="18" customHeight="1">
      <c r="B4" s="23" t="s">
        <v>8</v>
      </c>
      <c r="C4" s="23" t="s">
        <v>9</v>
      </c>
      <c r="D4" s="24" t="s">
        <v>149</v>
      </c>
      <c r="E4" s="4">
        <f>'入力'!E4</f>
        <v>4.13</v>
      </c>
      <c r="F4" s="4" t="s">
        <v>10</v>
      </c>
      <c r="AU4" s="4">
        <v>0</v>
      </c>
      <c r="AV4" s="4">
        <v>0</v>
      </c>
    </row>
    <row r="5" spans="3:48" ht="18" customHeight="1">
      <c r="C5" s="23" t="s">
        <v>11</v>
      </c>
      <c r="D5" s="24" t="s">
        <v>150</v>
      </c>
      <c r="E5" s="4">
        <f>'入力'!E5</f>
        <v>0.4</v>
      </c>
      <c r="F5" s="4" t="s">
        <v>10</v>
      </c>
      <c r="AU5" s="4">
        <f>-b/2</f>
        <v>-2.5</v>
      </c>
      <c r="AV5" s="4">
        <v>0</v>
      </c>
    </row>
    <row r="6" spans="2:48" ht="18" customHeight="1">
      <c r="B6" s="23" t="s">
        <v>12</v>
      </c>
      <c r="C6" s="23" t="s">
        <v>9</v>
      </c>
      <c r="D6" s="24" t="s">
        <v>151</v>
      </c>
      <c r="E6" s="4">
        <f>'入力'!E6</f>
        <v>5.45</v>
      </c>
      <c r="F6" s="4" t="s">
        <v>10</v>
      </c>
      <c r="AU6" s="4">
        <f>-b/2</f>
        <v>-2.5</v>
      </c>
      <c r="AV6" s="4">
        <f>hf</f>
        <v>4.13</v>
      </c>
    </row>
    <row r="7" spans="3:48" ht="18" customHeight="1">
      <c r="C7" s="23" t="s">
        <v>11</v>
      </c>
      <c r="D7" s="24" t="s">
        <v>152</v>
      </c>
      <c r="E7" s="4">
        <f>'入力'!E7</f>
        <v>0.4</v>
      </c>
      <c r="F7" s="4" t="s">
        <v>10</v>
      </c>
      <c r="AU7" s="4">
        <f>-b/2+tf</f>
        <v>-2.1</v>
      </c>
      <c r="AV7" s="4">
        <f>hf</f>
        <v>4.13</v>
      </c>
    </row>
    <row r="8" spans="2:48" ht="18" customHeight="1">
      <c r="B8" s="23" t="s">
        <v>13</v>
      </c>
      <c r="C8" s="23" t="s">
        <v>14</v>
      </c>
      <c r="D8" s="24" t="s">
        <v>15</v>
      </c>
      <c r="E8" s="4">
        <f>'入力'!E8</f>
        <v>5</v>
      </c>
      <c r="F8" s="4" t="s">
        <v>10</v>
      </c>
      <c r="AU8" s="4">
        <f>-b/2+tf</f>
        <v>-2.1</v>
      </c>
      <c r="AV8" s="4">
        <f>tb</f>
        <v>0.4</v>
      </c>
    </row>
    <row r="9" spans="3:48" ht="18" customHeight="1">
      <c r="C9" s="23" t="s">
        <v>16</v>
      </c>
      <c r="D9" s="24" t="s">
        <v>153</v>
      </c>
      <c r="E9" s="4">
        <f>'入力'!E9</f>
        <v>0.4</v>
      </c>
      <c r="F9" s="4" t="s">
        <v>10</v>
      </c>
      <c r="AU9" s="4">
        <f>b/2-tl</f>
        <v>2.1</v>
      </c>
      <c r="AV9" s="4">
        <f>tb</f>
        <v>0.4</v>
      </c>
    </row>
    <row r="10" spans="2:48" ht="18" customHeight="1">
      <c r="B10" s="26" t="s">
        <v>180</v>
      </c>
      <c r="C10" s="23"/>
      <c r="D10" s="24" t="s">
        <v>181</v>
      </c>
      <c r="E10" s="4">
        <f>'入力'!E10</f>
        <v>10</v>
      </c>
      <c r="F10" s="4" t="s">
        <v>182</v>
      </c>
      <c r="AU10" s="4">
        <f>b/2-tl</f>
        <v>2.1</v>
      </c>
      <c r="AV10" s="4">
        <f>hl</f>
        <v>5.45</v>
      </c>
    </row>
    <row r="11" spans="1:48" ht="18" customHeight="1">
      <c r="A11" s="23" t="s">
        <v>17</v>
      </c>
      <c r="D11" s="24"/>
      <c r="AU11" s="4">
        <f>b/2</f>
        <v>2.5</v>
      </c>
      <c r="AV11" s="4">
        <f>hl</f>
        <v>5.45</v>
      </c>
    </row>
    <row r="12" spans="2:48" ht="18" customHeight="1">
      <c r="B12" s="4" t="s">
        <v>130</v>
      </c>
      <c r="D12" s="24" t="s">
        <v>18</v>
      </c>
      <c r="E12" s="4">
        <f>'入力'!E12</f>
        <v>10</v>
      </c>
      <c r="AU12" s="4">
        <f>b/2</f>
        <v>2.5</v>
      </c>
      <c r="AV12" s="4">
        <v>0</v>
      </c>
    </row>
    <row r="13" spans="2:48" ht="18" customHeight="1">
      <c r="B13" s="23" t="s">
        <v>148</v>
      </c>
      <c r="D13" s="27" t="s">
        <v>154</v>
      </c>
      <c r="E13" s="4">
        <f>'入力'!E13</f>
        <v>19</v>
      </c>
      <c r="F13" s="4" t="s">
        <v>147</v>
      </c>
      <c r="AU13" s="4">
        <f>0</f>
        <v>0</v>
      </c>
      <c r="AV13" s="4">
        <v>0</v>
      </c>
    </row>
    <row r="14" spans="2:49" ht="18" customHeight="1">
      <c r="B14" s="23" t="s">
        <v>19</v>
      </c>
      <c r="D14" s="27" t="s">
        <v>155</v>
      </c>
      <c r="E14" s="4">
        <f>'入力'!E14</f>
        <v>30</v>
      </c>
      <c r="F14" s="23" t="s">
        <v>20</v>
      </c>
      <c r="AU14" s="4">
        <f>-b/2</f>
        <v>-2.5</v>
      </c>
      <c r="AW14" s="4">
        <f>hf</f>
        <v>4.13</v>
      </c>
    </row>
    <row r="15" spans="1:49" ht="18" customHeight="1">
      <c r="A15" s="23" t="s">
        <v>21</v>
      </c>
      <c r="D15" s="24" t="s">
        <v>22</v>
      </c>
      <c r="E15" s="4">
        <f>'入力'!E15</f>
        <v>0</v>
      </c>
      <c r="F15" s="4" t="s">
        <v>159</v>
      </c>
      <c r="AU15" s="4">
        <f>AU14-hf/2</f>
        <v>-4.5649999999999995</v>
      </c>
      <c r="AW15" s="4">
        <f>hf</f>
        <v>4.13</v>
      </c>
    </row>
    <row r="16" spans="1:50" ht="18" customHeight="1">
      <c r="A16" s="23" t="s">
        <v>160</v>
      </c>
      <c r="D16" s="28"/>
      <c r="AU16" s="4">
        <f>b/2</f>
        <v>2.5</v>
      </c>
      <c r="AX16" s="4">
        <f>hl</f>
        <v>5.45</v>
      </c>
    </row>
    <row r="17" spans="2:50" ht="18" customHeight="1">
      <c r="B17" s="4" t="s">
        <v>130</v>
      </c>
      <c r="D17" s="24" t="s">
        <v>156</v>
      </c>
      <c r="E17" s="4">
        <f>'入力'!E17</f>
        <v>20</v>
      </c>
      <c r="AU17" s="4">
        <f>b/2+hl/2</f>
        <v>5.225</v>
      </c>
      <c r="AX17" s="4">
        <f>hl</f>
        <v>5.45</v>
      </c>
    </row>
    <row r="18" spans="2:51" ht="18" customHeight="1">
      <c r="B18" s="23" t="s">
        <v>23</v>
      </c>
      <c r="D18" s="27" t="s">
        <v>157</v>
      </c>
      <c r="E18" s="4">
        <f>'入力'!E18</f>
        <v>0.6</v>
      </c>
      <c r="AU18" s="4">
        <f>AU16</f>
        <v>2.5</v>
      </c>
      <c r="AY18" s="4">
        <f>hl</f>
        <v>5.45</v>
      </c>
    </row>
    <row r="19" spans="2:51" ht="18" customHeight="1">
      <c r="B19" s="23" t="s">
        <v>24</v>
      </c>
      <c r="D19" s="24" t="s">
        <v>158</v>
      </c>
      <c r="E19" s="4">
        <f>'入力'!E19</f>
        <v>600</v>
      </c>
      <c r="F19" s="4" t="s">
        <v>159</v>
      </c>
      <c r="AU19" s="4">
        <f>AU18</f>
        <v>2.5</v>
      </c>
      <c r="AY19" s="4">
        <f>AY18+q/γ</f>
        <v>5.45</v>
      </c>
    </row>
    <row r="20" spans="1:51" ht="18" customHeight="1">
      <c r="A20" s="23" t="s">
        <v>163</v>
      </c>
      <c r="B20" s="23"/>
      <c r="D20" s="24"/>
      <c r="AU20" s="4">
        <f>AU17</f>
        <v>5.225</v>
      </c>
      <c r="AY20" s="4">
        <f>AY19</f>
        <v>5.45</v>
      </c>
    </row>
    <row r="21" spans="1:51" ht="18" customHeight="1">
      <c r="A21" s="23"/>
      <c r="B21" s="23" t="s">
        <v>28</v>
      </c>
      <c r="D21" s="29" t="s">
        <v>135</v>
      </c>
      <c r="E21" s="4">
        <f>'入力'!E21</f>
        <v>24</v>
      </c>
      <c r="F21" s="4" t="s">
        <v>146</v>
      </c>
      <c r="AU21" s="4">
        <f>AU17</f>
        <v>5.225</v>
      </c>
      <c r="AY21" s="4">
        <f>AY18</f>
        <v>5.45</v>
      </c>
    </row>
    <row r="22" spans="2:6" ht="18" customHeight="1">
      <c r="B22" s="23" t="s">
        <v>148</v>
      </c>
      <c r="D22" s="27" t="s">
        <v>164</v>
      </c>
      <c r="E22" s="4">
        <f>'入力'!E22</f>
        <v>24.5</v>
      </c>
      <c r="F22" s="4" t="s">
        <v>147</v>
      </c>
    </row>
    <row r="23" spans="1:3" ht="18" customHeight="1">
      <c r="A23" s="23" t="s">
        <v>212</v>
      </c>
      <c r="C23" s="4" t="str">
        <f>データ!K26</f>
        <v>SD345</v>
      </c>
    </row>
    <row r="24" spans="2:5" ht="18" customHeight="1">
      <c r="B24" s="1" t="s">
        <v>25</v>
      </c>
      <c r="C24" s="30" t="s">
        <v>132</v>
      </c>
      <c r="D24" s="30" t="s">
        <v>133</v>
      </c>
      <c r="E24" s="31" t="s">
        <v>134</v>
      </c>
    </row>
    <row r="25" spans="2:5" ht="18" customHeight="1">
      <c r="B25" s="2" t="s">
        <v>8</v>
      </c>
      <c r="C25" s="138">
        <f>'入力'!C26</f>
        <v>16</v>
      </c>
      <c r="D25" s="138">
        <f>'入力'!D26</f>
        <v>125</v>
      </c>
      <c r="E25" s="138">
        <f>'入力'!E26</f>
        <v>70</v>
      </c>
    </row>
    <row r="26" spans="2:5" ht="18" customHeight="1">
      <c r="B26" s="2" t="s">
        <v>12</v>
      </c>
      <c r="C26" s="138">
        <f>'入力'!C28</f>
        <v>25</v>
      </c>
      <c r="D26" s="138">
        <f>'入力'!D28</f>
        <v>125</v>
      </c>
      <c r="E26" s="138">
        <f>'入力'!E28</f>
        <v>70</v>
      </c>
    </row>
    <row r="27" spans="2:5" ht="18" customHeight="1">
      <c r="B27" s="3" t="s">
        <v>13</v>
      </c>
      <c r="C27" s="139">
        <f>'入力'!C30</f>
        <v>25</v>
      </c>
      <c r="D27" s="139">
        <f>'入力'!D30</f>
        <v>125</v>
      </c>
      <c r="E27" s="139">
        <f>'入力'!E30</f>
        <v>100</v>
      </c>
    </row>
    <row r="35" spans="1:10" ht="18" customHeight="1">
      <c r="A35" s="33"/>
      <c r="B35" s="33"/>
      <c r="C35" s="34"/>
      <c r="D35" s="33"/>
      <c r="E35" s="33"/>
      <c r="F35" s="33"/>
      <c r="G35" s="33"/>
      <c r="H35" s="33"/>
      <c r="I35" s="33"/>
      <c r="J35" s="33"/>
    </row>
    <row r="36" spans="3:5" ht="18" customHeight="1">
      <c r="C36" s="23"/>
      <c r="E36" s="29"/>
    </row>
    <row r="37" spans="3:5" ht="18" customHeight="1">
      <c r="C37" s="23"/>
      <c r="E37" s="29"/>
    </row>
    <row r="38" spans="3:5" ht="18" customHeight="1">
      <c r="C38" s="23"/>
      <c r="E38" s="29"/>
    </row>
    <row r="39" spans="3:5" ht="18" customHeight="1">
      <c r="C39" s="23"/>
      <c r="E39" s="29"/>
    </row>
    <row r="40" spans="3:5" ht="18" customHeight="1">
      <c r="C40" s="23"/>
      <c r="E40" s="29"/>
    </row>
    <row r="41" spans="3:5" ht="18" customHeight="1">
      <c r="C41" s="23"/>
      <c r="E41" s="29"/>
    </row>
    <row r="42" ht="18" customHeight="1">
      <c r="A42" s="23" t="s">
        <v>0</v>
      </c>
    </row>
    <row r="43" ht="18" customHeight="1">
      <c r="A43" s="23" t="s">
        <v>3</v>
      </c>
    </row>
    <row r="44" spans="2:6" ht="18" customHeight="1">
      <c r="B44" s="23" t="s">
        <v>8</v>
      </c>
      <c r="C44" s="36" t="s">
        <v>9</v>
      </c>
      <c r="D44" s="33" t="s">
        <v>280</v>
      </c>
      <c r="E44" s="4">
        <f>hf</f>
        <v>4.13</v>
      </c>
      <c r="F44" s="4" t="s">
        <v>10</v>
      </c>
    </row>
    <row r="45" spans="3:6" ht="18" customHeight="1">
      <c r="C45" s="36" t="s">
        <v>11</v>
      </c>
      <c r="D45" s="33" t="s">
        <v>281</v>
      </c>
      <c r="E45" s="4">
        <f>tf</f>
        <v>0.4</v>
      </c>
      <c r="F45" s="4" t="s">
        <v>10</v>
      </c>
    </row>
    <row r="46" spans="2:6" ht="18" customHeight="1">
      <c r="B46" s="23" t="s">
        <v>12</v>
      </c>
      <c r="C46" s="36" t="s">
        <v>9</v>
      </c>
      <c r="D46" s="33" t="s">
        <v>275</v>
      </c>
      <c r="E46" s="4">
        <f>hl</f>
        <v>5.45</v>
      </c>
      <c r="F46" s="4" t="s">
        <v>10</v>
      </c>
    </row>
    <row r="47" spans="3:6" ht="18" customHeight="1">
      <c r="C47" s="36" t="s">
        <v>11</v>
      </c>
      <c r="D47" s="33" t="s">
        <v>282</v>
      </c>
      <c r="E47" s="4">
        <f>tl</f>
        <v>0.4</v>
      </c>
      <c r="F47" s="4" t="s">
        <v>10</v>
      </c>
    </row>
    <row r="48" spans="2:6" ht="18" customHeight="1">
      <c r="B48" s="23" t="s">
        <v>13</v>
      </c>
      <c r="C48" s="36" t="s">
        <v>14</v>
      </c>
      <c r="D48" s="33" t="s">
        <v>15</v>
      </c>
      <c r="E48" s="4">
        <f>b</f>
        <v>5</v>
      </c>
      <c r="F48" s="4" t="s">
        <v>10</v>
      </c>
    </row>
    <row r="49" spans="3:6" ht="18" customHeight="1">
      <c r="C49" s="36" t="s">
        <v>16</v>
      </c>
      <c r="D49" s="33" t="s">
        <v>283</v>
      </c>
      <c r="E49" s="4">
        <f>tb</f>
        <v>0.4</v>
      </c>
      <c r="F49" s="4" t="s">
        <v>10</v>
      </c>
    </row>
    <row r="50" spans="2:6" ht="18" customHeight="1">
      <c r="B50" s="26" t="s">
        <v>180</v>
      </c>
      <c r="C50" s="36"/>
      <c r="D50" s="33" t="s">
        <v>181</v>
      </c>
      <c r="E50" s="37">
        <f>L</f>
        <v>10</v>
      </c>
      <c r="F50" s="4" t="s">
        <v>182</v>
      </c>
    </row>
    <row r="51" ht="18" customHeight="1">
      <c r="D51" s="33"/>
    </row>
    <row r="52" spans="1:4" ht="18" customHeight="1">
      <c r="A52" s="23" t="s">
        <v>17</v>
      </c>
      <c r="D52" s="33"/>
    </row>
    <row r="53" spans="2:5" ht="18" customHeight="1">
      <c r="B53" s="4" t="s">
        <v>130</v>
      </c>
      <c r="D53" s="33" t="s">
        <v>18</v>
      </c>
      <c r="E53" s="4">
        <f>N</f>
        <v>10</v>
      </c>
    </row>
    <row r="54" spans="2:51" ht="18" customHeight="1">
      <c r="B54" s="23" t="s">
        <v>148</v>
      </c>
      <c r="D54" s="141" t="s">
        <v>276</v>
      </c>
      <c r="E54" s="4">
        <f>γ</f>
        <v>19</v>
      </c>
      <c r="F54" s="4" t="s">
        <v>165</v>
      </c>
      <c r="AT54" s="6"/>
      <c r="AU54" s="8"/>
      <c r="AV54" s="6"/>
      <c r="AW54" s="7"/>
      <c r="AX54" s="6"/>
      <c r="AY54" s="6"/>
    </row>
    <row r="55" spans="2:45" ht="18" customHeight="1">
      <c r="B55" s="23" t="s">
        <v>19</v>
      </c>
      <c r="D55" s="141" t="s">
        <v>277</v>
      </c>
      <c r="E55" s="4">
        <f>φ</f>
        <v>30</v>
      </c>
      <c r="F55" s="36" t="s">
        <v>20</v>
      </c>
      <c r="AS55" s="7"/>
    </row>
    <row r="56" spans="1:44" ht="18" customHeight="1">
      <c r="A56" s="23" t="s">
        <v>21</v>
      </c>
      <c r="D56" s="33" t="s">
        <v>22</v>
      </c>
      <c r="E56" s="4">
        <f>q</f>
        <v>0</v>
      </c>
      <c r="F56" s="4" t="s">
        <v>166</v>
      </c>
      <c r="AR56" s="6"/>
    </row>
    <row r="57" spans="1:4" ht="18" customHeight="1">
      <c r="A57" s="23" t="s">
        <v>160</v>
      </c>
      <c r="D57" s="33"/>
    </row>
    <row r="58" spans="2:5" ht="18" customHeight="1">
      <c r="B58" s="4" t="s">
        <v>130</v>
      </c>
      <c r="D58" s="33" t="s">
        <v>278</v>
      </c>
      <c r="E58" s="4">
        <f>Nb</f>
        <v>20</v>
      </c>
    </row>
    <row r="59" spans="2:5" ht="18" customHeight="1">
      <c r="B59" s="23" t="s">
        <v>23</v>
      </c>
      <c r="D59" s="141" t="s">
        <v>131</v>
      </c>
      <c r="E59" s="4">
        <f>μ</f>
        <v>0.6</v>
      </c>
    </row>
    <row r="60" spans="2:6" ht="18" customHeight="1">
      <c r="B60" s="23" t="s">
        <v>24</v>
      </c>
      <c r="D60" s="33" t="s">
        <v>279</v>
      </c>
      <c r="E60" s="4">
        <f>qd</f>
        <v>600</v>
      </c>
      <c r="F60" s="4" t="s">
        <v>166</v>
      </c>
    </row>
    <row r="61" ht="18" customHeight="1">
      <c r="A61" s="23" t="s">
        <v>161</v>
      </c>
    </row>
    <row r="62" spans="2:7" ht="18" customHeight="1">
      <c r="B62" s="89" t="s">
        <v>25</v>
      </c>
      <c r="C62" s="90" t="s">
        <v>241</v>
      </c>
      <c r="D62" s="105" t="s">
        <v>26</v>
      </c>
      <c r="E62" s="106" t="s">
        <v>132</v>
      </c>
      <c r="F62" s="106" t="s">
        <v>133</v>
      </c>
      <c r="G62" s="104" t="s">
        <v>134</v>
      </c>
    </row>
    <row r="63" spans="2:7" ht="18" customHeight="1">
      <c r="B63" s="155" t="s">
        <v>8</v>
      </c>
      <c r="C63" s="92" t="s">
        <v>236</v>
      </c>
      <c r="D63" s="91" t="str">
        <f>データ!$C$7</f>
        <v>SD345</v>
      </c>
      <c r="E63" s="77">
        <f>Daif</f>
        <v>16</v>
      </c>
      <c r="F63" s="77">
        <f>pichf</f>
        <v>125</v>
      </c>
      <c r="G63" s="77">
        <f>Kavrif</f>
        <v>70</v>
      </c>
    </row>
    <row r="64" spans="2:7" ht="18" customHeight="1">
      <c r="B64" s="155"/>
      <c r="C64" s="92" t="s">
        <v>237</v>
      </c>
      <c r="D64" s="91" t="str">
        <f>データ!$C$7</f>
        <v>SD345</v>
      </c>
      <c r="E64" s="77">
        <f>'入力'!C27</f>
        <v>16</v>
      </c>
      <c r="F64" s="77">
        <f>'入力'!D27</f>
        <v>250</v>
      </c>
      <c r="G64" s="77">
        <f>'入力'!E27</f>
        <v>70</v>
      </c>
    </row>
    <row r="65" spans="2:7" ht="18" customHeight="1">
      <c r="B65" s="155" t="s">
        <v>12</v>
      </c>
      <c r="C65" s="92" t="s">
        <v>236</v>
      </c>
      <c r="D65" s="91" t="str">
        <f>データ!$C$7</f>
        <v>SD345</v>
      </c>
      <c r="E65" s="77">
        <f>Dail</f>
        <v>25</v>
      </c>
      <c r="F65" s="77">
        <f>pichl</f>
        <v>125</v>
      </c>
      <c r="G65" s="77">
        <f>Kavril</f>
        <v>70</v>
      </c>
    </row>
    <row r="66" spans="2:7" ht="18" customHeight="1">
      <c r="B66" s="155"/>
      <c r="C66" s="92" t="s">
        <v>237</v>
      </c>
      <c r="D66" s="91" t="str">
        <f>データ!$C$7</f>
        <v>SD345</v>
      </c>
      <c r="E66" s="77">
        <f>'入力'!C29</f>
        <v>22</v>
      </c>
      <c r="F66" s="77">
        <f>'入力'!D29</f>
        <v>250</v>
      </c>
      <c r="G66" s="77">
        <f>'入力'!E29</f>
        <v>70</v>
      </c>
    </row>
    <row r="67" spans="2:7" ht="18" customHeight="1">
      <c r="B67" s="155" t="s">
        <v>13</v>
      </c>
      <c r="C67" s="92" t="s">
        <v>238</v>
      </c>
      <c r="D67" s="91" t="str">
        <f>データ!$C$7</f>
        <v>SD345</v>
      </c>
      <c r="E67" s="77">
        <f>Daib</f>
        <v>25</v>
      </c>
      <c r="F67" s="77">
        <f>pichb</f>
        <v>125</v>
      </c>
      <c r="G67" s="77">
        <f>Kavrib</f>
        <v>100</v>
      </c>
    </row>
    <row r="68" spans="2:7" ht="18" customHeight="1">
      <c r="B68" s="148"/>
      <c r="C68" s="92" t="s">
        <v>239</v>
      </c>
      <c r="D68" s="91" t="str">
        <f>データ!$C$7</f>
        <v>SD345</v>
      </c>
      <c r="E68" s="77">
        <f>'入力'!C31</f>
        <v>22</v>
      </c>
      <c r="F68" s="77">
        <f>'入力'!D31</f>
        <v>125</v>
      </c>
      <c r="G68" s="77">
        <f>'入力'!E31</f>
        <v>70</v>
      </c>
    </row>
    <row r="69" ht="18" customHeight="1">
      <c r="A69" s="38" t="s">
        <v>168</v>
      </c>
    </row>
    <row r="70" ht="18" customHeight="1">
      <c r="B70" s="39" t="s">
        <v>27</v>
      </c>
    </row>
    <row r="71" spans="4:7" ht="18" customHeight="1">
      <c r="D71" s="40" t="s">
        <v>28</v>
      </c>
      <c r="E71" s="40" t="s">
        <v>135</v>
      </c>
      <c r="F71" s="4">
        <f>E21</f>
        <v>24</v>
      </c>
      <c r="G71" s="4" t="s">
        <v>167</v>
      </c>
    </row>
    <row r="72" spans="4:7" ht="18" customHeight="1">
      <c r="D72" s="40" t="s">
        <v>29</v>
      </c>
      <c r="E72" s="40" t="s">
        <v>136</v>
      </c>
      <c r="F72" s="4">
        <f>F71/3</f>
        <v>8</v>
      </c>
      <c r="G72" s="4" t="s">
        <v>167</v>
      </c>
    </row>
    <row r="73" spans="4:7" ht="18" customHeight="1">
      <c r="D73" s="40" t="s">
        <v>30</v>
      </c>
      <c r="E73" s="40" t="s">
        <v>137</v>
      </c>
      <c r="F73" s="4">
        <f>F71/100+0.15</f>
        <v>0.39</v>
      </c>
      <c r="G73" s="4" t="s">
        <v>167</v>
      </c>
    </row>
    <row r="74" ht="18" customHeight="1">
      <c r="B74" s="23" t="s">
        <v>31</v>
      </c>
    </row>
    <row r="75" spans="3:5" ht="18" customHeight="1">
      <c r="C75" s="41" t="s">
        <v>32</v>
      </c>
      <c r="E75" s="4" t="str">
        <f>D67</f>
        <v>SD345</v>
      </c>
    </row>
    <row r="76" spans="4:7" ht="18" customHeight="1">
      <c r="D76" s="40" t="s">
        <v>33</v>
      </c>
      <c r="E76" s="40" t="s">
        <v>138</v>
      </c>
      <c r="F76" s="4">
        <v>160</v>
      </c>
      <c r="G76" s="4" t="s">
        <v>167</v>
      </c>
    </row>
    <row r="78" ht="18" customHeight="1">
      <c r="A78" s="23" t="s">
        <v>34</v>
      </c>
    </row>
    <row r="80" ht="18" customHeight="1">
      <c r="A80" s="4" t="s">
        <v>139</v>
      </c>
    </row>
    <row r="81" ht="18" customHeight="1">
      <c r="A81" s="23" t="s">
        <v>35</v>
      </c>
    </row>
    <row r="82" spans="2:5" ht="18" customHeight="1">
      <c r="B82" s="23" t="s">
        <v>12</v>
      </c>
      <c r="C82" s="24" t="s">
        <v>270</v>
      </c>
      <c r="D82" s="42">
        <f>hl-tb/2</f>
        <v>5.25</v>
      </c>
      <c r="E82" s="4" t="s">
        <v>10</v>
      </c>
    </row>
    <row r="83" spans="2:5" ht="18" customHeight="1">
      <c r="B83" s="23" t="s">
        <v>8</v>
      </c>
      <c r="C83" s="24" t="s">
        <v>169</v>
      </c>
      <c r="D83" s="42">
        <f>hf-tb/2</f>
        <v>3.9299999999999997</v>
      </c>
      <c r="E83" s="4" t="s">
        <v>10</v>
      </c>
    </row>
    <row r="84" spans="2:5" ht="18" customHeight="1">
      <c r="B84" s="23" t="s">
        <v>13</v>
      </c>
      <c r="C84" s="24" t="s">
        <v>170</v>
      </c>
      <c r="D84" s="42">
        <f>b-(tf+tl)/2</f>
        <v>4.6</v>
      </c>
      <c r="E84" s="4" t="s">
        <v>10</v>
      </c>
    </row>
    <row r="85" spans="48:49" ht="18" customHeight="1">
      <c r="AV85" s="23" t="s">
        <v>62</v>
      </c>
      <c r="AW85" s="4">
        <v>20</v>
      </c>
    </row>
    <row r="86" ht="18" customHeight="1">
      <c r="A86" s="23" t="s">
        <v>36</v>
      </c>
    </row>
    <row r="87" ht="18" customHeight="1">
      <c r="AV87" s="23" t="s">
        <v>63</v>
      </c>
    </row>
    <row r="88" spans="2:50" ht="18" customHeight="1">
      <c r="B88" s="153" t="s">
        <v>37</v>
      </c>
      <c r="C88" s="43" t="s">
        <v>38</v>
      </c>
      <c r="D88" s="43" t="s">
        <v>16</v>
      </c>
      <c r="E88" s="43" t="s">
        <v>39</v>
      </c>
      <c r="F88" s="43" t="s">
        <v>40</v>
      </c>
      <c r="G88" s="44" t="s">
        <v>41</v>
      </c>
      <c r="AU88" s="23" t="s">
        <v>65</v>
      </c>
      <c r="AV88" s="23" t="s">
        <v>66</v>
      </c>
      <c r="AW88" s="23" t="s">
        <v>67</v>
      </c>
      <c r="AX88" s="23" t="s">
        <v>68</v>
      </c>
    </row>
    <row r="89" spans="2:47" ht="18" customHeight="1">
      <c r="B89" s="154"/>
      <c r="C89" s="45" t="s">
        <v>123</v>
      </c>
      <c r="D89" s="45" t="s">
        <v>124</v>
      </c>
      <c r="E89" s="45" t="s">
        <v>125</v>
      </c>
      <c r="F89" s="45" t="s">
        <v>105</v>
      </c>
      <c r="G89" s="45" t="s">
        <v>126</v>
      </c>
      <c r="AT89" s="4">
        <f>-lb/2</f>
        <v>-2.3</v>
      </c>
      <c r="AU89" s="4">
        <f>lf</f>
        <v>3.9299999999999997</v>
      </c>
    </row>
    <row r="90" spans="2:47" ht="18" customHeight="1">
      <c r="B90" s="9" t="s">
        <v>8</v>
      </c>
      <c r="C90" s="46">
        <f>D83</f>
        <v>3.9299999999999997</v>
      </c>
      <c r="D90" s="46">
        <f>tf</f>
        <v>0.4</v>
      </c>
      <c r="E90" s="46">
        <f>ROUND(C90*D90,3)</f>
        <v>1.572</v>
      </c>
      <c r="F90" s="46">
        <f>ROUND(-lb/2,3)</f>
        <v>-2.3</v>
      </c>
      <c r="G90" s="46">
        <f>ROUND(E90*F90,3)</f>
        <v>-3.616</v>
      </c>
      <c r="AT90" s="4">
        <f>AT89</f>
        <v>-2.3</v>
      </c>
      <c r="AU90" s="4">
        <v>0</v>
      </c>
    </row>
    <row r="91" spans="2:47" ht="18" customHeight="1">
      <c r="B91" s="9" t="s">
        <v>12</v>
      </c>
      <c r="C91" s="46">
        <f>D82</f>
        <v>5.25</v>
      </c>
      <c r="D91" s="46">
        <f>tl</f>
        <v>0.4</v>
      </c>
      <c r="E91" s="46">
        <f>ROUND(C91*D91,3)</f>
        <v>2.1</v>
      </c>
      <c r="F91" s="46">
        <f>ROUND(lb/2,3)</f>
        <v>2.3</v>
      </c>
      <c r="G91" s="46">
        <f>ROUND(E91*F91,3)</f>
        <v>4.83</v>
      </c>
      <c r="AT91" s="4">
        <f>lb/2</f>
        <v>2.3</v>
      </c>
      <c r="AU91" s="4">
        <v>0</v>
      </c>
    </row>
    <row r="92" spans="2:47" ht="18" customHeight="1">
      <c r="B92" s="10" t="s">
        <v>13</v>
      </c>
      <c r="C92" s="47">
        <f>D84</f>
        <v>4.6</v>
      </c>
      <c r="D92" s="47">
        <f>tb</f>
        <v>0.4</v>
      </c>
      <c r="E92" s="47">
        <f>ROUND(C92*D92,3)</f>
        <v>1.84</v>
      </c>
      <c r="F92" s="47">
        <v>0</v>
      </c>
      <c r="G92" s="47">
        <f>ROUND(E92*F92,3)</f>
        <v>0</v>
      </c>
      <c r="AT92" s="4">
        <f>AT91</f>
        <v>2.3</v>
      </c>
      <c r="AU92" s="4">
        <f>ll</f>
        <v>5.25</v>
      </c>
    </row>
    <row r="93" spans="2:48" ht="18" customHeight="1">
      <c r="B93" s="48" t="s">
        <v>42</v>
      </c>
      <c r="C93" s="49"/>
      <c r="D93" s="49"/>
      <c r="E93" s="49">
        <f>SUM(E90:E92)</f>
        <v>5.5120000000000005</v>
      </c>
      <c r="F93" s="49"/>
      <c r="G93" s="49">
        <f>SUM(G90:G92)</f>
        <v>1.214</v>
      </c>
      <c r="AT93" s="4">
        <f aca="true" t="shared" si="0" ref="AT93:AT103">-lb/2-F167/$AW$85</f>
        <v>-2.3</v>
      </c>
      <c r="AV93" s="4">
        <f aca="true" t="shared" si="1" ref="AV93:AV103">C167</f>
        <v>3.93</v>
      </c>
    </row>
    <row r="94" spans="46:48" ht="18" customHeight="1">
      <c r="AT94" s="4">
        <f t="shared" si="0"/>
        <v>-2.4585</v>
      </c>
      <c r="AV94" s="4">
        <f t="shared" si="1"/>
        <v>3.537</v>
      </c>
    </row>
    <row r="95" spans="2:48" ht="18" customHeight="1">
      <c r="B95" s="23" t="s">
        <v>43</v>
      </c>
      <c r="C95" s="24" t="s">
        <v>171</v>
      </c>
      <c r="D95" s="42">
        <f>ROUND(γc*E93,2)</f>
        <v>135.04</v>
      </c>
      <c r="E95" s="4" t="s">
        <v>44</v>
      </c>
      <c r="AT95" s="4">
        <f t="shared" si="0"/>
        <v>-2.6025</v>
      </c>
      <c r="AV95" s="4">
        <f t="shared" si="1"/>
        <v>3.144</v>
      </c>
    </row>
    <row r="96" spans="2:48" ht="18" customHeight="1">
      <c r="B96" s="23" t="s">
        <v>45</v>
      </c>
      <c r="C96" s="24" t="s">
        <v>172</v>
      </c>
      <c r="D96" s="6">
        <f>ROUND(G93/E93,3)</f>
        <v>0.22</v>
      </c>
      <c r="E96" s="4" t="s">
        <v>10</v>
      </c>
      <c r="AT96" s="4">
        <f t="shared" si="0"/>
        <v>-2.7325</v>
      </c>
      <c r="AV96" s="4">
        <f t="shared" si="1"/>
        <v>2.751</v>
      </c>
    </row>
    <row r="97" spans="46:48" ht="18" customHeight="1">
      <c r="AT97" s="4">
        <f t="shared" si="0"/>
        <v>-2.848</v>
      </c>
      <c r="AV97" s="4">
        <f t="shared" si="1"/>
        <v>2.358</v>
      </c>
    </row>
    <row r="98" spans="1:48" ht="18" customHeight="1">
      <c r="A98" s="23" t="s">
        <v>46</v>
      </c>
      <c r="AT98" s="4">
        <f t="shared" si="0"/>
        <v>-2.9494999999999996</v>
      </c>
      <c r="AV98" s="4">
        <f t="shared" si="1"/>
        <v>1.965</v>
      </c>
    </row>
    <row r="99" spans="2:48" ht="18" customHeight="1">
      <c r="B99" s="23" t="s">
        <v>140</v>
      </c>
      <c r="AT99" s="4">
        <f t="shared" si="0"/>
        <v>-3.0359999999999996</v>
      </c>
      <c r="AV99" s="4">
        <f t="shared" si="1"/>
        <v>1.572</v>
      </c>
    </row>
    <row r="100" spans="2:48" ht="18" customHeight="1">
      <c r="B100" s="23"/>
      <c r="AT100" s="4">
        <f t="shared" si="0"/>
        <v>-3.109</v>
      </c>
      <c r="AV100" s="4">
        <f t="shared" si="1"/>
        <v>1.179</v>
      </c>
    </row>
    <row r="101" spans="2:48" ht="18" customHeight="1">
      <c r="B101" s="23" t="s">
        <v>47</v>
      </c>
      <c r="F101" s="4">
        <f>ROUND(TAN((45-φ/2)*PI()/180)^2,3)</f>
        <v>0.333</v>
      </c>
      <c r="AT101" s="4">
        <f t="shared" si="0"/>
        <v>-3.167</v>
      </c>
      <c r="AV101" s="4">
        <f t="shared" si="1"/>
        <v>0.786</v>
      </c>
    </row>
    <row r="102" spans="2:48" ht="18" customHeight="1">
      <c r="B102" s="23"/>
      <c r="AT102" s="4">
        <f t="shared" si="0"/>
        <v>-3.211</v>
      </c>
      <c r="AV102" s="4">
        <f t="shared" si="1"/>
        <v>0.393</v>
      </c>
    </row>
    <row r="103" spans="2:48" ht="18" customHeight="1">
      <c r="B103" s="23" t="s">
        <v>48</v>
      </c>
      <c r="C103" s="23" t="s">
        <v>49</v>
      </c>
      <c r="E103" s="42">
        <f>ROUND(q*KA,2)</f>
        <v>0</v>
      </c>
      <c r="F103" s="4" t="s">
        <v>159</v>
      </c>
      <c r="AT103" s="4">
        <f t="shared" si="0"/>
        <v>-3.2405</v>
      </c>
      <c r="AV103" s="4">
        <f t="shared" si="1"/>
        <v>0</v>
      </c>
    </row>
    <row r="104" spans="3:48" ht="18" customHeight="1">
      <c r="C104" s="23" t="s">
        <v>50</v>
      </c>
      <c r="D104" s="35"/>
      <c r="F104" s="4">
        <f>ROUND((q+γ*ll)*KA,2)</f>
        <v>33.22</v>
      </c>
      <c r="G104" s="4" t="s">
        <v>159</v>
      </c>
      <c r="AT104" s="4">
        <f>AT93</f>
        <v>-2.3</v>
      </c>
      <c r="AV104" s="4">
        <v>0</v>
      </c>
    </row>
    <row r="105" spans="4:49" ht="18" customHeight="1">
      <c r="D105" s="35"/>
      <c r="AT105" s="4">
        <f>-lb/2</f>
        <v>-2.3</v>
      </c>
      <c r="AW105" s="4">
        <f>0</f>
        <v>0</v>
      </c>
    </row>
    <row r="106" spans="2:49" ht="18" customHeight="1">
      <c r="B106" s="23" t="s">
        <v>51</v>
      </c>
      <c r="D106" s="35"/>
      <c r="F106" s="4">
        <f>ROUND(1/2*γ*ll^2*KA*(1+2*q/γ/ll),2)</f>
        <v>87.19</v>
      </c>
      <c r="G106" s="4" t="s">
        <v>44</v>
      </c>
      <c r="AT106" s="4">
        <f>AT105</f>
        <v>-2.3</v>
      </c>
      <c r="AW106" s="4">
        <f>-F181/$AW$85</f>
        <v>-2.2600000000000002</v>
      </c>
    </row>
    <row r="107" spans="4:49" ht="18" customHeight="1">
      <c r="D107" s="35"/>
      <c r="AT107" s="4">
        <f>lb/2</f>
        <v>2.3</v>
      </c>
      <c r="AW107" s="4">
        <f>-F183/$AW$85</f>
        <v>-0.6745</v>
      </c>
    </row>
    <row r="108" spans="2:49" ht="18" customHeight="1">
      <c r="B108" s="23" t="s">
        <v>52</v>
      </c>
      <c r="D108" s="35"/>
      <c r="F108" s="4">
        <f>ROUND(ll/3*(3*q+γ*ll)/(2*q+γ*ll),3)</f>
        <v>1.75</v>
      </c>
      <c r="G108" s="4" t="s">
        <v>10</v>
      </c>
      <c r="AT108" s="4">
        <f>AT107</f>
        <v>2.3</v>
      </c>
      <c r="AW108" s="4">
        <f>0</f>
        <v>0</v>
      </c>
    </row>
    <row r="109" spans="46:50" ht="18" customHeight="1">
      <c r="AT109" s="4">
        <f>lb/2</f>
        <v>2.3</v>
      </c>
      <c r="AX109" s="4">
        <f>ll</f>
        <v>5.25</v>
      </c>
    </row>
    <row r="110" spans="1:50" ht="18" customHeight="1">
      <c r="A110" s="23" t="s">
        <v>53</v>
      </c>
      <c r="AT110" s="4">
        <f>AT109+E103/$AW$85</f>
        <v>2.3</v>
      </c>
      <c r="AX110" s="4">
        <f>ll</f>
        <v>5.25</v>
      </c>
    </row>
    <row r="111" spans="2:50" ht="18" customHeight="1">
      <c r="B111" s="29" t="s">
        <v>54</v>
      </c>
      <c r="C111" s="24" t="s">
        <v>173</v>
      </c>
      <c r="D111" s="42">
        <f>D95</f>
        <v>135.04</v>
      </c>
      <c r="E111" s="4" t="s">
        <v>44</v>
      </c>
      <c r="AT111" s="4">
        <f>AT110+F104/$AW$85</f>
        <v>3.961</v>
      </c>
      <c r="AX111" s="4">
        <v>0</v>
      </c>
    </row>
    <row r="112" spans="2:50" ht="18" customHeight="1">
      <c r="B112" s="29" t="s">
        <v>55</v>
      </c>
      <c r="C112" s="24" t="s">
        <v>174</v>
      </c>
      <c r="D112" s="4">
        <f>ROUND(F106,2)</f>
        <v>87.19</v>
      </c>
      <c r="E112" s="4" t="s">
        <v>44</v>
      </c>
      <c r="AT112" s="4">
        <f>AT109</f>
        <v>2.3</v>
      </c>
      <c r="AX112" s="4">
        <v>0</v>
      </c>
    </row>
    <row r="113" spans="2:6" ht="18" customHeight="1">
      <c r="B113" s="29" t="s">
        <v>41</v>
      </c>
      <c r="D113" s="35"/>
      <c r="E113" s="4">
        <f>ROUND(F106*F108-D95*D96,2)</f>
        <v>122.87</v>
      </c>
      <c r="F113" s="4" t="s">
        <v>141</v>
      </c>
    </row>
    <row r="114" spans="2:4" ht="18" customHeight="1">
      <c r="B114" s="35"/>
      <c r="D114" s="35"/>
    </row>
    <row r="115" spans="1:49" ht="18" customHeight="1">
      <c r="A115" s="23" t="s">
        <v>56</v>
      </c>
      <c r="B115" s="35"/>
      <c r="D115" s="35"/>
      <c r="AV115" s="23" t="s">
        <v>62</v>
      </c>
      <c r="AW115" s="4">
        <v>20</v>
      </c>
    </row>
    <row r="116" spans="2:54" ht="18" customHeight="1">
      <c r="B116" s="35"/>
      <c r="D116" s="35"/>
      <c r="AV116" s="23" t="s">
        <v>75</v>
      </c>
      <c r="BB116" s="23" t="s">
        <v>76</v>
      </c>
    </row>
    <row r="117" spans="1:56" ht="18" customHeight="1">
      <c r="A117" s="23" t="s">
        <v>175</v>
      </c>
      <c r="B117" s="35"/>
      <c r="D117" s="35"/>
      <c r="AU117" s="4" t="str">
        <f>AU88</f>
        <v>擁壁骨組</v>
      </c>
      <c r="AV117" s="23" t="s">
        <v>8</v>
      </c>
      <c r="AW117" s="4" t="str">
        <f>AW88</f>
        <v>底面</v>
      </c>
      <c r="AX117" s="23" t="s">
        <v>12</v>
      </c>
      <c r="BA117" s="4" t="str">
        <f>AU117</f>
        <v>擁壁骨組</v>
      </c>
      <c r="BB117" s="4" t="str">
        <f>AV117</f>
        <v>前壁</v>
      </c>
      <c r="BC117" s="4" t="str">
        <f>AW117</f>
        <v>底面</v>
      </c>
      <c r="BD117" s="4" t="str">
        <f>AX117</f>
        <v>後壁</v>
      </c>
    </row>
    <row r="118" spans="2:53" ht="18" customHeight="1">
      <c r="B118" s="35"/>
      <c r="D118" s="35"/>
      <c r="AT118" s="4">
        <f>AT89</f>
        <v>-2.3</v>
      </c>
      <c r="AU118" s="4">
        <f>AU89</f>
        <v>3.9299999999999997</v>
      </c>
      <c r="AZ118" s="4">
        <f aca="true" t="shared" si="2" ref="AZ118:BA121">AT118</f>
        <v>-2.3</v>
      </c>
      <c r="BA118" s="4">
        <f t="shared" si="2"/>
        <v>3.9299999999999997</v>
      </c>
    </row>
    <row r="119" spans="2:53" ht="18" customHeight="1">
      <c r="B119" s="35"/>
      <c r="D119" s="35"/>
      <c r="AT119" s="4">
        <f>AT90</f>
        <v>-2.3</v>
      </c>
      <c r="AU119" s="4">
        <f>AU90</f>
        <v>0</v>
      </c>
      <c r="AZ119" s="4">
        <f t="shared" si="2"/>
        <v>-2.3</v>
      </c>
      <c r="BA119" s="4">
        <f t="shared" si="2"/>
        <v>0</v>
      </c>
    </row>
    <row r="120" spans="2:53" ht="18" customHeight="1">
      <c r="B120" s="35"/>
      <c r="D120" s="35"/>
      <c r="AT120" s="4">
        <f>AT91</f>
        <v>2.3</v>
      </c>
      <c r="AU120" s="4">
        <f>AU91</f>
        <v>0</v>
      </c>
      <c r="AZ120" s="4">
        <f t="shared" si="2"/>
        <v>2.3</v>
      </c>
      <c r="BA120" s="4">
        <f t="shared" si="2"/>
        <v>0</v>
      </c>
    </row>
    <row r="121" spans="2:53" ht="18" customHeight="1">
      <c r="B121" s="35"/>
      <c r="D121" s="35"/>
      <c r="AT121" s="4">
        <f>AT92</f>
        <v>2.3</v>
      </c>
      <c r="AU121" s="4">
        <f>AU92</f>
        <v>5.25</v>
      </c>
      <c r="AZ121" s="4">
        <f t="shared" si="2"/>
        <v>2.3</v>
      </c>
      <c r="BA121" s="4">
        <f t="shared" si="2"/>
        <v>5.25</v>
      </c>
    </row>
    <row r="122" spans="2:54" ht="18" customHeight="1">
      <c r="B122" s="35"/>
      <c r="D122" s="35"/>
      <c r="AT122" s="4">
        <f aca="true" t="shared" si="3" ref="AT122:AT132">-lb/2+F257/$AW$115</f>
        <v>-2.3</v>
      </c>
      <c r="AV122" s="6">
        <f aca="true" t="shared" si="4" ref="AV122:AV132">C257</f>
        <v>3.9299999999999997</v>
      </c>
      <c r="AZ122" s="4">
        <f aca="true" t="shared" si="5" ref="AZ122:AZ132">-lb/2+E257/$AW$115</f>
        <v>-2.3</v>
      </c>
      <c r="BB122" s="6">
        <f aca="true" t="shared" si="6" ref="BB122:BB133">AV122</f>
        <v>3.9299999999999997</v>
      </c>
    </row>
    <row r="123" spans="2:54" ht="18" customHeight="1">
      <c r="B123" s="35"/>
      <c r="D123" s="35"/>
      <c r="AT123" s="4">
        <f t="shared" si="3"/>
        <v>-2.416</v>
      </c>
      <c r="AV123" s="6">
        <f t="shared" si="4"/>
        <v>3.537</v>
      </c>
      <c r="AZ123" s="4">
        <f t="shared" si="5"/>
        <v>-2.3314999999999997</v>
      </c>
      <c r="BB123" s="6">
        <f t="shared" si="6"/>
        <v>3.537</v>
      </c>
    </row>
    <row r="124" spans="2:54" ht="18" customHeight="1">
      <c r="B124" s="35"/>
      <c r="D124" s="35"/>
      <c r="AS124" s="6"/>
      <c r="AT124" s="4">
        <f t="shared" si="3"/>
        <v>-2.719</v>
      </c>
      <c r="AV124" s="6">
        <f t="shared" si="4"/>
        <v>3.144</v>
      </c>
      <c r="AZ124" s="4">
        <f t="shared" si="5"/>
        <v>-2.423</v>
      </c>
      <c r="BB124" s="6">
        <f t="shared" si="6"/>
        <v>3.144</v>
      </c>
    </row>
    <row r="125" spans="2:54" ht="18" customHeight="1">
      <c r="B125" s="35"/>
      <c r="D125" s="35"/>
      <c r="AR125" s="6"/>
      <c r="AS125" s="6"/>
      <c r="AT125" s="4">
        <f t="shared" si="3"/>
        <v>-3.1449999999999996</v>
      </c>
      <c r="AV125" s="6">
        <f t="shared" si="4"/>
        <v>2.751</v>
      </c>
      <c r="AZ125" s="4">
        <f t="shared" si="5"/>
        <v>-2.5679999999999996</v>
      </c>
      <c r="BB125" s="6">
        <f t="shared" si="6"/>
        <v>2.751</v>
      </c>
    </row>
    <row r="126" spans="2:54" ht="18" customHeight="1">
      <c r="B126" s="35"/>
      <c r="D126" s="35"/>
      <c r="AR126" s="6"/>
      <c r="AS126" s="6"/>
      <c r="AT126" s="4">
        <f t="shared" si="3"/>
        <v>-3.6374999999999997</v>
      </c>
      <c r="AV126" s="6">
        <f t="shared" si="4"/>
        <v>2.358</v>
      </c>
      <c r="AZ126" s="4">
        <f t="shared" si="5"/>
        <v>-2.7615</v>
      </c>
      <c r="BB126" s="6">
        <f t="shared" si="6"/>
        <v>2.358</v>
      </c>
    </row>
    <row r="127" spans="2:54" ht="18" customHeight="1">
      <c r="B127" s="35"/>
      <c r="D127" s="35"/>
      <c r="AR127" s="6"/>
      <c r="AS127" s="8"/>
      <c r="AT127" s="4">
        <f t="shared" si="3"/>
        <v>-4.1465</v>
      </c>
      <c r="AV127" s="6">
        <f t="shared" si="4"/>
        <v>1.965</v>
      </c>
      <c r="AZ127" s="4">
        <f t="shared" si="5"/>
        <v>-2.9974999999999996</v>
      </c>
      <c r="BB127" s="6">
        <f t="shared" si="6"/>
        <v>1.965</v>
      </c>
    </row>
    <row r="128" spans="44:54" ht="18" customHeight="1">
      <c r="AR128" s="8"/>
      <c r="AT128" s="4">
        <f t="shared" si="3"/>
        <v>-4.628</v>
      </c>
      <c r="AV128" s="6">
        <f t="shared" si="4"/>
        <v>1.572</v>
      </c>
      <c r="AZ128" s="4">
        <f t="shared" si="5"/>
        <v>-3.2704999999999997</v>
      </c>
      <c r="BB128" s="6">
        <f t="shared" si="6"/>
        <v>1.572</v>
      </c>
    </row>
    <row r="129" spans="46:54" ht="18" customHeight="1">
      <c r="AT129" s="4">
        <f t="shared" si="3"/>
        <v>-5.045999999999999</v>
      </c>
      <c r="AV129" s="6">
        <f t="shared" si="4"/>
        <v>1.179</v>
      </c>
      <c r="AZ129" s="4">
        <f t="shared" si="5"/>
        <v>-3.5744999999999996</v>
      </c>
      <c r="BB129" s="6">
        <f t="shared" si="6"/>
        <v>1.179</v>
      </c>
    </row>
    <row r="130" spans="46:54" ht="18" customHeight="1">
      <c r="AT130" s="4">
        <f t="shared" si="3"/>
        <v>-5.369</v>
      </c>
      <c r="AV130" s="6">
        <f t="shared" si="4"/>
        <v>0.786</v>
      </c>
      <c r="AZ130" s="4">
        <f t="shared" si="5"/>
        <v>-3.9045</v>
      </c>
      <c r="BB130" s="6">
        <f t="shared" si="6"/>
        <v>0.786</v>
      </c>
    </row>
    <row r="131" spans="1:54" ht="18" customHeight="1">
      <c r="A131" s="23" t="s">
        <v>176</v>
      </c>
      <c r="AT131" s="4">
        <f t="shared" si="3"/>
        <v>-5.574999999999999</v>
      </c>
      <c r="AV131" s="6">
        <f t="shared" si="4"/>
        <v>0.393</v>
      </c>
      <c r="AZ131" s="4">
        <f t="shared" si="5"/>
        <v>-4.2545</v>
      </c>
      <c r="BB131" s="6">
        <f t="shared" si="6"/>
        <v>0.393</v>
      </c>
    </row>
    <row r="132" spans="2:54" ht="18" customHeight="1">
      <c r="B132" s="23" t="s">
        <v>57</v>
      </c>
      <c r="E132" s="24"/>
      <c r="AS132" s="12"/>
      <c r="AT132" s="4">
        <f t="shared" si="3"/>
        <v>-5.646</v>
      </c>
      <c r="AV132" s="6">
        <f t="shared" si="4"/>
        <v>0</v>
      </c>
      <c r="AZ132" s="4">
        <f t="shared" si="5"/>
        <v>-4.619</v>
      </c>
      <c r="BB132" s="6">
        <f t="shared" si="6"/>
        <v>0</v>
      </c>
    </row>
    <row r="133" spans="2:54" ht="18" customHeight="1">
      <c r="B133" s="23"/>
      <c r="D133" s="29" t="s">
        <v>58</v>
      </c>
      <c r="E133" s="24"/>
      <c r="H133" s="4">
        <f>ROUND(3783*Nb*(lb*L)^-0.375,0)</f>
        <v>18002</v>
      </c>
      <c r="I133" s="4" t="s">
        <v>147</v>
      </c>
      <c r="AR133" s="11"/>
      <c r="AS133" s="12"/>
      <c r="AT133" s="4">
        <f>-lb/2</f>
        <v>-2.3</v>
      </c>
      <c r="AV133" s="6">
        <v>0</v>
      </c>
      <c r="AZ133" s="4" t="e">
        <f>-lb/2+#REF!/$AW$115</f>
        <v>#REF!</v>
      </c>
      <c r="BB133" s="6">
        <f t="shared" si="6"/>
        <v>0</v>
      </c>
    </row>
    <row r="134" spans="2:55" ht="18" customHeight="1">
      <c r="B134" s="23"/>
      <c r="D134" s="29"/>
      <c r="E134" s="24"/>
      <c r="AR134" s="11"/>
      <c r="AS134" s="12"/>
      <c r="AT134" s="4">
        <f>lb/2</f>
        <v>2.3</v>
      </c>
      <c r="AV134" s="6"/>
      <c r="AW134" s="4">
        <v>0</v>
      </c>
      <c r="AZ134" s="4">
        <f aca="true" t="shared" si="7" ref="AZ134:AZ146">AT134</f>
        <v>2.3</v>
      </c>
      <c r="BC134" s="4">
        <f>AW134</f>
        <v>0</v>
      </c>
    </row>
    <row r="135" spans="2:55" ht="18" customHeight="1">
      <c r="B135" s="23"/>
      <c r="D135" s="29" t="s">
        <v>59</v>
      </c>
      <c r="E135" s="24"/>
      <c r="F135" s="4">
        <f>ROUND(H133/4,0)</f>
        <v>4501</v>
      </c>
      <c r="G135" s="4" t="s">
        <v>147</v>
      </c>
      <c r="AR135" s="11"/>
      <c r="AT135" s="13">
        <f aca="true" t="shared" si="8" ref="AT135:AT145">lb/2-C302</f>
        <v>2.3</v>
      </c>
      <c r="AW135" s="4">
        <f aca="true" t="shared" si="9" ref="AW135:AW145">F302/$AW$115</f>
        <v>-7.6295</v>
      </c>
      <c r="AZ135" s="4">
        <f t="shared" si="7"/>
        <v>2.3</v>
      </c>
      <c r="BC135" s="4">
        <f aca="true" t="shared" si="10" ref="BC135:BC145">E302/$AW$115</f>
        <v>2.5725000000000002</v>
      </c>
    </row>
    <row r="136" spans="2:55" ht="18" customHeight="1">
      <c r="B136" s="23"/>
      <c r="D136" s="29"/>
      <c r="E136" s="24"/>
      <c r="AT136" s="13">
        <f t="shared" si="8"/>
        <v>1.8399999999999999</v>
      </c>
      <c r="AV136" s="6"/>
      <c r="AW136" s="4">
        <f t="shared" si="9"/>
        <v>-6.471500000000001</v>
      </c>
      <c r="AZ136" s="4">
        <f t="shared" si="7"/>
        <v>1.8399999999999999</v>
      </c>
      <c r="BC136" s="4">
        <f t="shared" si="10"/>
        <v>2.451</v>
      </c>
    </row>
    <row r="137" spans="2:55" ht="18" customHeight="1">
      <c r="B137" s="29" t="s">
        <v>60</v>
      </c>
      <c r="D137" s="35"/>
      <c r="E137" s="24"/>
      <c r="AT137" s="13">
        <f t="shared" si="8"/>
        <v>1.38</v>
      </c>
      <c r="AV137" s="6"/>
      <c r="AW137" s="4">
        <f t="shared" si="9"/>
        <v>-5.3854999999999995</v>
      </c>
      <c r="AZ137" s="4">
        <f t="shared" si="7"/>
        <v>1.38</v>
      </c>
      <c r="BC137" s="4">
        <f t="shared" si="10"/>
        <v>2.257</v>
      </c>
    </row>
    <row r="138" spans="4:55" ht="18" customHeight="1">
      <c r="D138" s="29" t="s">
        <v>61</v>
      </c>
      <c r="E138" s="24"/>
      <c r="H138" s="4">
        <f>ROUND(3783*N*(lf*10)^-0.375,0)</f>
        <v>9549</v>
      </c>
      <c r="I138" s="4" t="s">
        <v>147</v>
      </c>
      <c r="AT138" s="13">
        <f t="shared" si="8"/>
        <v>0.9199999999999999</v>
      </c>
      <c r="AW138" s="4">
        <f t="shared" si="9"/>
        <v>-4.406000000000001</v>
      </c>
      <c r="AZ138" s="4">
        <f t="shared" si="7"/>
        <v>0.9199999999999999</v>
      </c>
      <c r="BC138" s="4">
        <f t="shared" si="10"/>
        <v>1.9895</v>
      </c>
    </row>
    <row r="139" spans="2:55" ht="18" customHeight="1">
      <c r="B139" s="35"/>
      <c r="E139" s="35"/>
      <c r="AT139" s="13">
        <f t="shared" si="8"/>
        <v>0.45999999999999974</v>
      </c>
      <c r="AW139" s="4">
        <f t="shared" si="9"/>
        <v>-3.5665</v>
      </c>
      <c r="AZ139" s="4">
        <f t="shared" si="7"/>
        <v>0.45999999999999974</v>
      </c>
      <c r="BC139" s="4">
        <f t="shared" si="10"/>
        <v>1.6495000000000002</v>
      </c>
    </row>
    <row r="140" spans="1:55" ht="18" customHeight="1">
      <c r="A140" s="23" t="s">
        <v>177</v>
      </c>
      <c r="J140" s="35"/>
      <c r="AT140" s="13">
        <f t="shared" si="8"/>
        <v>0</v>
      </c>
      <c r="AW140" s="4">
        <f t="shared" si="9"/>
        <v>-2.8995</v>
      </c>
      <c r="AZ140" s="4">
        <f t="shared" si="7"/>
        <v>0</v>
      </c>
      <c r="BC140" s="4">
        <f t="shared" si="10"/>
        <v>1.2365</v>
      </c>
    </row>
    <row r="141" spans="10:55" ht="18" customHeight="1">
      <c r="J141" s="35"/>
      <c r="AT141" s="13">
        <f t="shared" si="8"/>
        <v>-0.45999999999999996</v>
      </c>
      <c r="AW141" s="4">
        <f t="shared" si="9"/>
        <v>-2.44</v>
      </c>
      <c r="AZ141" s="4">
        <f t="shared" si="7"/>
        <v>-0.45999999999999996</v>
      </c>
      <c r="BC141" s="4">
        <f t="shared" si="10"/>
        <v>0.7505</v>
      </c>
    </row>
    <row r="142" spans="4:55" ht="18" customHeight="1">
      <c r="D142" s="134" t="s">
        <v>253</v>
      </c>
      <c r="E142" s="4">
        <f>ROUND(1/2*H138*lf+F135*lb,0)</f>
        <v>39468</v>
      </c>
      <c r="F142" s="4" t="s">
        <v>159</v>
      </c>
      <c r="J142" s="35"/>
      <c r="AT142" s="13">
        <f t="shared" si="8"/>
        <v>-0.9200000000000004</v>
      </c>
      <c r="AW142" s="4">
        <f t="shared" si="9"/>
        <v>-2.2205</v>
      </c>
      <c r="AZ142" s="4">
        <f t="shared" si="7"/>
        <v>-0.9200000000000004</v>
      </c>
      <c r="BC142" s="4">
        <f t="shared" si="10"/>
        <v>0.1915</v>
      </c>
    </row>
    <row r="143" spans="10:55" ht="18" customHeight="1">
      <c r="J143" s="35"/>
      <c r="AT143" s="13">
        <f t="shared" si="8"/>
        <v>-1.3800000000000003</v>
      </c>
      <c r="AW143" s="4">
        <f t="shared" si="9"/>
        <v>-2.275</v>
      </c>
      <c r="AZ143" s="4">
        <f t="shared" si="7"/>
        <v>-1.3800000000000003</v>
      </c>
      <c r="BC143" s="4">
        <f t="shared" si="10"/>
        <v>-0.4405</v>
      </c>
    </row>
    <row r="144" spans="4:55" ht="18" customHeight="1">
      <c r="D144" s="134" t="s">
        <v>253</v>
      </c>
      <c r="E144" s="4">
        <f>ROUND(1/6*H138*lf^2,0)</f>
        <v>24581</v>
      </c>
      <c r="F144" s="4" t="s">
        <v>44</v>
      </c>
      <c r="J144" s="35"/>
      <c r="AT144" s="13">
        <f t="shared" si="8"/>
        <v>-1.8399999999999999</v>
      </c>
      <c r="AW144" s="4">
        <f t="shared" si="9"/>
        <v>-2.6365</v>
      </c>
      <c r="AZ144" s="4">
        <f t="shared" si="7"/>
        <v>-1.8399999999999999</v>
      </c>
      <c r="BC144" s="4">
        <f t="shared" si="10"/>
        <v>-1.145</v>
      </c>
    </row>
    <row r="145" spans="10:55" ht="18" customHeight="1">
      <c r="J145" s="35"/>
      <c r="AT145" s="13">
        <f t="shared" si="8"/>
        <v>-2.3</v>
      </c>
      <c r="AW145" s="4">
        <f t="shared" si="9"/>
        <v>-3.3395</v>
      </c>
      <c r="AZ145" s="4">
        <f t="shared" si="7"/>
        <v>-2.3</v>
      </c>
      <c r="BC145" s="4">
        <f t="shared" si="10"/>
        <v>-1.923</v>
      </c>
    </row>
    <row r="146" spans="4:55" ht="18" customHeight="1">
      <c r="D146" s="134" t="s">
        <v>253</v>
      </c>
      <c r="E146" s="4">
        <f>ROUND(1/12*(H138*lf^3+H133*lb^3),0)</f>
        <v>194321</v>
      </c>
      <c r="F146" s="4" t="s">
        <v>64</v>
      </c>
      <c r="J146" s="35"/>
      <c r="AT146" s="13">
        <f>-lb/2</f>
        <v>-2.3</v>
      </c>
      <c r="AW146" s="4">
        <v>0</v>
      </c>
      <c r="AZ146" s="4">
        <f t="shared" si="7"/>
        <v>-2.3</v>
      </c>
      <c r="BC146" s="4" t="e">
        <f>#REF!/$AW$115</f>
        <v>#REF!</v>
      </c>
    </row>
    <row r="147" spans="10:56" ht="18" customHeight="1">
      <c r="J147" s="35"/>
      <c r="AT147" s="13">
        <f aca="true" t="shared" si="11" ref="AT147:AT157">lb/2-F280/$AW$115</f>
        <v>2.3</v>
      </c>
      <c r="AX147" s="4">
        <f aca="true" t="shared" si="12" ref="AX147:AX157">ll-B280</f>
        <v>5.25</v>
      </c>
      <c r="AZ147" s="4">
        <f aca="true" t="shared" si="13" ref="AZ147:AZ157">lb/2-E280/$AW$115</f>
        <v>2.3</v>
      </c>
      <c r="BD147" s="4">
        <f aca="true" t="shared" si="14" ref="BD147:BD158">AX147</f>
        <v>5.25</v>
      </c>
    </row>
    <row r="148" spans="46:56" ht="18" customHeight="1">
      <c r="AT148" s="13">
        <f t="shared" si="11"/>
        <v>2.3074999999999997</v>
      </c>
      <c r="AX148" s="4">
        <f t="shared" si="12"/>
        <v>4.725</v>
      </c>
      <c r="AZ148" s="4">
        <f t="shared" si="13"/>
        <v>2.3434999999999997</v>
      </c>
      <c r="BD148" s="4">
        <f t="shared" si="14"/>
        <v>4.725</v>
      </c>
    </row>
    <row r="149" spans="1:56" ht="18" customHeight="1">
      <c r="A149" s="23" t="s">
        <v>178</v>
      </c>
      <c r="AT149" s="13">
        <f t="shared" si="11"/>
        <v>2.3609999999999998</v>
      </c>
      <c r="AX149" s="4">
        <f t="shared" si="12"/>
        <v>4.2</v>
      </c>
      <c r="AZ149" s="4">
        <f t="shared" si="13"/>
        <v>2.4745</v>
      </c>
      <c r="BD149" s="4">
        <f t="shared" si="14"/>
        <v>4.2</v>
      </c>
    </row>
    <row r="150" spans="6:56" ht="18" customHeight="1">
      <c r="F150" s="35"/>
      <c r="AT150" s="13">
        <f t="shared" si="11"/>
        <v>2.506</v>
      </c>
      <c r="AX150" s="4">
        <f t="shared" si="12"/>
        <v>3.675</v>
      </c>
      <c r="AZ150" s="4">
        <f t="shared" si="13"/>
        <v>2.6925</v>
      </c>
      <c r="BD150" s="4">
        <f t="shared" si="14"/>
        <v>3.675</v>
      </c>
    </row>
    <row r="151" spans="2:56" ht="18" customHeight="1">
      <c r="B151" s="26" t="s">
        <v>183</v>
      </c>
      <c r="F151" s="4">
        <f>ROUND((D112*E146-E113*E144)/(E142*E146-E144^2),5)</f>
        <v>0.00197</v>
      </c>
      <c r="G151" s="4" t="s">
        <v>10</v>
      </c>
      <c r="AT151" s="13">
        <f t="shared" si="11"/>
        <v>2.7885</v>
      </c>
      <c r="AX151" s="4">
        <f t="shared" si="12"/>
        <v>3.15</v>
      </c>
      <c r="AZ151" s="4">
        <f t="shared" si="13"/>
        <v>2.9974999999999996</v>
      </c>
      <c r="BD151" s="4">
        <f t="shared" si="14"/>
        <v>3.15</v>
      </c>
    </row>
    <row r="152" spans="6:56" ht="18" customHeight="1">
      <c r="F152" s="29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T152" s="13">
        <f t="shared" si="11"/>
        <v>3.2535</v>
      </c>
      <c r="AX152" s="4">
        <f t="shared" si="12"/>
        <v>2.625</v>
      </c>
      <c r="AZ152" s="4">
        <f t="shared" si="13"/>
        <v>3.3899999999999997</v>
      </c>
      <c r="BD152" s="4">
        <f t="shared" si="14"/>
        <v>2.625</v>
      </c>
    </row>
    <row r="153" spans="2:56" ht="18" customHeight="1">
      <c r="B153" s="29" t="s">
        <v>184</v>
      </c>
      <c r="E153" s="4">
        <f>ROUND(D111/H133/lb,5)</f>
        <v>0.00163</v>
      </c>
      <c r="F153" s="4" t="s">
        <v>10</v>
      </c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T153" s="13">
        <f t="shared" si="11"/>
        <v>3.948</v>
      </c>
      <c r="AX153" s="4">
        <f t="shared" si="12"/>
        <v>2.1</v>
      </c>
      <c r="AZ153" s="4">
        <f t="shared" si="13"/>
        <v>3.8695</v>
      </c>
      <c r="BD153" s="4">
        <f t="shared" si="14"/>
        <v>2.1</v>
      </c>
    </row>
    <row r="154" spans="2:56" ht="18" customHeight="1">
      <c r="B154" s="29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T154" s="13">
        <f t="shared" si="11"/>
        <v>4.917</v>
      </c>
      <c r="AX154" s="4">
        <f t="shared" si="12"/>
        <v>1.5750000000000002</v>
      </c>
      <c r="AZ154" s="4">
        <f t="shared" si="13"/>
        <v>4.4365</v>
      </c>
      <c r="BD154" s="4">
        <f t="shared" si="14"/>
        <v>1.5750000000000002</v>
      </c>
    </row>
    <row r="155" spans="2:56" ht="18" customHeight="1">
      <c r="B155" s="29" t="s">
        <v>185</v>
      </c>
      <c r="F155" s="4">
        <f>ROUND(($E$113*$E$142-$D$112*$E$144)/($E$142*$E$146-$E$144^2),6)</f>
        <v>0.000383</v>
      </c>
      <c r="G155" s="4" t="s">
        <v>69</v>
      </c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T155" s="13">
        <f t="shared" si="11"/>
        <v>6.2065</v>
      </c>
      <c r="AX155" s="4">
        <f t="shared" si="12"/>
        <v>1.0499999999999998</v>
      </c>
      <c r="AZ155" s="4">
        <f t="shared" si="13"/>
        <v>5.09</v>
      </c>
      <c r="BD155" s="4">
        <f t="shared" si="14"/>
        <v>1.0499999999999998</v>
      </c>
    </row>
    <row r="156" spans="2:56" ht="18" customHeight="1">
      <c r="B156" s="29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T156" s="13">
        <f t="shared" si="11"/>
        <v>7.861999999999999</v>
      </c>
      <c r="AX156" s="4">
        <f t="shared" si="12"/>
        <v>0.5250000000000004</v>
      </c>
      <c r="AZ156" s="4">
        <f t="shared" si="13"/>
        <v>5.8315</v>
      </c>
      <c r="BD156" s="4">
        <f t="shared" si="14"/>
        <v>0.5250000000000004</v>
      </c>
    </row>
    <row r="157" spans="1:56" ht="18" customHeight="1">
      <c r="A157" s="23" t="s">
        <v>179</v>
      </c>
      <c r="B157" s="29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50"/>
      <c r="AT157" s="13">
        <f t="shared" si="11"/>
        <v>9.9295</v>
      </c>
      <c r="AX157" s="4">
        <f t="shared" si="12"/>
        <v>0</v>
      </c>
      <c r="AZ157" s="4">
        <f t="shared" si="13"/>
        <v>6.6594999999999995</v>
      </c>
      <c r="BD157" s="4">
        <f t="shared" si="14"/>
        <v>0</v>
      </c>
    </row>
    <row r="158" spans="2:56" ht="18" customHeight="1">
      <c r="B158" s="51" t="s">
        <v>186</v>
      </c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T158" s="4">
        <f>lb/2</f>
        <v>2.3</v>
      </c>
      <c r="AX158" s="4">
        <v>0</v>
      </c>
      <c r="AZ158" s="4" t="e">
        <f>lb/2-#REF!/$AW$115</f>
        <v>#REF!</v>
      </c>
      <c r="BD158" s="4">
        <f t="shared" si="14"/>
        <v>0</v>
      </c>
    </row>
    <row r="159" spans="2:43" ht="18" customHeight="1">
      <c r="B159" s="51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</row>
    <row r="160" spans="2:43" ht="18" customHeight="1">
      <c r="B160" s="51"/>
      <c r="C160" s="26" t="s">
        <v>187</v>
      </c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</row>
    <row r="161" spans="2:43" ht="18" customHeight="1">
      <c r="B161" s="51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</row>
    <row r="162" spans="2:44" ht="18" customHeight="1">
      <c r="B162" s="51"/>
      <c r="C162" s="26" t="s">
        <v>188</v>
      </c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4" t="s">
        <v>98</v>
      </c>
    </row>
    <row r="163" spans="2:44" ht="18" customHeight="1">
      <c r="B163" s="51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4">
        <f aca="true" t="shared" si="15" ref="AR163:AR173">qvl-(qvl-qvf)/lb*C302</f>
        <v>13.49</v>
      </c>
    </row>
    <row r="164" spans="2:44" ht="18" customHeight="1">
      <c r="B164" s="51"/>
      <c r="C164" s="26" t="s">
        <v>189</v>
      </c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4">
        <f t="shared" si="15"/>
        <v>16.661</v>
      </c>
    </row>
    <row r="165" spans="2:44" ht="18" customHeight="1">
      <c r="B165" s="51"/>
      <c r="K165" s="35"/>
      <c r="L165" s="35"/>
      <c r="M165" s="35"/>
      <c r="N165" s="35"/>
      <c r="AQ165" s="35"/>
      <c r="AR165" s="4">
        <f t="shared" si="15"/>
        <v>19.832</v>
      </c>
    </row>
    <row r="166" spans="3:44" ht="18" customHeight="1">
      <c r="C166" s="107" t="s">
        <v>96</v>
      </c>
      <c r="D166" s="108" t="s">
        <v>127</v>
      </c>
      <c r="E166" s="109" t="s">
        <v>128</v>
      </c>
      <c r="F166" s="108" t="s">
        <v>129</v>
      </c>
      <c r="G166" s="110" t="s">
        <v>72</v>
      </c>
      <c r="K166" s="35"/>
      <c r="L166" s="35"/>
      <c r="M166" s="35"/>
      <c r="N166" s="35"/>
      <c r="AR166" s="4">
        <f t="shared" si="15"/>
        <v>23.003</v>
      </c>
    </row>
    <row r="167" spans="3:44" ht="18" customHeight="1">
      <c r="C167" s="111">
        <f>ROUND(lf,3)</f>
        <v>3.93</v>
      </c>
      <c r="D167" s="112">
        <f aca="true" t="shared" si="16" ref="D167:D177">ROUND($H$138/lf*(lf-C167),0)</f>
        <v>0</v>
      </c>
      <c r="E167" s="113">
        <f aca="true" t="shared" si="17" ref="E167:E177">ROUND(($F$151+$F$155*C167),5)</f>
        <v>0.00348</v>
      </c>
      <c r="F167" s="114">
        <f>ROUND(D167*E167,2)</f>
        <v>0</v>
      </c>
      <c r="G167" s="115" t="s">
        <v>73</v>
      </c>
      <c r="K167" s="35"/>
      <c r="L167" s="35"/>
      <c r="M167" s="35"/>
      <c r="AR167" s="4">
        <f t="shared" si="15"/>
        <v>26.174</v>
      </c>
    </row>
    <row r="168" spans="3:44" ht="18" customHeight="1">
      <c r="C168" s="111">
        <f aca="true" t="shared" si="18" ref="C168:C177">ROUND(C167-lf/10,3)</f>
        <v>3.537</v>
      </c>
      <c r="D168" s="112">
        <f t="shared" si="16"/>
        <v>955</v>
      </c>
      <c r="E168" s="113">
        <f t="shared" si="17"/>
        <v>0.00332</v>
      </c>
      <c r="F168" s="114">
        <f aca="true" t="shared" si="19" ref="F168:F177">ROUND(D168*E168,2)</f>
        <v>3.17</v>
      </c>
      <c r="G168" s="116"/>
      <c r="AR168" s="4">
        <f t="shared" si="15"/>
        <v>29.345</v>
      </c>
    </row>
    <row r="169" spans="3:44" ht="18" customHeight="1">
      <c r="C169" s="111">
        <f t="shared" si="18"/>
        <v>3.144</v>
      </c>
      <c r="D169" s="112">
        <f t="shared" si="16"/>
        <v>1910</v>
      </c>
      <c r="E169" s="113">
        <f t="shared" si="17"/>
        <v>0.00317</v>
      </c>
      <c r="F169" s="114">
        <f t="shared" si="19"/>
        <v>6.05</v>
      </c>
      <c r="G169" s="116"/>
      <c r="AR169" s="4">
        <f t="shared" si="15"/>
        <v>32.516</v>
      </c>
    </row>
    <row r="170" spans="3:44" ht="18" customHeight="1">
      <c r="C170" s="111">
        <f t="shared" si="18"/>
        <v>2.751</v>
      </c>
      <c r="D170" s="112">
        <f t="shared" si="16"/>
        <v>2865</v>
      </c>
      <c r="E170" s="113">
        <f t="shared" si="17"/>
        <v>0.00302</v>
      </c>
      <c r="F170" s="114">
        <f t="shared" si="19"/>
        <v>8.65</v>
      </c>
      <c r="G170" s="116"/>
      <c r="AR170" s="4">
        <f t="shared" si="15"/>
        <v>35.687000000000005</v>
      </c>
    </row>
    <row r="171" spans="3:44" ht="18" customHeight="1">
      <c r="C171" s="111">
        <f t="shared" si="18"/>
        <v>2.358</v>
      </c>
      <c r="D171" s="112">
        <f t="shared" si="16"/>
        <v>3820</v>
      </c>
      <c r="E171" s="113">
        <f t="shared" si="17"/>
        <v>0.00287</v>
      </c>
      <c r="F171" s="114">
        <f t="shared" si="19"/>
        <v>10.96</v>
      </c>
      <c r="G171" s="116"/>
      <c r="AR171" s="4">
        <f t="shared" si="15"/>
        <v>38.858000000000004</v>
      </c>
    </row>
    <row r="172" spans="3:44" ht="18" customHeight="1">
      <c r="C172" s="111">
        <f t="shared" si="18"/>
        <v>1.965</v>
      </c>
      <c r="D172" s="112">
        <f t="shared" si="16"/>
        <v>4775</v>
      </c>
      <c r="E172" s="113">
        <f t="shared" si="17"/>
        <v>0.00272</v>
      </c>
      <c r="F172" s="114">
        <f t="shared" si="19"/>
        <v>12.99</v>
      </c>
      <c r="G172" s="116"/>
      <c r="AR172" s="4">
        <f t="shared" si="15"/>
        <v>42.029</v>
      </c>
    </row>
    <row r="173" spans="3:44" ht="18" customHeight="1">
      <c r="C173" s="111">
        <f t="shared" si="18"/>
        <v>1.572</v>
      </c>
      <c r="D173" s="112">
        <f t="shared" si="16"/>
        <v>5729</v>
      </c>
      <c r="E173" s="113">
        <f t="shared" si="17"/>
        <v>0.00257</v>
      </c>
      <c r="F173" s="114">
        <f t="shared" si="19"/>
        <v>14.72</v>
      </c>
      <c r="G173" s="116"/>
      <c r="AR173" s="4">
        <f t="shared" si="15"/>
        <v>45.2</v>
      </c>
    </row>
    <row r="174" spans="3:7" ht="18" customHeight="1">
      <c r="C174" s="111">
        <f t="shared" si="18"/>
        <v>1.179</v>
      </c>
      <c r="D174" s="112">
        <f t="shared" si="16"/>
        <v>6684</v>
      </c>
      <c r="E174" s="113">
        <f t="shared" si="17"/>
        <v>0.00242</v>
      </c>
      <c r="F174" s="114">
        <f t="shared" si="19"/>
        <v>16.18</v>
      </c>
      <c r="G174" s="116"/>
    </row>
    <row r="175" spans="3:7" ht="18" customHeight="1">
      <c r="C175" s="111">
        <f t="shared" si="18"/>
        <v>0.786</v>
      </c>
      <c r="D175" s="112">
        <f t="shared" si="16"/>
        <v>7639</v>
      </c>
      <c r="E175" s="113">
        <f t="shared" si="17"/>
        <v>0.00227</v>
      </c>
      <c r="F175" s="114">
        <f t="shared" si="19"/>
        <v>17.34</v>
      </c>
      <c r="G175" s="116"/>
    </row>
    <row r="176" spans="3:7" ht="18" customHeight="1">
      <c r="C176" s="111">
        <f t="shared" si="18"/>
        <v>0.393</v>
      </c>
      <c r="D176" s="112">
        <f t="shared" si="16"/>
        <v>8594</v>
      </c>
      <c r="E176" s="113">
        <f t="shared" si="17"/>
        <v>0.00212</v>
      </c>
      <c r="F176" s="114">
        <f t="shared" si="19"/>
        <v>18.22</v>
      </c>
      <c r="G176" s="116"/>
    </row>
    <row r="177" spans="3:7" ht="18" customHeight="1">
      <c r="C177" s="117">
        <f t="shared" si="18"/>
        <v>0</v>
      </c>
      <c r="D177" s="85">
        <f t="shared" si="16"/>
        <v>9549</v>
      </c>
      <c r="E177" s="118">
        <f t="shared" si="17"/>
        <v>0.00197</v>
      </c>
      <c r="F177" s="119">
        <f t="shared" si="19"/>
        <v>18.81</v>
      </c>
      <c r="G177" s="120" t="s">
        <v>74</v>
      </c>
    </row>
    <row r="178" spans="2:6" ht="18" customHeight="1">
      <c r="B178" s="13"/>
      <c r="C178" s="52"/>
      <c r="D178" s="53"/>
      <c r="E178" s="54"/>
      <c r="F178" s="55"/>
    </row>
    <row r="179" spans="2:6" ht="18" customHeight="1">
      <c r="B179" s="51" t="s">
        <v>190</v>
      </c>
      <c r="C179" s="52"/>
      <c r="D179" s="53"/>
      <c r="E179" s="54"/>
      <c r="F179" s="55"/>
    </row>
    <row r="180" spans="2:6" ht="18" customHeight="1">
      <c r="B180" s="13"/>
      <c r="C180" s="52"/>
      <c r="D180" s="53"/>
      <c r="E180" s="54"/>
      <c r="F180" s="55"/>
    </row>
    <row r="181" spans="2:7" ht="18" customHeight="1">
      <c r="B181" s="13"/>
      <c r="C181" s="23" t="s">
        <v>70</v>
      </c>
      <c r="D181" s="53"/>
      <c r="E181" s="54"/>
      <c r="F181" s="4">
        <f>ROUND(H133*(E153+lb/2*F155),2)</f>
        <v>45.2</v>
      </c>
      <c r="G181" s="4" t="s">
        <v>159</v>
      </c>
    </row>
    <row r="182" spans="2:6" ht="18" customHeight="1">
      <c r="B182" s="13"/>
      <c r="C182" s="23"/>
      <c r="D182" s="53"/>
      <c r="E182" s="54"/>
      <c r="F182" s="55"/>
    </row>
    <row r="183" spans="2:7" ht="18" customHeight="1">
      <c r="B183" s="13"/>
      <c r="C183" s="23" t="s">
        <v>71</v>
      </c>
      <c r="D183" s="53"/>
      <c r="E183" s="54"/>
      <c r="F183" s="4">
        <f>ROUND(H133*(E153-lb/2*F155),2)</f>
        <v>13.49</v>
      </c>
      <c r="G183" s="4" t="s">
        <v>159</v>
      </c>
    </row>
    <row r="184" spans="2:6" ht="18" customHeight="1">
      <c r="B184" s="13"/>
      <c r="C184" s="23"/>
      <c r="D184" s="53"/>
      <c r="E184" s="54"/>
      <c r="F184" s="55"/>
    </row>
    <row r="185" spans="2:8" ht="18" customHeight="1">
      <c r="B185" s="51" t="s">
        <v>191</v>
      </c>
      <c r="C185" s="23"/>
      <c r="D185" s="53"/>
      <c r="E185" s="54"/>
      <c r="F185" s="55"/>
      <c r="G185" s="4">
        <f>ROUND(F135*F151,2)</f>
        <v>8.87</v>
      </c>
      <c r="H185" s="4" t="s">
        <v>159</v>
      </c>
    </row>
    <row r="186" spans="2:6" ht="18" customHeight="1">
      <c r="B186" s="13"/>
      <c r="C186" s="23"/>
      <c r="D186" s="53"/>
      <c r="E186" s="54"/>
      <c r="F186" s="55"/>
    </row>
    <row r="187" spans="2:6" ht="18" customHeight="1">
      <c r="B187" s="13"/>
      <c r="C187" s="23"/>
      <c r="D187" s="53"/>
      <c r="E187" s="54"/>
      <c r="F187" s="55"/>
    </row>
    <row r="188" spans="2:6" ht="18" customHeight="1">
      <c r="B188" s="13"/>
      <c r="C188" s="52"/>
      <c r="D188" s="53"/>
      <c r="E188" s="54"/>
      <c r="F188" s="55"/>
    </row>
    <row r="189" spans="2:6" ht="18" customHeight="1">
      <c r="B189" s="13"/>
      <c r="C189" s="52"/>
      <c r="D189" s="53"/>
      <c r="E189" s="54"/>
      <c r="F189" s="55"/>
    </row>
    <row r="190" spans="2:50" ht="18" customHeight="1">
      <c r="B190" s="13"/>
      <c r="C190" s="52"/>
      <c r="D190" s="53"/>
      <c r="E190" s="54"/>
      <c r="F190" s="55"/>
      <c r="AR190" s="35" t="s">
        <v>107</v>
      </c>
      <c r="AS190" s="42">
        <f>D269</f>
        <v>0</v>
      </c>
      <c r="AT190" s="4" t="s">
        <v>108</v>
      </c>
      <c r="AV190" s="35" t="s">
        <v>109</v>
      </c>
      <c r="AW190" s="6">
        <f>D268</f>
        <v>38.51</v>
      </c>
      <c r="AX190" s="4" t="s">
        <v>108</v>
      </c>
    </row>
    <row r="191" spans="2:50" ht="18" customHeight="1">
      <c r="B191" s="13"/>
      <c r="C191" s="52"/>
      <c r="D191" s="53"/>
      <c r="E191" s="54"/>
      <c r="F191" s="55"/>
      <c r="AR191" s="35" t="s">
        <v>110</v>
      </c>
      <c r="AS191" s="42">
        <f>E269</f>
        <v>-46.38</v>
      </c>
      <c r="AT191" s="4" t="s">
        <v>108</v>
      </c>
      <c r="AV191" s="35" t="s">
        <v>111</v>
      </c>
      <c r="AW191" s="6">
        <f>E268</f>
        <v>0</v>
      </c>
      <c r="AX191" s="4" t="s">
        <v>108</v>
      </c>
    </row>
    <row r="192" spans="2:50" ht="18" customHeight="1">
      <c r="B192" s="13"/>
      <c r="C192" s="52"/>
      <c r="D192" s="53"/>
      <c r="E192" s="54"/>
      <c r="F192" s="55"/>
      <c r="AR192" s="35" t="s">
        <v>112</v>
      </c>
      <c r="AS192" s="42">
        <f>F269</f>
        <v>-66.92</v>
      </c>
      <c r="AT192" s="4" t="s">
        <v>142</v>
      </c>
      <c r="AV192" s="35" t="s">
        <v>113</v>
      </c>
      <c r="AW192" s="6">
        <f>F268</f>
        <v>0</v>
      </c>
      <c r="AX192" s="4" t="s">
        <v>142</v>
      </c>
    </row>
    <row r="193" spans="2:6" ht="18" customHeight="1">
      <c r="B193" s="13"/>
      <c r="C193" s="52"/>
      <c r="D193" s="53"/>
      <c r="E193" s="54"/>
      <c r="F193" s="55"/>
    </row>
    <row r="194" spans="2:6" ht="18" customHeight="1">
      <c r="B194" s="13"/>
      <c r="C194" s="52"/>
      <c r="D194" s="53"/>
      <c r="E194" s="54"/>
      <c r="F194" s="55"/>
    </row>
    <row r="195" spans="2:6" ht="18" customHeight="1">
      <c r="B195" s="13"/>
      <c r="C195" s="52"/>
      <c r="D195" s="53"/>
      <c r="E195" s="54"/>
      <c r="F195" s="55"/>
    </row>
    <row r="196" spans="2:6" ht="18" customHeight="1">
      <c r="B196" s="13"/>
      <c r="C196" s="52"/>
      <c r="D196" s="53"/>
      <c r="E196" s="54"/>
      <c r="F196" s="55"/>
    </row>
    <row r="197" spans="2:6" ht="18" customHeight="1">
      <c r="B197" s="13"/>
      <c r="C197" s="52"/>
      <c r="D197" s="53"/>
      <c r="E197" s="54"/>
      <c r="F197" s="55"/>
    </row>
    <row r="198" spans="2:6" ht="18" customHeight="1">
      <c r="B198" s="13"/>
      <c r="C198" s="52"/>
      <c r="D198" s="53"/>
      <c r="E198" s="54"/>
      <c r="F198" s="55"/>
    </row>
    <row r="199" spans="2:6" ht="18" customHeight="1">
      <c r="B199" s="13"/>
      <c r="C199" s="52"/>
      <c r="D199" s="53"/>
      <c r="E199" s="54"/>
      <c r="F199" s="55"/>
    </row>
    <row r="200" spans="2:6" ht="18" customHeight="1">
      <c r="B200" s="13"/>
      <c r="C200" s="52"/>
      <c r="D200" s="53"/>
      <c r="E200" s="54"/>
      <c r="F200" s="55"/>
    </row>
    <row r="201" spans="2:6" ht="18" customHeight="1">
      <c r="B201" s="13"/>
      <c r="C201" s="52"/>
      <c r="D201" s="53"/>
      <c r="E201" s="54"/>
      <c r="F201" s="55"/>
    </row>
    <row r="202" spans="2:6" ht="18" customHeight="1">
      <c r="B202" s="13"/>
      <c r="C202" s="52"/>
      <c r="D202" s="53"/>
      <c r="E202" s="54"/>
      <c r="F202" s="55"/>
    </row>
    <row r="203" spans="2:6" ht="18" customHeight="1">
      <c r="B203" s="13"/>
      <c r="C203" s="52"/>
      <c r="D203" s="53"/>
      <c r="E203" s="54"/>
      <c r="F203" s="55"/>
    </row>
    <row r="204" spans="2:6" ht="18" customHeight="1">
      <c r="B204" s="13"/>
      <c r="C204" s="52"/>
      <c r="D204" s="53"/>
      <c r="E204" s="54"/>
      <c r="F204" s="55"/>
    </row>
    <row r="205" spans="1:4" ht="18" customHeight="1">
      <c r="A205" s="29"/>
      <c r="B205" s="23"/>
      <c r="D205" s="35"/>
    </row>
    <row r="206" spans="1:4" ht="18" customHeight="1">
      <c r="A206" s="35"/>
      <c r="D206" s="35"/>
    </row>
    <row r="207" spans="1:4" ht="18" customHeight="1">
      <c r="A207" s="35"/>
      <c r="B207" s="23"/>
      <c r="D207" s="35"/>
    </row>
    <row r="208" spans="1:6" ht="18" customHeight="1">
      <c r="A208" s="23" t="s">
        <v>272</v>
      </c>
      <c r="F208" s="55"/>
    </row>
    <row r="209" spans="2:49" ht="18" customHeight="1">
      <c r="B209" s="29" t="s">
        <v>67</v>
      </c>
      <c r="C209" s="23" t="s">
        <v>54</v>
      </c>
      <c r="D209" s="24" t="s">
        <v>192</v>
      </c>
      <c r="E209" s="42">
        <f>D111</f>
        <v>135.04</v>
      </c>
      <c r="F209" s="4" t="s">
        <v>44</v>
      </c>
      <c r="AQ209" s="35" t="s">
        <v>107</v>
      </c>
      <c r="AR209" s="42">
        <f>D292</f>
        <v>0</v>
      </c>
      <c r="AS209" s="4" t="s">
        <v>108</v>
      </c>
      <c r="AU209" s="35" t="s">
        <v>109</v>
      </c>
      <c r="AV209" s="6">
        <f>D291</f>
        <v>51.45</v>
      </c>
      <c r="AW209" s="4" t="s">
        <v>108</v>
      </c>
    </row>
    <row r="210" spans="2:49" ht="18" customHeight="1">
      <c r="B210" s="35"/>
      <c r="C210" s="23" t="s">
        <v>55</v>
      </c>
      <c r="D210" s="24" t="s">
        <v>193</v>
      </c>
      <c r="E210" s="42">
        <f>ROUND(G185*lb,2)</f>
        <v>40.8</v>
      </c>
      <c r="F210" s="4" t="s">
        <v>44</v>
      </c>
      <c r="AQ210" s="35" t="s">
        <v>110</v>
      </c>
      <c r="AR210" s="42">
        <f>E292</f>
        <v>-87.19</v>
      </c>
      <c r="AS210" s="4" t="s">
        <v>108</v>
      </c>
      <c r="AU210" s="35" t="s">
        <v>111</v>
      </c>
      <c r="AV210" s="6">
        <f>E291</f>
        <v>0</v>
      </c>
      <c r="AW210" s="4" t="s">
        <v>108</v>
      </c>
    </row>
    <row r="211" spans="2:49" ht="18" customHeight="1">
      <c r="B211" s="35"/>
      <c r="C211" s="23" t="s">
        <v>77</v>
      </c>
      <c r="D211" s="24" t="s">
        <v>78</v>
      </c>
      <c r="E211" s="42">
        <f>ROUND(lb^2*F155/12/E153*-1,2)</f>
        <v>-0.41</v>
      </c>
      <c r="F211" s="4" t="s">
        <v>10</v>
      </c>
      <c r="AQ211" s="35" t="s">
        <v>112</v>
      </c>
      <c r="AR211" s="42">
        <f>F292</f>
        <v>-152.59</v>
      </c>
      <c r="AS211" s="4" t="s">
        <v>142</v>
      </c>
      <c r="AU211" s="35" t="s">
        <v>113</v>
      </c>
      <c r="AV211" s="6">
        <f>F291</f>
        <v>0</v>
      </c>
      <c r="AW211" s="4" t="s">
        <v>142</v>
      </c>
    </row>
    <row r="212" spans="2:6" ht="18" customHeight="1">
      <c r="B212" s="29" t="s">
        <v>66</v>
      </c>
      <c r="C212" s="23" t="s">
        <v>55</v>
      </c>
      <c r="D212" s="24" t="s">
        <v>194</v>
      </c>
      <c r="E212" s="42">
        <f>ROUND(1/6*H138*lf*(3*F151+lf*F155),2)</f>
        <v>46.38</v>
      </c>
      <c r="F212" s="4" t="s">
        <v>44</v>
      </c>
    </row>
    <row r="213" spans="3:6" ht="18" customHeight="1">
      <c r="C213" s="23" t="s">
        <v>77</v>
      </c>
      <c r="D213" s="24" t="s">
        <v>79</v>
      </c>
      <c r="E213" s="42">
        <f>ROUND(lf/2*(2*F151+lf*F155)/(3*F151+lf*F155),2)</f>
        <v>1.44</v>
      </c>
      <c r="F213" s="4" t="s">
        <v>10</v>
      </c>
    </row>
    <row r="214" spans="3:5" ht="18" customHeight="1">
      <c r="C214" s="23"/>
      <c r="D214" s="24"/>
      <c r="E214" s="42"/>
    </row>
    <row r="215" ht="18" customHeight="1">
      <c r="A215" s="23" t="s">
        <v>80</v>
      </c>
    </row>
    <row r="216" ht="18" customHeight="1">
      <c r="A216" s="23" t="s">
        <v>81</v>
      </c>
    </row>
    <row r="218" spans="2:8" ht="18" customHeight="1">
      <c r="B218" s="23" t="s">
        <v>82</v>
      </c>
      <c r="G218" s="4">
        <f>ROUND(lb/2-lb/3*(F181+2*F183)/(F181+F183),3)</f>
        <v>0.414</v>
      </c>
      <c r="H218" s="4" t="s">
        <v>10</v>
      </c>
    </row>
    <row r="220" spans="2:9" ht="18" customHeight="1">
      <c r="B220" s="23" t="s">
        <v>83</v>
      </c>
      <c r="E220" s="42">
        <f>ABS(lb/(2*G218))</f>
        <v>5.555555555555555</v>
      </c>
      <c r="F220" s="33" t="str">
        <f>IF(E220&gt;G220,"&gt;","&lt;")</f>
        <v>&gt;</v>
      </c>
      <c r="G220" s="37">
        <v>3</v>
      </c>
      <c r="I220" s="33" t="str">
        <f>IF(E220&gt;G220,"O.K.","OUT.")</f>
        <v>O.K.</v>
      </c>
    </row>
    <row r="222" spans="1:4" ht="18" customHeight="1">
      <c r="A222" s="23" t="s">
        <v>84</v>
      </c>
      <c r="D222" s="35"/>
    </row>
    <row r="223" spans="1:4" ht="18" customHeight="1">
      <c r="A223" s="23" t="s">
        <v>85</v>
      </c>
      <c r="D223" s="35"/>
    </row>
    <row r="224" spans="2:4" ht="18" customHeight="1">
      <c r="B224" s="23" t="s">
        <v>23</v>
      </c>
      <c r="C224" s="29" t="s">
        <v>131</v>
      </c>
      <c r="D224" s="4">
        <f>μ</f>
        <v>0.6</v>
      </c>
    </row>
    <row r="225" spans="2:7" ht="18" customHeight="1">
      <c r="B225" s="23" t="s">
        <v>87</v>
      </c>
      <c r="E225" s="24" t="s">
        <v>195</v>
      </c>
      <c r="F225" s="42">
        <f>E209</f>
        <v>135.04</v>
      </c>
      <c r="G225" s="4" t="s">
        <v>44</v>
      </c>
    </row>
    <row r="226" spans="2:8" ht="18" customHeight="1">
      <c r="B226" s="23" t="s">
        <v>86</v>
      </c>
      <c r="E226" s="24" t="s">
        <v>271</v>
      </c>
      <c r="F226" s="28" t="s">
        <v>196</v>
      </c>
      <c r="G226" s="42">
        <f>E210</f>
        <v>40.8</v>
      </c>
      <c r="H226" s="4" t="s">
        <v>44</v>
      </c>
    </row>
    <row r="228" spans="43:49" ht="18" customHeight="1">
      <c r="AQ228" s="35" t="s">
        <v>107</v>
      </c>
      <c r="AR228" s="42">
        <f>D314</f>
        <v>46.4</v>
      </c>
      <c r="AS228" s="4" t="s">
        <v>108</v>
      </c>
      <c r="AU228" s="35" t="s">
        <v>109</v>
      </c>
      <c r="AV228" s="6">
        <f>D313</f>
        <v>87.19</v>
      </c>
      <c r="AW228" s="4" t="s">
        <v>108</v>
      </c>
    </row>
    <row r="229" spans="43:49" ht="18" customHeight="1">
      <c r="AQ229" s="35" t="s">
        <v>110</v>
      </c>
      <c r="AR229" s="42">
        <f>E314</f>
        <v>-38.46</v>
      </c>
      <c r="AS229" s="4" t="s">
        <v>108</v>
      </c>
      <c r="AU229" s="35" t="s">
        <v>111</v>
      </c>
      <c r="AV229" s="6">
        <f>E313</f>
        <v>51.45</v>
      </c>
      <c r="AW229" s="4" t="s">
        <v>108</v>
      </c>
    </row>
    <row r="230" spans="2:49" ht="18" customHeight="1">
      <c r="B230" s="23" t="s">
        <v>88</v>
      </c>
      <c r="E230" s="42">
        <f>F225*D224/G226</f>
        <v>1.9858823529411762</v>
      </c>
      <c r="F230" s="33" t="str">
        <f>IF(E230&gt;G230,"&gt;","&lt;")</f>
        <v>&gt;</v>
      </c>
      <c r="G230" s="4">
        <v>1.5</v>
      </c>
      <c r="I230" s="33" t="str">
        <f>IF(E230&gt;G230,"O.K.","OUT.")</f>
        <v>O.K.</v>
      </c>
      <c r="AQ230" s="35" t="s">
        <v>112</v>
      </c>
      <c r="AR230" s="42">
        <f>F314</f>
        <v>-152.59</v>
      </c>
      <c r="AS230" s="4" t="s">
        <v>142</v>
      </c>
      <c r="AU230" s="35" t="s">
        <v>113</v>
      </c>
      <c r="AV230" s="6">
        <f>F313</f>
        <v>-44.41</v>
      </c>
      <c r="AW230" s="4" t="s">
        <v>142</v>
      </c>
    </row>
    <row r="232" ht="18" customHeight="1">
      <c r="A232" s="23" t="s">
        <v>89</v>
      </c>
    </row>
    <row r="234" spans="2:7" ht="18" customHeight="1">
      <c r="B234" s="23" t="s">
        <v>90</v>
      </c>
      <c r="D234" s="56" t="s">
        <v>197</v>
      </c>
      <c r="E234" s="57"/>
      <c r="F234" s="32">
        <f>E212</f>
        <v>46.38</v>
      </c>
      <c r="G234" s="4" t="s">
        <v>44</v>
      </c>
    </row>
    <row r="236" spans="2:9" ht="18" customHeight="1">
      <c r="B236" s="23" t="s">
        <v>91</v>
      </c>
      <c r="D236" s="35"/>
      <c r="H236" s="32">
        <f>ROUND(γ*TAN((45+φ/2)*PI()/180)^2*lf^2/2,2)</f>
        <v>440.18</v>
      </c>
      <c r="I236" s="4" t="s">
        <v>44</v>
      </c>
    </row>
    <row r="237" spans="4:9" ht="18" customHeight="1">
      <c r="D237" s="35"/>
      <c r="E237" s="42"/>
      <c r="F237" s="33"/>
      <c r="I237" s="33"/>
    </row>
    <row r="238" spans="2:9" ht="18" customHeight="1">
      <c r="B238" s="23" t="s">
        <v>88</v>
      </c>
      <c r="E238" s="42">
        <f>H236/F234</f>
        <v>9.490728762397584</v>
      </c>
      <c r="F238" s="33" t="str">
        <f>IF(E238&gt;G238,"&gt;","&lt;")</f>
        <v>&gt;</v>
      </c>
      <c r="G238" s="4">
        <v>1.5</v>
      </c>
      <c r="I238" s="33" t="str">
        <f>IF(E238&gt;G238,"O.K.","OUT.")</f>
        <v>O.K.</v>
      </c>
    </row>
    <row r="239" spans="4:9" ht="18" customHeight="1">
      <c r="D239" s="35"/>
      <c r="E239" s="57"/>
      <c r="I239" s="33"/>
    </row>
    <row r="240" ht="18" customHeight="1">
      <c r="D240" s="35"/>
    </row>
    <row r="241" spans="1:9" ht="18" customHeight="1">
      <c r="A241" s="23" t="s">
        <v>92</v>
      </c>
      <c r="D241" s="35"/>
      <c r="E241" s="42"/>
      <c r="F241" s="33"/>
      <c r="I241" s="33"/>
    </row>
    <row r="242" spans="3:9" ht="18" customHeight="1">
      <c r="C242" s="29" t="s">
        <v>93</v>
      </c>
      <c r="D242" s="24" t="s">
        <v>158</v>
      </c>
      <c r="E242" s="58">
        <f>qd</f>
        <v>600</v>
      </c>
      <c r="F242" s="33" t="s">
        <v>159</v>
      </c>
      <c r="I242" s="33"/>
    </row>
    <row r="243" spans="3:9" ht="18" customHeight="1">
      <c r="C243" s="29" t="s">
        <v>94</v>
      </c>
      <c r="D243" s="24" t="s">
        <v>198</v>
      </c>
      <c r="E243" s="42">
        <f>MAX(qvf,qvl)</f>
        <v>45.2</v>
      </c>
      <c r="F243" s="33" t="s">
        <v>159</v>
      </c>
      <c r="I243" s="33"/>
    </row>
    <row r="244" spans="2:9" ht="18" customHeight="1">
      <c r="B244" s="23"/>
      <c r="D244" s="24"/>
      <c r="E244" s="42"/>
      <c r="F244" s="33"/>
      <c r="I244" s="33"/>
    </row>
    <row r="245" spans="2:9" ht="18" customHeight="1">
      <c r="B245" s="23" t="s">
        <v>88</v>
      </c>
      <c r="D245" s="24"/>
      <c r="E245" s="42">
        <f>E242/E243</f>
        <v>13.27433628318584</v>
      </c>
      <c r="F245" s="33" t="str">
        <f>IF(E245&gt;G245,"&gt;","&lt;")</f>
        <v>&gt;</v>
      </c>
      <c r="G245" s="37">
        <v>3</v>
      </c>
      <c r="I245" s="33" t="str">
        <f>IF(E245&gt;G245,"O.K.","OUT.")</f>
        <v>O.K.</v>
      </c>
    </row>
    <row r="246" spans="2:9" ht="18" customHeight="1">
      <c r="B246" s="23"/>
      <c r="D246" s="24"/>
      <c r="E246" s="42"/>
      <c r="F246" s="33"/>
      <c r="I246" s="33"/>
    </row>
    <row r="247" spans="1:9" ht="18" customHeight="1">
      <c r="A247" s="23" t="s">
        <v>273</v>
      </c>
      <c r="B247" s="23"/>
      <c r="D247" s="24"/>
      <c r="E247" s="42"/>
      <c r="F247" s="33"/>
      <c r="I247" s="33"/>
    </row>
    <row r="248" spans="2:9" ht="18" customHeight="1">
      <c r="B248" s="23" t="s">
        <v>95</v>
      </c>
      <c r="D248" s="24"/>
      <c r="E248" s="42"/>
      <c r="F248" s="33"/>
      <c r="I248" s="33"/>
    </row>
    <row r="249" spans="2:9" ht="18" customHeight="1">
      <c r="B249" s="23"/>
      <c r="D249" s="24"/>
      <c r="E249" s="42"/>
      <c r="F249" s="33"/>
      <c r="I249" s="33"/>
    </row>
    <row r="250" spans="2:9" ht="18" customHeight="1">
      <c r="B250" s="23"/>
      <c r="D250" s="24"/>
      <c r="E250" s="42"/>
      <c r="F250" s="33"/>
      <c r="I250" s="33"/>
    </row>
    <row r="251" ht="18" customHeight="1">
      <c r="D251" s="35"/>
    </row>
    <row r="252" spans="4:9" ht="18" customHeight="1">
      <c r="D252" s="35"/>
      <c r="E252" s="42"/>
      <c r="F252" s="33"/>
      <c r="G252" s="37"/>
      <c r="I252" s="33"/>
    </row>
    <row r="253" spans="1:9" ht="18" customHeight="1">
      <c r="A253" s="23"/>
      <c r="D253" s="35"/>
      <c r="E253" s="42"/>
      <c r="F253" s="33"/>
      <c r="G253" s="37"/>
      <c r="I253" s="33"/>
    </row>
    <row r="254" spans="4:9" ht="18" customHeight="1">
      <c r="D254" s="35"/>
      <c r="E254" s="42"/>
      <c r="F254" s="33"/>
      <c r="G254" s="37"/>
      <c r="I254" s="33"/>
    </row>
    <row r="256" spans="3:7" ht="18" customHeight="1">
      <c r="C256" s="107" t="s">
        <v>96</v>
      </c>
      <c r="D256" s="108" t="s">
        <v>260</v>
      </c>
      <c r="E256" s="108" t="s">
        <v>261</v>
      </c>
      <c r="F256" s="108" t="s">
        <v>263</v>
      </c>
      <c r="G256" s="121" t="s">
        <v>72</v>
      </c>
    </row>
    <row r="257" spans="3:7" ht="18" customHeight="1">
      <c r="C257" s="111">
        <f>lf</f>
        <v>3.9299999999999997</v>
      </c>
      <c r="D257" s="114">
        <f>ROUND(tf*24.5*(lf-C257),2)</f>
        <v>0</v>
      </c>
      <c r="E257" s="114">
        <f>ROUND(-kH/lf*(lf*uo*(lf-C257)+1/2*(lf*α-uo)*(lf^2-C257^2)-1/3*α*(lf^3-C257^3)),2)</f>
        <v>0</v>
      </c>
      <c r="F257" s="114">
        <f>ROUND(-kH/lf*(1/2*lf*uo*(lf^2-C257^2)+1/3*(lf*α-uo)*(lf^3-C257^3)-1/4*α*(lf^4-C257^4)),2)</f>
        <v>0</v>
      </c>
      <c r="G257" s="122" t="s">
        <v>97</v>
      </c>
    </row>
    <row r="258" spans="3:7" ht="18" customHeight="1">
      <c r="C258" s="111">
        <f aca="true" t="shared" si="20" ref="C258:C267">ROUND(C257-lf/10,3)</f>
        <v>3.537</v>
      </c>
      <c r="D258" s="114">
        <f aca="true" t="shared" si="21" ref="D258:D267">ROUND(tf*24.5*(lf-C258),2)</f>
        <v>3.85</v>
      </c>
      <c r="E258" s="114">
        <f aca="true" t="shared" si="22" ref="E258:E267">ROUND(-kH/lf*(lf*uo*(lf-C258)+1/2*(lf*α-uo)*(lf^2-C258^2)-1/3*α*(lf^3-C258^3)),2)</f>
        <v>-0.63</v>
      </c>
      <c r="F258" s="114">
        <f aca="true" t="shared" si="23" ref="F258:F267">ROUND(-kH/lf*(1/2*lf*uo*(lf^2-C258^2)+1/3*(lf*α-uo)*(lf^3-C258^3)-1/4*α*(lf^4-C258^4)),2)</f>
        <v>-2.32</v>
      </c>
      <c r="G258" s="5"/>
    </row>
    <row r="259" spans="3:7" ht="18" customHeight="1">
      <c r="C259" s="111">
        <f t="shared" si="20"/>
        <v>3.144</v>
      </c>
      <c r="D259" s="114">
        <f t="shared" si="21"/>
        <v>7.7</v>
      </c>
      <c r="E259" s="114">
        <f t="shared" si="22"/>
        <v>-2.46</v>
      </c>
      <c r="F259" s="114">
        <f t="shared" si="23"/>
        <v>-8.38</v>
      </c>
      <c r="G259" s="5"/>
    </row>
    <row r="260" spans="3:7" ht="18" customHeight="1">
      <c r="C260" s="111">
        <f t="shared" si="20"/>
        <v>2.751</v>
      </c>
      <c r="D260" s="114">
        <f t="shared" si="21"/>
        <v>11.55</v>
      </c>
      <c r="E260" s="114">
        <f t="shared" si="22"/>
        <v>-5.36</v>
      </c>
      <c r="F260" s="114">
        <f t="shared" si="23"/>
        <v>-16.9</v>
      </c>
      <c r="G260" s="5"/>
    </row>
    <row r="261" spans="3:7" ht="18" customHeight="1">
      <c r="C261" s="111">
        <f t="shared" si="20"/>
        <v>2.358</v>
      </c>
      <c r="D261" s="114">
        <f t="shared" si="21"/>
        <v>15.41</v>
      </c>
      <c r="E261" s="114">
        <f t="shared" si="22"/>
        <v>-9.23</v>
      </c>
      <c r="F261" s="114">
        <f t="shared" si="23"/>
        <v>-26.75</v>
      </c>
      <c r="G261" s="5"/>
    </row>
    <row r="262" spans="3:7" ht="18" customHeight="1">
      <c r="C262" s="111">
        <f t="shared" si="20"/>
        <v>1.965</v>
      </c>
      <c r="D262" s="114">
        <f t="shared" si="21"/>
        <v>19.26</v>
      </c>
      <c r="E262" s="114">
        <f t="shared" si="22"/>
        <v>-13.95</v>
      </c>
      <c r="F262" s="114">
        <f t="shared" si="23"/>
        <v>-36.93</v>
      </c>
      <c r="G262" s="5"/>
    </row>
    <row r="263" spans="3:7" ht="18" customHeight="1">
      <c r="C263" s="111">
        <f t="shared" si="20"/>
        <v>1.572</v>
      </c>
      <c r="D263" s="114">
        <f t="shared" si="21"/>
        <v>23.11</v>
      </c>
      <c r="E263" s="114">
        <f t="shared" si="22"/>
        <v>-19.41</v>
      </c>
      <c r="F263" s="114">
        <f t="shared" si="23"/>
        <v>-46.56</v>
      </c>
      <c r="G263" s="5"/>
    </row>
    <row r="264" spans="3:7" ht="18" customHeight="1">
      <c r="C264" s="111">
        <f t="shared" si="20"/>
        <v>1.179</v>
      </c>
      <c r="D264" s="114">
        <f t="shared" si="21"/>
        <v>26.96</v>
      </c>
      <c r="E264" s="114">
        <f t="shared" si="22"/>
        <v>-25.49</v>
      </c>
      <c r="F264" s="114">
        <f t="shared" si="23"/>
        <v>-54.92</v>
      </c>
      <c r="G264" s="5"/>
    </row>
    <row r="265" spans="3:7" ht="18" customHeight="1">
      <c r="C265" s="111">
        <f t="shared" si="20"/>
        <v>0.786</v>
      </c>
      <c r="D265" s="114">
        <f t="shared" si="21"/>
        <v>30.81</v>
      </c>
      <c r="E265" s="114">
        <f t="shared" si="22"/>
        <v>-32.09</v>
      </c>
      <c r="F265" s="114">
        <f t="shared" si="23"/>
        <v>-61.38</v>
      </c>
      <c r="G265" s="5"/>
    </row>
    <row r="266" spans="3:7" ht="18" customHeight="1">
      <c r="C266" s="111">
        <f t="shared" si="20"/>
        <v>0.393</v>
      </c>
      <c r="D266" s="114">
        <f t="shared" si="21"/>
        <v>34.66</v>
      </c>
      <c r="E266" s="114">
        <f t="shared" si="22"/>
        <v>-39.09</v>
      </c>
      <c r="F266" s="114">
        <f t="shared" si="23"/>
        <v>-65.5</v>
      </c>
      <c r="G266" s="5"/>
    </row>
    <row r="267" spans="3:7" ht="18" customHeight="1">
      <c r="C267" s="117">
        <f t="shared" si="20"/>
        <v>0</v>
      </c>
      <c r="D267" s="119">
        <f t="shared" si="21"/>
        <v>38.51</v>
      </c>
      <c r="E267" s="119">
        <f t="shared" si="22"/>
        <v>-46.38</v>
      </c>
      <c r="F267" s="119">
        <f t="shared" si="23"/>
        <v>-66.92</v>
      </c>
      <c r="G267" s="123" t="s">
        <v>99</v>
      </c>
    </row>
    <row r="268" spans="3:7" ht="18" customHeight="1">
      <c r="C268" s="111" t="s">
        <v>100</v>
      </c>
      <c r="D268" s="114">
        <f>MAX(D257:D267)</f>
        <v>38.51</v>
      </c>
      <c r="E268" s="114">
        <f>MAX(E257:E267)</f>
        <v>0</v>
      </c>
      <c r="F268" s="114">
        <f>MAX(F257:F267)</f>
        <v>0</v>
      </c>
      <c r="G268" s="116"/>
    </row>
    <row r="269" spans="3:7" ht="18" customHeight="1">
      <c r="C269" s="117" t="s">
        <v>101</v>
      </c>
      <c r="D269" s="119">
        <f>MIN(D257:D267)</f>
        <v>0</v>
      </c>
      <c r="E269" s="119">
        <f>MIN(E257:E267)</f>
        <v>-46.38</v>
      </c>
      <c r="F269" s="119">
        <f>MIN(F257:F267)</f>
        <v>-66.92</v>
      </c>
      <c r="G269" s="124"/>
    </row>
    <row r="271" ht="18" customHeight="1">
      <c r="B271" s="23" t="s">
        <v>102</v>
      </c>
    </row>
    <row r="272" ht="18" customHeight="1">
      <c r="B272" s="23"/>
    </row>
    <row r="273" ht="18" customHeight="1">
      <c r="B273" s="23"/>
    </row>
    <row r="274" ht="18" customHeight="1">
      <c r="B274" s="23"/>
    </row>
    <row r="275" ht="18" customHeight="1">
      <c r="B275" s="23"/>
    </row>
    <row r="276" ht="18" customHeight="1">
      <c r="B276" s="23"/>
    </row>
    <row r="277" ht="18" customHeight="1">
      <c r="B277" s="23"/>
    </row>
    <row r="278" ht="18" customHeight="1">
      <c r="B278" s="23"/>
    </row>
    <row r="279" spans="2:7" ht="18" customHeight="1">
      <c r="B279" s="107" t="s">
        <v>103</v>
      </c>
      <c r="C279" s="108" t="s">
        <v>96</v>
      </c>
      <c r="D279" s="108" t="s">
        <v>260</v>
      </c>
      <c r="E279" s="108" t="s">
        <v>261</v>
      </c>
      <c r="F279" s="108" t="s">
        <v>263</v>
      </c>
      <c r="G279" s="121" t="s">
        <v>72</v>
      </c>
    </row>
    <row r="280" spans="2:7" ht="18" customHeight="1">
      <c r="B280" s="111">
        <v>0</v>
      </c>
      <c r="C280" s="125">
        <f>ll-B280</f>
        <v>5.25</v>
      </c>
      <c r="D280" s="114">
        <f>ROUND(tl*24.5*B280,2)</f>
        <v>0</v>
      </c>
      <c r="E280" s="114">
        <f>ROUND(-KA*(q*B280+1/2*γ*B280^2),2)</f>
        <v>0</v>
      </c>
      <c r="F280" s="114">
        <f>ROUND(-KA*B280^2/6*(3*q+γ*B280),2)</f>
        <v>0</v>
      </c>
      <c r="G280" s="115" t="s">
        <v>97</v>
      </c>
    </row>
    <row r="281" spans="2:7" ht="18" customHeight="1">
      <c r="B281" s="111">
        <f aca="true" t="shared" si="24" ref="B281:B290">ROUND(ll/10+B280,3)</f>
        <v>0.525</v>
      </c>
      <c r="C281" s="125">
        <f aca="true" t="shared" si="25" ref="C281:C290">ll-B281</f>
        <v>4.725</v>
      </c>
      <c r="D281" s="114">
        <f aca="true" t="shared" si="26" ref="D281:D290">ROUND(tl*24.5*B281,2)</f>
        <v>5.15</v>
      </c>
      <c r="E281" s="114">
        <f aca="true" t="shared" si="27" ref="E281:E289">ROUND(-KA*(q*B281+1/2*γ*B281^2),2)</f>
        <v>-0.87</v>
      </c>
      <c r="F281" s="114">
        <f aca="true" t="shared" si="28" ref="F281:F290">ROUND(-KA*B281^2/6*(3*q+γ*B281),2)</f>
        <v>-0.15</v>
      </c>
      <c r="G281" s="116"/>
    </row>
    <row r="282" spans="2:7" ht="18" customHeight="1">
      <c r="B282" s="111">
        <f t="shared" si="24"/>
        <v>1.05</v>
      </c>
      <c r="C282" s="125">
        <f t="shared" si="25"/>
        <v>4.2</v>
      </c>
      <c r="D282" s="114">
        <f t="shared" si="26"/>
        <v>10.29</v>
      </c>
      <c r="E282" s="114">
        <f t="shared" si="27"/>
        <v>-3.49</v>
      </c>
      <c r="F282" s="114">
        <f t="shared" si="28"/>
        <v>-1.22</v>
      </c>
      <c r="G282" s="116"/>
    </row>
    <row r="283" spans="2:7" ht="18" customHeight="1">
      <c r="B283" s="111">
        <f t="shared" si="24"/>
        <v>1.575</v>
      </c>
      <c r="C283" s="125">
        <f t="shared" si="25"/>
        <v>3.675</v>
      </c>
      <c r="D283" s="114">
        <f t="shared" si="26"/>
        <v>15.44</v>
      </c>
      <c r="E283" s="114">
        <f t="shared" si="27"/>
        <v>-7.85</v>
      </c>
      <c r="F283" s="114">
        <f t="shared" si="28"/>
        <v>-4.12</v>
      </c>
      <c r="G283" s="116"/>
    </row>
    <row r="284" spans="2:7" ht="18" customHeight="1">
      <c r="B284" s="111">
        <f t="shared" si="24"/>
        <v>2.1</v>
      </c>
      <c r="C284" s="125">
        <f t="shared" si="25"/>
        <v>3.15</v>
      </c>
      <c r="D284" s="114">
        <f t="shared" si="26"/>
        <v>20.58</v>
      </c>
      <c r="E284" s="114">
        <f t="shared" si="27"/>
        <v>-13.95</v>
      </c>
      <c r="F284" s="114">
        <f t="shared" si="28"/>
        <v>-9.77</v>
      </c>
      <c r="G284" s="116"/>
    </row>
    <row r="285" spans="2:7" ht="18" customHeight="1">
      <c r="B285" s="111">
        <f t="shared" si="24"/>
        <v>2.625</v>
      </c>
      <c r="C285" s="125">
        <f t="shared" si="25"/>
        <v>2.625</v>
      </c>
      <c r="D285" s="114">
        <f t="shared" si="26"/>
        <v>25.73</v>
      </c>
      <c r="E285" s="114">
        <f t="shared" si="27"/>
        <v>-21.8</v>
      </c>
      <c r="F285" s="114">
        <f t="shared" si="28"/>
        <v>-19.07</v>
      </c>
      <c r="G285" s="116"/>
    </row>
    <row r="286" spans="2:7" ht="18" customHeight="1">
      <c r="B286" s="111">
        <f t="shared" si="24"/>
        <v>3.15</v>
      </c>
      <c r="C286" s="125">
        <f t="shared" si="25"/>
        <v>2.1</v>
      </c>
      <c r="D286" s="114">
        <f t="shared" si="26"/>
        <v>30.87</v>
      </c>
      <c r="E286" s="114">
        <f t="shared" si="27"/>
        <v>-31.39</v>
      </c>
      <c r="F286" s="114">
        <f t="shared" si="28"/>
        <v>-32.96</v>
      </c>
      <c r="G286" s="116"/>
    </row>
    <row r="287" spans="2:7" ht="18" customHeight="1">
      <c r="B287" s="111">
        <f t="shared" si="24"/>
        <v>3.675</v>
      </c>
      <c r="C287" s="125">
        <f t="shared" si="25"/>
        <v>1.5750000000000002</v>
      </c>
      <c r="D287" s="114">
        <f t="shared" si="26"/>
        <v>36.02</v>
      </c>
      <c r="E287" s="114">
        <f t="shared" si="27"/>
        <v>-42.73</v>
      </c>
      <c r="F287" s="114">
        <f t="shared" si="28"/>
        <v>-52.34</v>
      </c>
      <c r="G287" s="116"/>
    </row>
    <row r="288" spans="2:7" ht="18" customHeight="1">
      <c r="B288" s="111">
        <f t="shared" si="24"/>
        <v>4.2</v>
      </c>
      <c r="C288" s="125">
        <f t="shared" si="25"/>
        <v>1.0499999999999998</v>
      </c>
      <c r="D288" s="114">
        <f t="shared" si="26"/>
        <v>41.16</v>
      </c>
      <c r="E288" s="114">
        <f t="shared" si="27"/>
        <v>-55.8</v>
      </c>
      <c r="F288" s="114">
        <f t="shared" si="28"/>
        <v>-78.13</v>
      </c>
      <c r="G288" s="116"/>
    </row>
    <row r="289" spans="2:10" ht="18" customHeight="1">
      <c r="B289" s="111">
        <f t="shared" si="24"/>
        <v>4.725</v>
      </c>
      <c r="C289" s="125">
        <f t="shared" si="25"/>
        <v>0.5250000000000004</v>
      </c>
      <c r="D289" s="114">
        <f t="shared" si="26"/>
        <v>46.31</v>
      </c>
      <c r="E289" s="114">
        <f t="shared" si="27"/>
        <v>-70.63</v>
      </c>
      <c r="F289" s="114">
        <f t="shared" si="28"/>
        <v>-111.24</v>
      </c>
      <c r="G289" s="116"/>
      <c r="J289" s="6"/>
    </row>
    <row r="290" spans="2:10" ht="18" customHeight="1">
      <c r="B290" s="117">
        <f t="shared" si="24"/>
        <v>5.25</v>
      </c>
      <c r="C290" s="126">
        <f t="shared" si="25"/>
        <v>0</v>
      </c>
      <c r="D290" s="119">
        <f t="shared" si="26"/>
        <v>51.45</v>
      </c>
      <c r="E290" s="119">
        <f>ROUND(-KA*(q*B290+1/2*γ*B290^2),2)</f>
        <v>-87.19</v>
      </c>
      <c r="F290" s="119">
        <f t="shared" si="28"/>
        <v>-152.59</v>
      </c>
      <c r="G290" s="120" t="s">
        <v>99</v>
      </c>
      <c r="J290" s="6"/>
    </row>
    <row r="291" spans="2:10" ht="18" customHeight="1">
      <c r="B291" s="127"/>
      <c r="C291" s="128" t="s">
        <v>100</v>
      </c>
      <c r="D291" s="114">
        <f>MAX(D280:D290)</f>
        <v>51.45</v>
      </c>
      <c r="E291" s="114">
        <f>MAX(E280:E290)</f>
        <v>0</v>
      </c>
      <c r="F291" s="114">
        <f>MAX(F280:F290)</f>
        <v>0</v>
      </c>
      <c r="G291" s="116"/>
      <c r="J291" s="6"/>
    </row>
    <row r="292" spans="2:10" ht="18" customHeight="1">
      <c r="B292" s="129"/>
      <c r="C292" s="130" t="s">
        <v>101</v>
      </c>
      <c r="D292" s="119">
        <f>MIN(D280:D290)</f>
        <v>0</v>
      </c>
      <c r="E292" s="119">
        <f>MIN(E280:E290)</f>
        <v>-87.19</v>
      </c>
      <c r="F292" s="119">
        <f>MIN(F280:F290)</f>
        <v>-152.59</v>
      </c>
      <c r="G292" s="124"/>
      <c r="J292" s="8"/>
    </row>
    <row r="293" spans="2:10" ht="18" customHeight="1">
      <c r="B293" s="59"/>
      <c r="C293" s="16"/>
      <c r="D293" s="54"/>
      <c r="E293" s="54"/>
      <c r="F293" s="54"/>
      <c r="G293" s="59"/>
      <c r="J293" s="8"/>
    </row>
    <row r="294" spans="2:10" ht="18" customHeight="1">
      <c r="B294" s="23" t="s">
        <v>104</v>
      </c>
      <c r="C294" s="16"/>
      <c r="D294" s="54"/>
      <c r="E294" s="54"/>
      <c r="F294" s="54"/>
      <c r="G294" s="59"/>
      <c r="J294" s="8"/>
    </row>
    <row r="295" spans="2:10" ht="18" customHeight="1">
      <c r="B295" s="59"/>
      <c r="C295" s="16"/>
      <c r="D295" s="54"/>
      <c r="E295" s="54"/>
      <c r="F295" s="54"/>
      <c r="G295" s="59"/>
      <c r="J295" s="8"/>
    </row>
    <row r="296" spans="2:10" ht="18" customHeight="1">
      <c r="B296" s="59"/>
      <c r="C296" s="16"/>
      <c r="D296" s="54"/>
      <c r="E296" s="54"/>
      <c r="F296" s="54"/>
      <c r="G296" s="59"/>
      <c r="J296" s="8"/>
    </row>
    <row r="297" spans="2:10" ht="18" customHeight="1">
      <c r="B297" s="59"/>
      <c r="C297" s="16"/>
      <c r="D297" s="54"/>
      <c r="E297" s="54"/>
      <c r="F297" s="54"/>
      <c r="G297" s="59"/>
      <c r="J297" s="8"/>
    </row>
    <row r="298" spans="2:10" ht="18" customHeight="1">
      <c r="B298" s="59"/>
      <c r="C298" s="16"/>
      <c r="D298" s="54"/>
      <c r="E298" s="54"/>
      <c r="F298" s="54"/>
      <c r="G298" s="59"/>
      <c r="J298" s="8"/>
    </row>
    <row r="299" ht="18" customHeight="1">
      <c r="J299" s="8"/>
    </row>
    <row r="300" ht="18" customHeight="1">
      <c r="J300" s="8"/>
    </row>
    <row r="301" spans="3:10" ht="18" customHeight="1">
      <c r="C301" s="107" t="s">
        <v>105</v>
      </c>
      <c r="D301" s="108" t="s">
        <v>260</v>
      </c>
      <c r="E301" s="108" t="s">
        <v>261</v>
      </c>
      <c r="F301" s="108" t="s">
        <v>262</v>
      </c>
      <c r="G301" s="121" t="s">
        <v>72</v>
      </c>
      <c r="J301" s="8"/>
    </row>
    <row r="302" spans="3:10" ht="18" customHeight="1">
      <c r="C302" s="111">
        <f>0</f>
        <v>0</v>
      </c>
      <c r="D302" s="114">
        <f>ROUND(-C302*ks*uo-$E$290,2)</f>
        <v>87.19</v>
      </c>
      <c r="E302" s="114">
        <f aca="true" t="shared" si="29" ref="E302:E312">ROUND($D$290-1/2*(qvl+AR163)*C302+tb*24.5*C302,2)</f>
        <v>51.45</v>
      </c>
      <c r="F302" s="114">
        <f aca="true" t="shared" si="30" ref="F302:F312">ROUND($F$290-C302^2/6*(2*qvl+AR163)+1/2*C302^2*tb*24.5+$D$290*C302,2)</f>
        <v>-152.59</v>
      </c>
      <c r="G302" s="115" t="s">
        <v>106</v>
      </c>
      <c r="J302" s="8"/>
    </row>
    <row r="303" spans="3:10" ht="18" customHeight="1">
      <c r="C303" s="111">
        <f aca="true" t="shared" si="31" ref="C303:C312">ROUND(lb/10+C302,3)</f>
        <v>0.46</v>
      </c>
      <c r="D303" s="114">
        <f aca="true" t="shared" si="32" ref="D303:D312">ROUND(-C303*ks*uo-$E$290,2)</f>
        <v>83.11</v>
      </c>
      <c r="E303" s="114">
        <f t="shared" si="29"/>
        <v>49.02</v>
      </c>
      <c r="F303" s="114">
        <f t="shared" si="30"/>
        <v>-129.43</v>
      </c>
      <c r="G303" s="116"/>
      <c r="J303" s="8"/>
    </row>
    <row r="304" spans="3:7" ht="18" customHeight="1">
      <c r="C304" s="111">
        <f t="shared" si="31"/>
        <v>0.92</v>
      </c>
      <c r="D304" s="114">
        <f t="shared" si="32"/>
        <v>79.03</v>
      </c>
      <c r="E304" s="114">
        <f t="shared" si="29"/>
        <v>45.14</v>
      </c>
      <c r="F304" s="114">
        <f t="shared" si="30"/>
        <v>-107.71</v>
      </c>
      <c r="G304" s="116"/>
    </row>
    <row r="305" spans="3:7" ht="18" customHeight="1">
      <c r="C305" s="111">
        <f t="shared" si="31"/>
        <v>1.38</v>
      </c>
      <c r="D305" s="114">
        <f t="shared" si="32"/>
        <v>74.95</v>
      </c>
      <c r="E305" s="114">
        <f t="shared" si="29"/>
        <v>39.79</v>
      </c>
      <c r="F305" s="114">
        <f t="shared" si="30"/>
        <v>-88.12</v>
      </c>
      <c r="G305" s="116"/>
    </row>
    <row r="306" spans="3:7" ht="18" customHeight="1">
      <c r="C306" s="111">
        <f t="shared" si="31"/>
        <v>1.84</v>
      </c>
      <c r="D306" s="114">
        <f t="shared" si="32"/>
        <v>70.87</v>
      </c>
      <c r="E306" s="114">
        <f t="shared" si="29"/>
        <v>32.99</v>
      </c>
      <c r="F306" s="114">
        <f t="shared" si="30"/>
        <v>-71.33</v>
      </c>
      <c r="G306" s="116"/>
    </row>
    <row r="307" spans="3:7" ht="18" customHeight="1">
      <c r="C307" s="111">
        <f t="shared" si="31"/>
        <v>2.3</v>
      </c>
      <c r="D307" s="114">
        <f t="shared" si="32"/>
        <v>66.8</v>
      </c>
      <c r="E307" s="114">
        <f t="shared" si="29"/>
        <v>24.73</v>
      </c>
      <c r="F307" s="114">
        <f t="shared" si="30"/>
        <v>-57.99</v>
      </c>
      <c r="G307" s="116"/>
    </row>
    <row r="308" spans="3:7" ht="18" customHeight="1">
      <c r="C308" s="111">
        <f t="shared" si="31"/>
        <v>2.76</v>
      </c>
      <c r="D308" s="114">
        <f t="shared" si="32"/>
        <v>62.72</v>
      </c>
      <c r="E308" s="114">
        <f t="shared" si="29"/>
        <v>15.01</v>
      </c>
      <c r="F308" s="114">
        <f t="shared" si="30"/>
        <v>-48.8</v>
      </c>
      <c r="G308" s="116"/>
    </row>
    <row r="309" spans="3:7" ht="18" customHeight="1">
      <c r="C309" s="111">
        <f t="shared" si="31"/>
        <v>3.22</v>
      </c>
      <c r="D309" s="114">
        <f t="shared" si="32"/>
        <v>58.64</v>
      </c>
      <c r="E309" s="114">
        <f t="shared" si="29"/>
        <v>3.83</v>
      </c>
      <c r="F309" s="114">
        <f t="shared" si="30"/>
        <v>-44.41</v>
      </c>
      <c r="G309" s="116"/>
    </row>
    <row r="310" spans="3:7" ht="18" customHeight="1">
      <c r="C310" s="111">
        <f t="shared" si="31"/>
        <v>3.68</v>
      </c>
      <c r="D310" s="114">
        <f t="shared" si="32"/>
        <v>54.56</v>
      </c>
      <c r="E310" s="114">
        <f t="shared" si="29"/>
        <v>-8.81</v>
      </c>
      <c r="F310" s="114">
        <f t="shared" si="30"/>
        <v>-45.5</v>
      </c>
      <c r="G310" s="116"/>
    </row>
    <row r="311" spans="3:7" ht="18" customHeight="1">
      <c r="C311" s="111">
        <f t="shared" si="31"/>
        <v>4.14</v>
      </c>
      <c r="D311" s="114">
        <f t="shared" si="32"/>
        <v>50.48</v>
      </c>
      <c r="E311" s="114">
        <f t="shared" si="29"/>
        <v>-22.9</v>
      </c>
      <c r="F311" s="114">
        <f t="shared" si="30"/>
        <v>-52.73</v>
      </c>
      <c r="G311" s="116"/>
    </row>
    <row r="312" spans="3:7" ht="18" customHeight="1">
      <c r="C312" s="117">
        <f t="shared" si="31"/>
        <v>4.6</v>
      </c>
      <c r="D312" s="119">
        <f t="shared" si="32"/>
        <v>46.4</v>
      </c>
      <c r="E312" s="119">
        <f t="shared" si="29"/>
        <v>-38.46</v>
      </c>
      <c r="F312" s="119">
        <f t="shared" si="30"/>
        <v>-66.79</v>
      </c>
      <c r="G312" s="120" t="s">
        <v>114</v>
      </c>
    </row>
    <row r="313" spans="3:7" ht="18" customHeight="1">
      <c r="C313" s="131" t="s">
        <v>100</v>
      </c>
      <c r="D313" s="114">
        <f>MAX(D302:D312)</f>
        <v>87.19</v>
      </c>
      <c r="E313" s="114">
        <f>MAX(E302:E312)</f>
        <v>51.45</v>
      </c>
      <c r="F313" s="114">
        <f>MAX(F302:F312)</f>
        <v>-44.41</v>
      </c>
      <c r="G313" s="116"/>
    </row>
    <row r="314" spans="3:7" ht="18" customHeight="1">
      <c r="C314" s="132" t="s">
        <v>101</v>
      </c>
      <c r="D314" s="119">
        <f>MIN(D302:D312)</f>
        <v>46.4</v>
      </c>
      <c r="E314" s="119">
        <f>MIN(E302:E312)</f>
        <v>-38.46</v>
      </c>
      <c r="F314" s="119">
        <f>MIN(F302:F312)</f>
        <v>-152.59</v>
      </c>
      <c r="G314" s="124"/>
    </row>
    <row r="315" spans="1:10" ht="18" customHeight="1">
      <c r="A315" s="59"/>
      <c r="B315" s="59"/>
      <c r="C315" s="59"/>
      <c r="D315" s="59"/>
      <c r="E315" s="59"/>
      <c r="F315" s="59"/>
      <c r="G315" s="59"/>
      <c r="H315" s="59"/>
      <c r="I315" s="59"/>
      <c r="J315" s="59"/>
    </row>
    <row r="316" spans="1:10" ht="18" customHeight="1">
      <c r="A316" s="59"/>
      <c r="B316" s="59"/>
      <c r="C316" s="59"/>
      <c r="D316" s="59"/>
      <c r="E316" s="59"/>
      <c r="F316" s="59"/>
      <c r="G316" s="59"/>
      <c r="H316" s="59"/>
      <c r="I316" s="59"/>
      <c r="J316" s="59"/>
    </row>
    <row r="317" spans="1:10" ht="18" customHeight="1">
      <c r="A317" s="59"/>
      <c r="B317" s="59"/>
      <c r="C317" s="59"/>
      <c r="D317" s="59"/>
      <c r="E317" s="59"/>
      <c r="F317" s="59"/>
      <c r="G317" s="59"/>
      <c r="H317" s="59"/>
      <c r="I317" s="59"/>
      <c r="J317" s="59"/>
    </row>
    <row r="318" spans="1:10" ht="18" customHeight="1">
      <c r="A318" s="59"/>
      <c r="B318" s="59"/>
      <c r="C318" s="59"/>
      <c r="D318" s="59"/>
      <c r="E318" s="59"/>
      <c r="F318" s="59"/>
      <c r="G318" s="59"/>
      <c r="H318" s="59"/>
      <c r="I318" s="59"/>
      <c r="J318" s="59"/>
    </row>
    <row r="319" spans="1:10" ht="18" customHeight="1">
      <c r="A319" s="59"/>
      <c r="B319" s="59"/>
      <c r="C319" s="59"/>
      <c r="D319" s="59"/>
      <c r="E319" s="59"/>
      <c r="F319" s="59"/>
      <c r="G319" s="59"/>
      <c r="H319" s="59"/>
      <c r="I319" s="59"/>
      <c r="J319" s="59"/>
    </row>
    <row r="320" spans="1:10" ht="18" customHeight="1">
      <c r="A320" s="59"/>
      <c r="B320" s="59"/>
      <c r="C320" s="59"/>
      <c r="D320" s="59"/>
      <c r="E320" s="59"/>
      <c r="F320" s="59"/>
      <c r="G320" s="59"/>
      <c r="H320" s="59"/>
      <c r="I320" s="59"/>
      <c r="J320" s="59"/>
    </row>
    <row r="321" spans="1:10" ht="18" customHeight="1">
      <c r="A321" s="59"/>
      <c r="B321" s="59"/>
      <c r="C321" s="59"/>
      <c r="D321" s="59"/>
      <c r="E321" s="59"/>
      <c r="F321" s="59"/>
      <c r="G321" s="59"/>
      <c r="H321" s="59"/>
      <c r="I321" s="59"/>
      <c r="J321" s="59"/>
    </row>
    <row r="322" spans="1:10" ht="18" customHeight="1">
      <c r="A322" s="59"/>
      <c r="B322" s="59"/>
      <c r="C322" s="59"/>
      <c r="D322" s="59"/>
      <c r="E322" s="59"/>
      <c r="F322" s="59"/>
      <c r="G322" s="59"/>
      <c r="H322" s="59"/>
      <c r="I322" s="59"/>
      <c r="J322" s="59"/>
    </row>
    <row r="323" spans="1:10" ht="18" customHeight="1">
      <c r="A323" s="59"/>
      <c r="B323" s="59"/>
      <c r="C323" s="59"/>
      <c r="D323" s="59"/>
      <c r="E323" s="59"/>
      <c r="F323" s="59"/>
      <c r="G323" s="59"/>
      <c r="H323" s="59"/>
      <c r="I323" s="59"/>
      <c r="J323" s="59"/>
    </row>
    <row r="324" spans="1:10" ht="18" customHeight="1">
      <c r="A324" s="59"/>
      <c r="B324" s="59"/>
      <c r="C324" s="59"/>
      <c r="D324" s="59"/>
      <c r="E324" s="59"/>
      <c r="F324" s="59"/>
      <c r="G324" s="59"/>
      <c r="H324" s="59"/>
      <c r="I324" s="59"/>
      <c r="J324" s="59"/>
    </row>
    <row r="325" spans="1:10" ht="18" customHeight="1">
      <c r="A325" s="59"/>
      <c r="B325" s="59"/>
      <c r="C325" s="59"/>
      <c r="D325" s="59"/>
      <c r="E325" s="59"/>
      <c r="F325" s="59"/>
      <c r="G325" s="59"/>
      <c r="H325" s="59"/>
      <c r="I325" s="59"/>
      <c r="J325" s="59"/>
    </row>
    <row r="326" spans="1:10" ht="18" customHeight="1">
      <c r="A326" s="59"/>
      <c r="B326" s="59"/>
      <c r="C326" s="59"/>
      <c r="D326" s="59"/>
      <c r="E326" s="59"/>
      <c r="F326" s="59"/>
      <c r="G326" s="59"/>
      <c r="H326" s="59"/>
      <c r="I326" s="59"/>
      <c r="J326" s="59"/>
    </row>
    <row r="327" spans="1:10" ht="18" customHeight="1">
      <c r="A327" s="59"/>
      <c r="B327" s="59"/>
      <c r="C327" s="59"/>
      <c r="D327" s="59"/>
      <c r="E327" s="59"/>
      <c r="F327" s="59"/>
      <c r="G327" s="59"/>
      <c r="H327" s="59"/>
      <c r="I327" s="59"/>
      <c r="J327" s="59"/>
    </row>
    <row r="328" spans="1:10" ht="18" customHeight="1">
      <c r="A328" s="59"/>
      <c r="B328" s="59"/>
      <c r="C328" s="59"/>
      <c r="D328" s="59"/>
      <c r="E328" s="59"/>
      <c r="F328" s="59"/>
      <c r="G328" s="59"/>
      <c r="H328" s="59"/>
      <c r="I328" s="59"/>
      <c r="J328" s="59"/>
    </row>
    <row r="329" spans="1:10" ht="18" customHeight="1">
      <c r="A329" s="59"/>
      <c r="B329" s="59"/>
      <c r="C329" s="59"/>
      <c r="D329" s="59"/>
      <c r="E329" s="59"/>
      <c r="F329" s="59"/>
      <c r="G329" s="59"/>
      <c r="H329" s="59"/>
      <c r="I329" s="59"/>
      <c r="J329" s="59"/>
    </row>
    <row r="330" spans="1:10" ht="18" customHeight="1">
      <c r="A330" s="55" t="s">
        <v>274</v>
      </c>
      <c r="B330" s="59"/>
      <c r="C330" s="59"/>
      <c r="D330" s="59"/>
      <c r="E330" s="59"/>
      <c r="F330" s="59"/>
      <c r="G330" s="59"/>
      <c r="H330" s="59"/>
      <c r="I330" s="59"/>
      <c r="J330" s="59"/>
    </row>
    <row r="331" spans="1:10" ht="18" customHeight="1">
      <c r="A331" s="55" t="s">
        <v>95</v>
      </c>
      <c r="B331" s="59"/>
      <c r="C331" s="59"/>
      <c r="D331" s="59"/>
      <c r="E331" s="59"/>
      <c r="F331" s="59"/>
      <c r="G331" s="59"/>
      <c r="H331" s="59"/>
      <c r="I331" s="59"/>
      <c r="J331" s="59"/>
    </row>
    <row r="332" spans="1:10" ht="18" customHeight="1">
      <c r="A332" s="55" t="s">
        <v>115</v>
      </c>
      <c r="B332" s="59"/>
      <c r="C332" s="59"/>
      <c r="D332" s="59"/>
      <c r="E332" s="59"/>
      <c r="F332" s="59"/>
      <c r="G332" s="59"/>
      <c r="H332" s="59"/>
      <c r="I332" s="59"/>
      <c r="J332" s="59"/>
    </row>
    <row r="333" spans="1:10" ht="18" customHeight="1">
      <c r="A333" s="59"/>
      <c r="B333" s="59"/>
      <c r="C333" s="60" t="s">
        <v>116</v>
      </c>
      <c r="D333" s="59">
        <f>MAX(ABS(AS192),ABS(AW192))</f>
        <v>66.92</v>
      </c>
      <c r="E333" s="59" t="s">
        <v>141</v>
      </c>
      <c r="F333" s="59"/>
      <c r="G333" s="59"/>
      <c r="H333" s="59"/>
      <c r="I333" s="59"/>
      <c r="J333" s="59"/>
    </row>
    <row r="334" spans="1:10" ht="18" customHeight="1">
      <c r="A334" s="59"/>
      <c r="B334" s="59"/>
      <c r="C334" s="60" t="s">
        <v>117</v>
      </c>
      <c r="D334" s="59">
        <f>MAX(ABS(AS191),ABS(AW191))</f>
        <v>46.38</v>
      </c>
      <c r="E334" s="59" t="s">
        <v>44</v>
      </c>
      <c r="F334" s="59"/>
      <c r="G334" s="59"/>
      <c r="H334" s="59"/>
      <c r="I334" s="59"/>
      <c r="J334" s="59"/>
    </row>
    <row r="335" spans="1:10" ht="18" customHeight="1">
      <c r="A335" s="59"/>
      <c r="B335" s="59"/>
      <c r="C335" s="61"/>
      <c r="D335" s="59"/>
      <c r="E335" s="59"/>
      <c r="F335" s="59"/>
      <c r="G335" s="59"/>
      <c r="H335" s="59"/>
      <c r="I335" s="59"/>
      <c r="J335" s="59"/>
    </row>
    <row r="336" spans="1:10" ht="18" customHeight="1">
      <c r="A336" s="55" t="s">
        <v>118</v>
      </c>
      <c r="B336" s="59"/>
      <c r="C336" s="61"/>
      <c r="D336" s="59"/>
      <c r="E336" s="59"/>
      <c r="F336" s="59"/>
      <c r="G336" s="59"/>
      <c r="H336" s="59"/>
      <c r="I336" s="59"/>
      <c r="J336" s="59"/>
    </row>
    <row r="337" spans="1:10" ht="18" customHeight="1">
      <c r="A337" s="59"/>
      <c r="B337" s="59"/>
      <c r="C337" s="18" t="s">
        <v>119</v>
      </c>
      <c r="D337" s="62" t="s">
        <v>143</v>
      </c>
      <c r="E337" s="12">
        <f>tf*1000</f>
        <v>400</v>
      </c>
      <c r="F337" s="15" t="s">
        <v>120</v>
      </c>
      <c r="G337" s="66" t="s">
        <v>249</v>
      </c>
      <c r="H337" s="62" t="s">
        <v>250</v>
      </c>
      <c r="I337" s="59">
        <v>1000</v>
      </c>
      <c r="J337" s="59" t="s">
        <v>251</v>
      </c>
    </row>
    <row r="338" spans="1:10" ht="18" customHeight="1">
      <c r="A338" s="59"/>
      <c r="B338" s="59"/>
      <c r="C338" s="18" t="s">
        <v>121</v>
      </c>
      <c r="D338" s="62" t="s">
        <v>144</v>
      </c>
      <c r="E338" s="12">
        <f>E337-Kavrif</f>
        <v>330</v>
      </c>
      <c r="F338" s="15" t="s">
        <v>120</v>
      </c>
      <c r="G338" s="62" t="s">
        <v>252</v>
      </c>
      <c r="H338" s="59">
        <f>データ!G36</f>
        <v>70</v>
      </c>
      <c r="I338" s="59" t="s">
        <v>251</v>
      </c>
      <c r="J338" s="59"/>
    </row>
    <row r="339" spans="1:10" ht="18" customHeight="1">
      <c r="A339" s="59"/>
      <c r="B339" s="59"/>
      <c r="C339" s="18" t="s">
        <v>122</v>
      </c>
      <c r="D339" s="63" t="s">
        <v>26</v>
      </c>
      <c r="E339" s="15" t="str">
        <f>データ!C7</f>
        <v>SD345</v>
      </c>
      <c r="F339" s="15"/>
      <c r="G339" s="59"/>
      <c r="H339" s="59"/>
      <c r="I339" s="59"/>
      <c r="J339" s="59"/>
    </row>
    <row r="340" spans="1:10" ht="18" customHeight="1">
      <c r="A340" s="59"/>
      <c r="B340" s="59"/>
      <c r="C340" s="59"/>
      <c r="D340" s="19" t="s">
        <v>245</v>
      </c>
      <c r="E340" s="65" t="str">
        <f>"D"&amp;データ!E35</f>
        <v>D16</v>
      </c>
      <c r="F340" s="65" t="str">
        <f>"@"&amp;データ!F35&amp;"mm"</f>
        <v>@125mm</v>
      </c>
      <c r="G340" s="99" t="s">
        <v>247</v>
      </c>
      <c r="H340" s="15">
        <f>データ!J35</f>
        <v>1588.8</v>
      </c>
      <c r="I340" s="17" t="s">
        <v>248</v>
      </c>
      <c r="J340" s="17"/>
    </row>
    <row r="341" spans="1:10" ht="18" customHeight="1">
      <c r="A341" s="59"/>
      <c r="B341" s="59"/>
      <c r="C341" s="59"/>
      <c r="D341" s="19" t="s">
        <v>246</v>
      </c>
      <c r="E341" s="65" t="str">
        <f>"D"&amp;データ!E36</f>
        <v>D16</v>
      </c>
      <c r="F341" s="65" t="str">
        <f>"@"&amp;データ!F36&amp;"mm"</f>
        <v>@250mm</v>
      </c>
      <c r="G341" s="99" t="s">
        <v>247</v>
      </c>
      <c r="H341" s="15">
        <f>データ!J36</f>
        <v>794.4</v>
      </c>
      <c r="I341" s="17" t="s">
        <v>248</v>
      </c>
      <c r="J341" s="18"/>
    </row>
    <row r="342" spans="1:10" ht="18" customHeight="1">
      <c r="A342" s="59"/>
      <c r="B342" s="59"/>
      <c r="C342" s="59"/>
      <c r="D342" s="64"/>
      <c r="E342" s="20"/>
      <c r="F342" s="17"/>
      <c r="G342" s="15"/>
      <c r="H342" s="15"/>
      <c r="I342" s="15"/>
      <c r="J342" s="59"/>
    </row>
    <row r="343" spans="1:10" ht="18" customHeight="1">
      <c r="A343" s="59"/>
      <c r="B343" s="59"/>
      <c r="C343" s="59"/>
      <c r="D343" s="64"/>
      <c r="E343" s="100">
        <f>H340/(I337*E338)</f>
        <v>0.004814545454545454</v>
      </c>
      <c r="F343" s="17"/>
      <c r="G343" s="15"/>
      <c r="H343" s="68">
        <f>H341/(I337*E338)</f>
        <v>0.002407272727272727</v>
      </c>
      <c r="I343" s="15"/>
      <c r="J343" s="59"/>
    </row>
    <row r="344" spans="1:10" ht="18" customHeight="1">
      <c r="A344" s="59"/>
      <c r="B344" s="59"/>
      <c r="C344" s="59"/>
      <c r="D344" s="64"/>
      <c r="E344" s="20"/>
      <c r="F344" s="17"/>
      <c r="G344" s="15"/>
      <c r="H344" s="15"/>
      <c r="I344" s="15"/>
      <c r="J344" s="59"/>
    </row>
    <row r="345" spans="1:10" ht="18" customHeight="1">
      <c r="A345" s="59"/>
      <c r="B345" s="59"/>
      <c r="C345" s="59"/>
      <c r="D345" s="64"/>
      <c r="E345" s="20"/>
      <c r="F345" s="17"/>
      <c r="G345" s="15"/>
      <c r="H345" s="15"/>
      <c r="I345" s="15"/>
      <c r="J345" s="59"/>
    </row>
    <row r="346" spans="1:10" ht="18" customHeight="1">
      <c r="A346" s="59"/>
      <c r="B346" s="59"/>
      <c r="C346" s="59"/>
      <c r="D346" s="64"/>
      <c r="E346" s="20"/>
      <c r="F346" s="15">
        <f>(2*15*(E343+H338/E338*H343)+15*15*(E343+H343)^2)^0.5-15*(E343+H343)</f>
        <v>0.30578644343938044</v>
      </c>
      <c r="H346" s="15"/>
      <c r="I346" s="15"/>
      <c r="J346" s="59"/>
    </row>
    <row r="347" spans="1:10" ht="18" customHeight="1">
      <c r="A347" s="59"/>
      <c r="B347" s="59"/>
      <c r="C347" s="59"/>
      <c r="D347" s="64"/>
      <c r="E347" s="20"/>
      <c r="F347" s="17"/>
      <c r="G347" s="15"/>
      <c r="H347" s="15"/>
      <c r="I347" s="15"/>
      <c r="J347" s="59"/>
    </row>
    <row r="348" spans="1:10" ht="18" customHeight="1">
      <c r="A348" s="59"/>
      <c r="B348" s="59"/>
      <c r="C348" s="21">
        <f>F346*E338</f>
        <v>100.90952633499555</v>
      </c>
      <c r="D348" s="59" t="s">
        <v>251</v>
      </c>
      <c r="E348" s="20"/>
      <c r="F348" s="17"/>
      <c r="G348" s="15"/>
      <c r="H348" s="15"/>
      <c r="I348" s="15"/>
      <c r="J348" s="59"/>
    </row>
    <row r="349" spans="1:10" ht="18" customHeight="1">
      <c r="A349" s="59"/>
      <c r="B349" s="59"/>
      <c r="C349" s="59"/>
      <c r="D349" s="64"/>
      <c r="E349" s="20"/>
      <c r="F349" s="17"/>
      <c r="G349" s="15"/>
      <c r="H349" s="15"/>
      <c r="I349" s="15"/>
      <c r="J349" s="59"/>
    </row>
    <row r="350" spans="1:10" ht="18" customHeight="1">
      <c r="A350" s="59"/>
      <c r="B350" s="66" t="s">
        <v>199</v>
      </c>
      <c r="C350" s="59"/>
      <c r="D350" s="64"/>
      <c r="E350" s="20"/>
      <c r="F350" s="17"/>
      <c r="G350" s="15"/>
      <c r="H350" s="15"/>
      <c r="I350" s="15"/>
      <c r="J350" s="59"/>
    </row>
    <row r="351" spans="1:10" ht="18" customHeight="1">
      <c r="A351" s="59"/>
      <c r="B351" s="59"/>
      <c r="C351" s="59"/>
      <c r="D351" s="64"/>
      <c r="E351" s="20"/>
      <c r="F351" s="17"/>
      <c r="G351" s="15"/>
      <c r="H351" s="15"/>
      <c r="I351" s="15"/>
      <c r="J351" s="59"/>
    </row>
    <row r="352" spans="1:10" ht="18" customHeight="1">
      <c r="A352" s="59"/>
      <c r="B352" s="59"/>
      <c r="C352" s="59"/>
      <c r="D352" s="64"/>
      <c r="E352" s="20"/>
      <c r="F352" s="17"/>
      <c r="G352" s="15"/>
      <c r="H352" s="15"/>
      <c r="I352" s="15"/>
      <c r="J352" s="59"/>
    </row>
    <row r="353" spans="1:10" ht="18" customHeight="1">
      <c r="A353" s="59"/>
      <c r="C353" s="59"/>
      <c r="D353" s="64"/>
      <c r="E353" s="20"/>
      <c r="F353" s="17"/>
      <c r="G353" s="15"/>
      <c r="H353" s="15"/>
      <c r="I353" s="15"/>
      <c r="J353" s="59"/>
    </row>
    <row r="354" spans="1:10" ht="18" customHeight="1">
      <c r="A354" s="59"/>
      <c r="B354" s="59"/>
      <c r="C354" s="59"/>
      <c r="D354" s="59"/>
      <c r="E354" s="59"/>
      <c r="F354" s="17"/>
      <c r="G354" s="15"/>
      <c r="H354" s="15"/>
      <c r="I354" s="15"/>
      <c r="J354" s="59"/>
    </row>
    <row r="355" spans="1:9" ht="18" customHeight="1">
      <c r="A355" s="59"/>
      <c r="B355" s="59"/>
      <c r="C355" s="59" t="s">
        <v>253</v>
      </c>
      <c r="D355" s="21">
        <f>D333*1000000/(I337*C348/2*(E338-C348/3)+15*H341*(C348-H338)/C348*(E338-H338))</f>
        <v>4.208290248837136</v>
      </c>
      <c r="E355" s="15" t="s">
        <v>145</v>
      </c>
      <c r="F355" s="13" t="str">
        <f>IF(D355&lt;G355,"&lt;","&gt;")</f>
        <v>&lt;</v>
      </c>
      <c r="G355" s="14">
        <f>σca</f>
        <v>8</v>
      </c>
      <c r="H355" s="15" t="s">
        <v>145</v>
      </c>
      <c r="I355" s="13" t="str">
        <f>IF(D355&lt;G355,"O.K.","OUT")</f>
        <v>O.K.</v>
      </c>
    </row>
    <row r="356" spans="1:10" ht="18" customHeight="1">
      <c r="A356" s="59"/>
      <c r="B356" s="59"/>
      <c r="C356" s="59"/>
      <c r="D356" s="64"/>
      <c r="E356" s="20"/>
      <c r="F356" s="17"/>
      <c r="G356" s="15"/>
      <c r="H356" s="15"/>
      <c r="I356" s="15"/>
      <c r="J356" s="59"/>
    </row>
    <row r="357" spans="1:10" ht="18" customHeight="1">
      <c r="A357" s="59"/>
      <c r="B357" s="66" t="s">
        <v>200</v>
      </c>
      <c r="C357" s="59"/>
      <c r="D357" s="64"/>
      <c r="E357" s="20"/>
      <c r="F357" s="17"/>
      <c r="G357" s="15"/>
      <c r="H357" s="15"/>
      <c r="I357" s="15"/>
      <c r="J357" s="59"/>
    </row>
    <row r="358" spans="1:10" ht="18" customHeight="1">
      <c r="A358" s="59"/>
      <c r="B358" s="59"/>
      <c r="C358" s="59"/>
      <c r="D358" s="64"/>
      <c r="E358" s="20"/>
      <c r="F358" s="17"/>
      <c r="G358" s="15"/>
      <c r="H358" s="15"/>
      <c r="I358" s="15"/>
      <c r="J358" s="59"/>
    </row>
    <row r="359" spans="1:9" ht="18" customHeight="1">
      <c r="A359" s="59"/>
      <c r="B359" s="59"/>
      <c r="C359" s="59"/>
      <c r="D359" s="64"/>
      <c r="E359" s="20">
        <f>15*D355*(E338-C348)/C348</f>
        <v>143.30845284498798</v>
      </c>
      <c r="F359" s="15" t="s">
        <v>145</v>
      </c>
      <c r="G359" s="13" t="str">
        <f>IF(E359&lt;H359,"&lt;","&gt;")</f>
        <v>&lt;</v>
      </c>
      <c r="H359" s="14">
        <f>σsa</f>
        <v>160</v>
      </c>
      <c r="I359" s="15" t="s">
        <v>145</v>
      </c>
    </row>
    <row r="360" spans="1:10" ht="18" customHeight="1">
      <c r="A360" s="59"/>
      <c r="C360" s="59"/>
      <c r="D360" s="64"/>
      <c r="E360" s="20"/>
      <c r="F360" s="17"/>
      <c r="G360" s="15"/>
      <c r="H360" s="15"/>
      <c r="I360" s="13" t="str">
        <f>IF(E359&lt;H359,"O.K.","OUT")</f>
        <v>O.K.</v>
      </c>
      <c r="J360" s="59"/>
    </row>
    <row r="361" spans="1:10" ht="18" customHeight="1">
      <c r="A361" s="59"/>
      <c r="B361" s="59"/>
      <c r="C361" s="59"/>
      <c r="D361" s="64"/>
      <c r="E361" s="20"/>
      <c r="F361" s="17"/>
      <c r="G361" s="15"/>
      <c r="H361" s="15"/>
      <c r="I361" s="15"/>
      <c r="J361" s="59"/>
    </row>
    <row r="362" spans="1:10" ht="18" customHeight="1">
      <c r="A362" s="59"/>
      <c r="B362" s="66" t="s">
        <v>201</v>
      </c>
      <c r="C362" s="59"/>
      <c r="D362" s="59"/>
      <c r="E362" s="59"/>
      <c r="F362" s="59"/>
      <c r="G362" s="59"/>
      <c r="H362" s="59"/>
      <c r="I362" s="59"/>
      <c r="J362" s="59"/>
    </row>
    <row r="363" spans="1:10" ht="18" customHeight="1">
      <c r="A363" s="59"/>
      <c r="B363" s="15"/>
      <c r="C363" s="59"/>
      <c r="D363" s="59"/>
      <c r="E363" s="59"/>
      <c r="F363" s="59"/>
      <c r="G363" s="59"/>
      <c r="H363" s="59"/>
      <c r="I363" s="59"/>
      <c r="J363" s="59"/>
    </row>
    <row r="364" spans="1:9" ht="18" customHeight="1">
      <c r="A364" s="59"/>
      <c r="B364" s="59"/>
      <c r="C364" s="59"/>
      <c r="D364" s="59"/>
      <c r="E364" s="21">
        <f>D334*1000/I337/E338</f>
        <v>0.14054545454545456</v>
      </c>
      <c r="F364" s="15" t="s">
        <v>145</v>
      </c>
      <c r="G364" s="13" t="str">
        <f>IF(E364&lt;H364,"&lt;","&gt;")</f>
        <v>&lt;</v>
      </c>
      <c r="H364" s="22">
        <f>τa</f>
        <v>0.39</v>
      </c>
      <c r="I364" s="15" t="s">
        <v>145</v>
      </c>
    </row>
    <row r="365" spans="1:10" ht="18" customHeight="1">
      <c r="A365" s="59"/>
      <c r="B365" s="15"/>
      <c r="C365" s="67"/>
      <c r="D365" s="68"/>
      <c r="E365" s="17"/>
      <c r="F365" s="15"/>
      <c r="G365" s="62"/>
      <c r="H365" s="59"/>
      <c r="I365" s="13" t="str">
        <f>IF(E364&lt;H364,"O.K.","OUT")</f>
        <v>O.K.</v>
      </c>
      <c r="J365" s="59"/>
    </row>
    <row r="366" spans="1:10" ht="18" customHeight="1">
      <c r="A366" s="59"/>
      <c r="B366" s="15"/>
      <c r="C366" s="62"/>
      <c r="D366" s="59"/>
      <c r="E366" s="17"/>
      <c r="F366" s="15"/>
      <c r="G366" s="62"/>
      <c r="H366" s="59"/>
      <c r="I366" s="15"/>
      <c r="J366" s="59"/>
    </row>
    <row r="367" spans="1:11" ht="18" customHeight="1">
      <c r="A367" s="55" t="s">
        <v>102</v>
      </c>
      <c r="B367" s="59"/>
      <c r="C367" s="16"/>
      <c r="D367" s="15"/>
      <c r="E367" s="17"/>
      <c r="F367" s="15"/>
      <c r="G367" s="16"/>
      <c r="H367" s="15"/>
      <c r="I367" s="15"/>
      <c r="J367" s="59"/>
      <c r="K367" s="59"/>
    </row>
    <row r="368" spans="1:11" ht="18" customHeight="1">
      <c r="A368" s="55" t="s">
        <v>115</v>
      </c>
      <c r="B368" s="59"/>
      <c r="C368" s="19"/>
      <c r="D368" s="59"/>
      <c r="E368" s="59"/>
      <c r="F368" s="59"/>
      <c r="G368" s="59"/>
      <c r="H368" s="59"/>
      <c r="I368" s="59"/>
      <c r="J368" s="59"/>
      <c r="K368" s="59"/>
    </row>
    <row r="369" spans="1:11" ht="18" customHeight="1">
      <c r="A369" s="59"/>
      <c r="B369" s="18"/>
      <c r="C369" s="60" t="s">
        <v>116</v>
      </c>
      <c r="D369" s="59">
        <f>ABS(F290)</f>
        <v>152.59</v>
      </c>
      <c r="E369" s="59" t="s">
        <v>141</v>
      </c>
      <c r="F369" s="59"/>
      <c r="G369" s="59"/>
      <c r="H369" s="59"/>
      <c r="I369" s="59"/>
      <c r="J369" s="59"/>
      <c r="K369" s="59"/>
    </row>
    <row r="370" spans="1:11" ht="18" customHeight="1">
      <c r="A370" s="59"/>
      <c r="B370" s="18"/>
      <c r="C370" s="60" t="s">
        <v>117</v>
      </c>
      <c r="D370" s="59">
        <f>ABS(E290)</f>
        <v>87.19</v>
      </c>
      <c r="E370" s="59" t="s">
        <v>44</v>
      </c>
      <c r="F370" s="59"/>
      <c r="G370" s="59"/>
      <c r="H370" s="59"/>
      <c r="I370" s="59"/>
      <c r="J370" s="59"/>
      <c r="K370" s="59"/>
    </row>
    <row r="371" spans="1:11" ht="18" customHeight="1">
      <c r="A371" s="55" t="s">
        <v>118</v>
      </c>
      <c r="B371" s="59"/>
      <c r="C371" s="59"/>
      <c r="D371" s="59"/>
      <c r="E371" s="59"/>
      <c r="F371" s="59"/>
      <c r="G371" s="59"/>
      <c r="H371" s="59"/>
      <c r="I371" s="59"/>
      <c r="J371" s="59"/>
      <c r="K371" s="59"/>
    </row>
    <row r="372" spans="1:11" ht="18" customHeight="1">
      <c r="A372" s="59"/>
      <c r="B372" s="18" t="s">
        <v>119</v>
      </c>
      <c r="C372" s="62" t="s">
        <v>143</v>
      </c>
      <c r="D372" s="12">
        <f>BI429*1000</f>
        <v>400</v>
      </c>
      <c r="E372" s="15" t="s">
        <v>120</v>
      </c>
      <c r="F372" s="66" t="s">
        <v>249</v>
      </c>
      <c r="G372" s="62" t="s">
        <v>250</v>
      </c>
      <c r="H372" s="59">
        <v>1000</v>
      </c>
      <c r="I372" s="59" t="s">
        <v>251</v>
      </c>
      <c r="K372" s="59"/>
    </row>
    <row r="373" spans="1:11" ht="18" customHeight="1">
      <c r="A373" s="59"/>
      <c r="B373" s="18" t="s">
        <v>121</v>
      </c>
      <c r="C373" s="62" t="s">
        <v>144</v>
      </c>
      <c r="D373" s="12">
        <f>D372-BM429</f>
        <v>330</v>
      </c>
      <c r="E373" s="15" t="s">
        <v>120</v>
      </c>
      <c r="F373" s="62" t="s">
        <v>252</v>
      </c>
      <c r="G373" s="59">
        <f>BM430</f>
        <v>70</v>
      </c>
      <c r="H373" s="59" t="s">
        <v>251</v>
      </c>
      <c r="I373" s="59"/>
      <c r="K373" s="59"/>
    </row>
    <row r="374" spans="1:11" ht="18" customHeight="1">
      <c r="A374" s="59"/>
      <c r="B374" s="18" t="s">
        <v>122</v>
      </c>
      <c r="C374" s="63" t="s">
        <v>26</v>
      </c>
      <c r="D374" s="15" t="str">
        <f>E339</f>
        <v>SD345</v>
      </c>
      <c r="E374" s="15"/>
      <c r="F374" s="59"/>
      <c r="G374" s="59"/>
      <c r="H374" s="59"/>
      <c r="I374" s="59"/>
      <c r="K374" s="59"/>
    </row>
    <row r="375" spans="1:11" ht="18" customHeight="1">
      <c r="A375" s="59"/>
      <c r="B375" s="59"/>
      <c r="C375" s="19" t="s">
        <v>245</v>
      </c>
      <c r="D375" s="65" t="str">
        <f>"D"&amp;BK429</f>
        <v>D25</v>
      </c>
      <c r="E375" s="65" t="str">
        <f>"@"&amp;BL429&amp;"mm"</f>
        <v>@125mm</v>
      </c>
      <c r="F375" s="99" t="s">
        <v>247</v>
      </c>
      <c r="G375" s="15">
        <f>BP429</f>
        <v>4053.6000000000004</v>
      </c>
      <c r="H375" s="17" t="s">
        <v>248</v>
      </c>
      <c r="J375" s="17"/>
      <c r="K375" s="59"/>
    </row>
    <row r="376" spans="1:11" ht="18" customHeight="1">
      <c r="A376" s="59"/>
      <c r="B376" s="59"/>
      <c r="C376" s="19" t="s">
        <v>246</v>
      </c>
      <c r="D376" s="65" t="str">
        <f>"D"&amp;BK430</f>
        <v>D22</v>
      </c>
      <c r="E376" s="65" t="str">
        <f>"@"&amp;BL430&amp;"mm"</f>
        <v>@250mm</v>
      </c>
      <c r="F376" s="99" t="s">
        <v>247</v>
      </c>
      <c r="G376" s="15">
        <f>BP430</f>
        <v>1548.4</v>
      </c>
      <c r="H376" s="17" t="s">
        <v>248</v>
      </c>
      <c r="J376" s="18"/>
      <c r="K376" s="59"/>
    </row>
    <row r="377" spans="1:11" ht="18" customHeight="1">
      <c r="A377" s="59"/>
      <c r="B377" s="59"/>
      <c r="C377" s="59"/>
      <c r="D377" s="64"/>
      <c r="E377" s="20"/>
      <c r="F377" s="17"/>
      <c r="G377" s="15"/>
      <c r="H377" s="15"/>
      <c r="I377" s="15"/>
      <c r="J377" s="59"/>
      <c r="K377" s="59"/>
    </row>
    <row r="378" spans="1:11" ht="18" customHeight="1">
      <c r="A378" s="59"/>
      <c r="B378" s="59"/>
      <c r="C378" s="59"/>
      <c r="D378" s="64"/>
      <c r="E378" s="100">
        <f>G375/(H372*D373)</f>
        <v>0.012283636363636365</v>
      </c>
      <c r="F378" s="17"/>
      <c r="G378" s="15"/>
      <c r="H378" s="68">
        <f>G376/(H372*D373)</f>
        <v>0.004692121212121213</v>
      </c>
      <c r="I378" s="15"/>
      <c r="J378" s="59"/>
      <c r="K378" s="59"/>
    </row>
    <row r="379" spans="1:11" ht="18" customHeight="1">
      <c r="A379" s="59"/>
      <c r="B379" s="59"/>
      <c r="C379" s="59"/>
      <c r="D379" s="64"/>
      <c r="E379" s="20"/>
      <c r="F379" s="17"/>
      <c r="G379" s="15"/>
      <c r="H379" s="15"/>
      <c r="I379" s="15"/>
      <c r="J379" s="59"/>
      <c r="K379" s="59"/>
    </row>
    <row r="380" spans="1:11" ht="18" customHeight="1">
      <c r="A380" s="59"/>
      <c r="B380" s="59"/>
      <c r="C380" s="59"/>
      <c r="D380" s="64"/>
      <c r="E380" s="20"/>
      <c r="F380" s="17"/>
      <c r="G380" s="15"/>
      <c r="H380" s="15"/>
      <c r="I380" s="15"/>
      <c r="J380" s="59"/>
      <c r="K380" s="59"/>
    </row>
    <row r="381" spans="1:11" ht="18" customHeight="1">
      <c r="A381" s="59"/>
      <c r="B381" s="59"/>
      <c r="C381" s="59"/>
      <c r="D381" s="64"/>
      <c r="E381" s="20"/>
      <c r="F381" s="15">
        <f>(2*15*(E378+G373/D373*H378)+15*15*(E378+H378)^2)^0.5-15*(E378+H378)</f>
        <v>0.4259572902887119</v>
      </c>
      <c r="H381" s="15"/>
      <c r="I381" s="15"/>
      <c r="J381" s="59"/>
      <c r="K381" s="59"/>
    </row>
    <row r="382" spans="1:11" ht="18" customHeight="1">
      <c r="A382" s="59"/>
      <c r="B382" s="59"/>
      <c r="C382" s="59"/>
      <c r="D382" s="64"/>
      <c r="E382" s="20"/>
      <c r="F382" s="17"/>
      <c r="G382" s="15"/>
      <c r="H382" s="15"/>
      <c r="I382" s="15"/>
      <c r="J382" s="59"/>
      <c r="K382" s="59"/>
    </row>
    <row r="383" spans="1:11" ht="18" customHeight="1">
      <c r="A383" s="59"/>
      <c r="B383" s="59"/>
      <c r="C383" s="21">
        <f>F381*D373</f>
        <v>140.56590579527492</v>
      </c>
      <c r="D383" s="59" t="s">
        <v>251</v>
      </c>
      <c r="E383" s="20"/>
      <c r="F383" s="17"/>
      <c r="G383" s="15"/>
      <c r="H383" s="15"/>
      <c r="I383" s="15"/>
      <c r="J383" s="59"/>
      <c r="K383" s="59"/>
    </row>
    <row r="384" spans="1:11" ht="18" customHeight="1">
      <c r="A384" s="59"/>
      <c r="B384" s="59"/>
      <c r="C384" s="59"/>
      <c r="D384" s="64"/>
      <c r="E384" s="20"/>
      <c r="F384" s="17"/>
      <c r="G384" s="15"/>
      <c r="H384" s="15"/>
      <c r="I384" s="15"/>
      <c r="J384" s="59"/>
      <c r="K384" s="59"/>
    </row>
    <row r="385" spans="1:11" ht="18" customHeight="1">
      <c r="A385" s="59"/>
      <c r="B385" s="66" t="s">
        <v>199</v>
      </c>
      <c r="C385" s="59"/>
      <c r="D385" s="64"/>
      <c r="E385" s="20"/>
      <c r="F385" s="17"/>
      <c r="G385" s="15"/>
      <c r="H385" s="15"/>
      <c r="I385" s="15"/>
      <c r="J385" s="59"/>
      <c r="K385" s="59"/>
    </row>
    <row r="386" spans="1:11" ht="18" customHeight="1">
      <c r="A386" s="59"/>
      <c r="B386" s="59"/>
      <c r="C386" s="59"/>
      <c r="D386" s="64"/>
      <c r="E386" s="20"/>
      <c r="F386" s="17"/>
      <c r="G386" s="15"/>
      <c r="H386" s="15"/>
      <c r="I386" s="15"/>
      <c r="J386" s="59"/>
      <c r="K386" s="59"/>
    </row>
    <row r="387" spans="1:11" ht="18" customHeight="1">
      <c r="A387" s="59"/>
      <c r="B387" s="59"/>
      <c r="C387" s="59"/>
      <c r="D387" s="64"/>
      <c r="E387" s="20"/>
      <c r="F387" s="17"/>
      <c r="G387" s="15"/>
      <c r="H387" s="15"/>
      <c r="I387" s="15"/>
      <c r="J387" s="59"/>
      <c r="K387" s="59"/>
    </row>
    <row r="388" spans="1:11" ht="18" customHeight="1">
      <c r="A388" s="59"/>
      <c r="C388" s="59"/>
      <c r="D388" s="64"/>
      <c r="E388" s="20"/>
      <c r="F388" s="17"/>
      <c r="G388" s="15"/>
      <c r="H388" s="15"/>
      <c r="I388" s="15"/>
      <c r="J388" s="59"/>
      <c r="K388" s="59"/>
    </row>
    <row r="389" spans="1:11" ht="18" customHeight="1">
      <c r="A389" s="59"/>
      <c r="B389" s="59"/>
      <c r="C389" s="59"/>
      <c r="D389" s="59"/>
      <c r="E389" s="59"/>
      <c r="F389" s="17"/>
      <c r="G389" s="15"/>
      <c r="H389" s="15"/>
      <c r="I389" s="15"/>
      <c r="J389" s="59"/>
      <c r="K389" s="59"/>
    </row>
    <row r="390" spans="1:11" ht="18" customHeight="1">
      <c r="A390" s="59"/>
      <c r="B390" s="59"/>
      <c r="C390" s="59" t="s">
        <v>253</v>
      </c>
      <c r="D390" s="21">
        <f>D369*1000000/(H372*C383/2*(D373-C383/3)+15*G376*(C383-G373)/C383*(D373-G373))</f>
        <v>6.654084061592537</v>
      </c>
      <c r="E390" s="15" t="s">
        <v>145</v>
      </c>
      <c r="F390" s="13" t="str">
        <f>IF(D390&lt;G390,"&lt;","&gt;")</f>
        <v>&lt;</v>
      </c>
      <c r="G390" s="14">
        <f>σca</f>
        <v>8</v>
      </c>
      <c r="H390" s="15" t="s">
        <v>145</v>
      </c>
      <c r="I390" s="13" t="str">
        <f>IF(D390&lt;G390,"O.K.","OUT")</f>
        <v>O.K.</v>
      </c>
      <c r="K390" s="59"/>
    </row>
    <row r="391" spans="1:11" ht="18" customHeight="1">
      <c r="A391" s="59"/>
      <c r="B391" s="59"/>
      <c r="C391" s="59"/>
      <c r="D391" s="64"/>
      <c r="E391" s="20"/>
      <c r="F391" s="17"/>
      <c r="G391" s="15"/>
      <c r="H391" s="15"/>
      <c r="I391" s="15"/>
      <c r="J391" s="59"/>
      <c r="K391" s="59"/>
    </row>
    <row r="392" spans="1:11" ht="18" customHeight="1">
      <c r="A392" s="59"/>
      <c r="B392" s="66" t="s">
        <v>200</v>
      </c>
      <c r="C392" s="59"/>
      <c r="D392" s="64"/>
      <c r="E392" s="20"/>
      <c r="F392" s="17"/>
      <c r="G392" s="15"/>
      <c r="H392" s="15"/>
      <c r="I392" s="15"/>
      <c r="J392" s="59"/>
      <c r="K392" s="59"/>
    </row>
    <row r="393" spans="1:11" ht="18" customHeight="1">
      <c r="A393" s="59"/>
      <c r="B393" s="59"/>
      <c r="C393" s="59"/>
      <c r="D393" s="64"/>
      <c r="E393" s="20"/>
      <c r="F393" s="17"/>
      <c r="G393" s="15"/>
      <c r="H393" s="15"/>
      <c r="I393" s="15"/>
      <c r="J393" s="59"/>
      <c r="K393" s="59"/>
    </row>
    <row r="394" spans="1:11" ht="18" customHeight="1">
      <c r="A394" s="59"/>
      <c r="B394" s="59"/>
      <c r="C394" s="59"/>
      <c r="D394" s="64"/>
      <c r="E394" s="20">
        <f>15*D390*(D373-C383)/C383</f>
        <v>134.51096620887554</v>
      </c>
      <c r="F394" s="15" t="s">
        <v>145</v>
      </c>
      <c r="G394" s="13" t="str">
        <f>IF(E394&lt;H394,"&lt;","&gt;")</f>
        <v>&lt;</v>
      </c>
      <c r="H394" s="14">
        <f>σsa</f>
        <v>160</v>
      </c>
      <c r="I394" s="15" t="s">
        <v>145</v>
      </c>
      <c r="K394" s="59"/>
    </row>
    <row r="395" spans="1:11" ht="18" customHeight="1">
      <c r="A395" s="59"/>
      <c r="C395" s="59"/>
      <c r="D395" s="64"/>
      <c r="E395" s="20"/>
      <c r="F395" s="17"/>
      <c r="G395" s="15"/>
      <c r="H395" s="15"/>
      <c r="I395" s="13" t="str">
        <f>IF(E394&lt;H394,"O.K.","OUT")</f>
        <v>O.K.</v>
      </c>
      <c r="J395" s="59"/>
      <c r="K395" s="59"/>
    </row>
    <row r="396" spans="1:11" ht="18" customHeight="1">
      <c r="A396" s="59"/>
      <c r="B396" s="59"/>
      <c r="C396" s="59"/>
      <c r="D396" s="64"/>
      <c r="E396" s="20"/>
      <c r="F396" s="17"/>
      <c r="G396" s="15"/>
      <c r="H396" s="15"/>
      <c r="I396" s="15"/>
      <c r="J396" s="59"/>
      <c r="K396" s="59"/>
    </row>
    <row r="397" spans="1:11" ht="18" customHeight="1">
      <c r="A397" s="59"/>
      <c r="B397" s="66" t="s">
        <v>201</v>
      </c>
      <c r="C397" s="59"/>
      <c r="D397" s="59"/>
      <c r="E397" s="59"/>
      <c r="F397" s="59"/>
      <c r="G397" s="59"/>
      <c r="H397" s="59"/>
      <c r="I397" s="59"/>
      <c r="J397" s="59"/>
      <c r="K397" s="59"/>
    </row>
    <row r="398" spans="1:11" ht="18" customHeight="1">
      <c r="A398" s="59"/>
      <c r="B398" s="15"/>
      <c r="C398" s="59"/>
      <c r="D398" s="59"/>
      <c r="E398" s="59"/>
      <c r="F398" s="59"/>
      <c r="G398" s="59"/>
      <c r="H398" s="59"/>
      <c r="I398" s="59"/>
      <c r="J398" s="59"/>
      <c r="K398" s="59"/>
    </row>
    <row r="399" spans="1:11" ht="18" customHeight="1">
      <c r="A399" s="59"/>
      <c r="B399" s="59"/>
      <c r="C399" s="59"/>
      <c r="D399" s="59"/>
      <c r="E399" s="21">
        <f>D370*1000/H372/D373</f>
        <v>0.26421212121212123</v>
      </c>
      <c r="F399" s="15" t="s">
        <v>145</v>
      </c>
      <c r="G399" s="13" t="str">
        <f>IF(E399&lt;H399,"&lt;","&gt;")</f>
        <v>&lt;</v>
      </c>
      <c r="H399" s="22">
        <f>τa</f>
        <v>0.39</v>
      </c>
      <c r="I399" s="15" t="s">
        <v>145</v>
      </c>
      <c r="K399" s="59"/>
    </row>
    <row r="400" spans="1:11" ht="18" customHeight="1">
      <c r="A400" s="59"/>
      <c r="B400" s="15"/>
      <c r="C400" s="67"/>
      <c r="D400" s="68"/>
      <c r="E400" s="17"/>
      <c r="F400" s="15"/>
      <c r="G400" s="62"/>
      <c r="H400" s="59"/>
      <c r="I400" s="13" t="str">
        <f>IF(E399&lt;H399,"O.K.","OUT")</f>
        <v>O.K.</v>
      </c>
      <c r="J400" s="59"/>
      <c r="K400" s="59"/>
    </row>
    <row r="401" spans="1:11" ht="18" customHeight="1">
      <c r="A401" s="59"/>
      <c r="B401" s="15"/>
      <c r="C401" s="67"/>
      <c r="D401" s="68"/>
      <c r="E401" s="17"/>
      <c r="F401" s="15"/>
      <c r="G401" s="62"/>
      <c r="H401" s="59"/>
      <c r="I401" s="15"/>
      <c r="J401" s="59"/>
      <c r="K401" s="59"/>
    </row>
    <row r="402" spans="1:11" ht="18" customHeight="1">
      <c r="A402" s="55" t="s">
        <v>254</v>
      </c>
      <c r="B402" s="15"/>
      <c r="C402" s="67"/>
      <c r="D402" s="68"/>
      <c r="E402" s="17"/>
      <c r="F402" s="15"/>
      <c r="G402" s="62"/>
      <c r="H402" s="59"/>
      <c r="I402" s="15"/>
      <c r="J402" s="59"/>
      <c r="K402" s="59"/>
    </row>
    <row r="403" spans="1:11" ht="18" customHeight="1">
      <c r="A403" s="55" t="s">
        <v>115</v>
      </c>
      <c r="B403" s="15"/>
      <c r="C403" s="67"/>
      <c r="D403" s="68"/>
      <c r="E403" s="17"/>
      <c r="F403" s="15"/>
      <c r="G403" s="62"/>
      <c r="H403" s="59"/>
      <c r="I403" s="15"/>
      <c r="J403" s="59"/>
      <c r="K403" s="59"/>
    </row>
    <row r="404" spans="1:11" ht="18" customHeight="1">
      <c r="A404" s="59"/>
      <c r="B404" s="15"/>
      <c r="C404" s="60" t="s">
        <v>116</v>
      </c>
      <c r="D404" s="59">
        <f>MAX(ABS(F302),ABS(F312))</f>
        <v>152.59</v>
      </c>
      <c r="E404" s="59" t="s">
        <v>141</v>
      </c>
      <c r="F404" s="15"/>
      <c r="G404" s="62"/>
      <c r="H404" s="59"/>
      <c r="I404" s="15"/>
      <c r="J404" s="59"/>
      <c r="K404" s="59"/>
    </row>
    <row r="405" spans="1:11" ht="18" customHeight="1">
      <c r="A405" s="59"/>
      <c r="B405" s="15"/>
      <c r="C405" s="60" t="s">
        <v>117</v>
      </c>
      <c r="D405" s="59">
        <f>MAX(ABS(E302),ABS(E312))</f>
        <v>51.45</v>
      </c>
      <c r="E405" s="59" t="s">
        <v>44</v>
      </c>
      <c r="F405" s="15"/>
      <c r="G405" s="62"/>
      <c r="H405" s="59"/>
      <c r="I405" s="15"/>
      <c r="J405" s="59"/>
      <c r="K405" s="59"/>
    </row>
    <row r="406" spans="1:11" ht="18" customHeight="1">
      <c r="A406" s="55" t="s">
        <v>118</v>
      </c>
      <c r="B406" s="15"/>
      <c r="C406" s="67"/>
      <c r="D406" s="68"/>
      <c r="E406" s="17"/>
      <c r="F406" s="15"/>
      <c r="G406" s="62"/>
      <c r="H406" s="59"/>
      <c r="I406" s="15"/>
      <c r="J406" s="59"/>
      <c r="K406" s="59"/>
    </row>
    <row r="407" spans="1:11" ht="18" customHeight="1">
      <c r="A407" s="59"/>
      <c r="B407" s="18" t="s">
        <v>119</v>
      </c>
      <c r="C407" s="62" t="s">
        <v>143</v>
      </c>
      <c r="D407" s="12">
        <f>BI431*1000</f>
        <v>400</v>
      </c>
      <c r="E407" s="15" t="s">
        <v>120</v>
      </c>
      <c r="F407" s="66" t="s">
        <v>249</v>
      </c>
      <c r="G407" s="62" t="s">
        <v>250</v>
      </c>
      <c r="H407" s="59">
        <v>1000</v>
      </c>
      <c r="I407" s="59" t="s">
        <v>251</v>
      </c>
      <c r="K407" s="59"/>
    </row>
    <row r="408" spans="1:11" ht="18" customHeight="1">
      <c r="A408" s="59"/>
      <c r="B408" s="18" t="s">
        <v>121</v>
      </c>
      <c r="C408" s="62" t="s">
        <v>144</v>
      </c>
      <c r="D408" s="12">
        <f>D407-BM431</f>
        <v>300</v>
      </c>
      <c r="E408" s="15" t="s">
        <v>120</v>
      </c>
      <c r="F408" s="62" t="s">
        <v>252</v>
      </c>
      <c r="G408" s="59">
        <f>BM432</f>
        <v>70</v>
      </c>
      <c r="H408" s="59" t="s">
        <v>251</v>
      </c>
      <c r="I408" s="59"/>
      <c r="K408" s="59"/>
    </row>
    <row r="409" spans="1:11" ht="18" customHeight="1">
      <c r="A409" s="59"/>
      <c r="B409" s="18" t="s">
        <v>122</v>
      </c>
      <c r="C409" s="63" t="s">
        <v>26</v>
      </c>
      <c r="D409" s="15" t="str">
        <f>D374</f>
        <v>SD345</v>
      </c>
      <c r="E409" s="15"/>
      <c r="F409" s="59"/>
      <c r="G409" s="59"/>
      <c r="H409" s="59"/>
      <c r="I409" s="59"/>
      <c r="K409" s="59"/>
    </row>
    <row r="410" spans="1:11" ht="18" customHeight="1">
      <c r="A410" s="59"/>
      <c r="B410" s="59"/>
      <c r="C410" s="19" t="s">
        <v>245</v>
      </c>
      <c r="D410" s="65" t="str">
        <f>"D"&amp;BK431</f>
        <v>D25</v>
      </c>
      <c r="E410" s="65" t="str">
        <f>"@"&amp;BL431&amp;"mm"</f>
        <v>@125mm</v>
      </c>
      <c r="F410" s="99" t="s">
        <v>247</v>
      </c>
      <c r="G410" s="12">
        <f>BP431</f>
        <v>4053.6000000000004</v>
      </c>
      <c r="H410" s="17" t="s">
        <v>248</v>
      </c>
      <c r="I410" s="17"/>
      <c r="K410" s="59"/>
    </row>
    <row r="411" spans="1:11" ht="18" customHeight="1">
      <c r="A411" s="59"/>
      <c r="B411" s="59"/>
      <c r="C411" s="19" t="s">
        <v>246</v>
      </c>
      <c r="D411" s="65" t="str">
        <f>"D"&amp;BK432</f>
        <v>D22</v>
      </c>
      <c r="E411" s="65" t="str">
        <f>"@"&amp;BL432&amp;"mm"</f>
        <v>@125mm</v>
      </c>
      <c r="F411" s="99" t="s">
        <v>247</v>
      </c>
      <c r="G411" s="12">
        <f>BP432</f>
        <v>3096.8</v>
      </c>
      <c r="H411" s="17" t="s">
        <v>248</v>
      </c>
      <c r="I411" s="18"/>
      <c r="K411" s="59"/>
    </row>
    <row r="412" spans="1:11" ht="18" customHeight="1">
      <c r="A412" s="59"/>
      <c r="B412" s="59"/>
      <c r="C412" s="59"/>
      <c r="D412" s="64"/>
      <c r="E412" s="20"/>
      <c r="F412" s="17"/>
      <c r="G412" s="15"/>
      <c r="H412" s="15"/>
      <c r="I412" s="15"/>
      <c r="J412" s="59"/>
      <c r="K412" s="59"/>
    </row>
    <row r="413" spans="1:11" ht="18" customHeight="1">
      <c r="A413" s="59"/>
      <c r="B413" s="59"/>
      <c r="C413" s="59"/>
      <c r="D413" s="64"/>
      <c r="E413" s="133">
        <f>G410/(H407*D408)</f>
        <v>0.013512000000000001</v>
      </c>
      <c r="F413" s="17"/>
      <c r="G413" s="15"/>
      <c r="H413" s="68">
        <f>G411/(H407*D408)</f>
        <v>0.010322666666666667</v>
      </c>
      <c r="I413" s="15"/>
      <c r="J413" s="59"/>
      <c r="K413" s="59"/>
    </row>
    <row r="414" spans="1:11" ht="18" customHeight="1">
      <c r="A414" s="59"/>
      <c r="B414" s="59"/>
      <c r="C414" s="59"/>
      <c r="D414" s="64"/>
      <c r="E414" s="20"/>
      <c r="F414" s="17"/>
      <c r="G414" s="15"/>
      <c r="H414" s="15"/>
      <c r="I414" s="15"/>
      <c r="J414" s="59"/>
      <c r="K414" s="59"/>
    </row>
    <row r="415" spans="1:11" ht="18" customHeight="1">
      <c r="A415" s="59"/>
      <c r="B415" s="59"/>
      <c r="C415" s="59"/>
      <c r="D415" s="64"/>
      <c r="E415" s="20"/>
      <c r="F415" s="17"/>
      <c r="G415" s="15"/>
      <c r="H415" s="15"/>
      <c r="I415" s="15"/>
      <c r="J415" s="59"/>
      <c r="K415" s="59"/>
    </row>
    <row r="416" spans="1:11" ht="18" customHeight="1">
      <c r="A416" s="59"/>
      <c r="B416" s="59"/>
      <c r="C416" s="59"/>
      <c r="D416" s="64"/>
      <c r="E416" s="20"/>
      <c r="F416" s="15">
        <f>(2*15*(E413+G408/D408*H413)+15*15*(E413+H413)^2)^0.5-15*(E413+H413)</f>
        <v>0.4205797475045643</v>
      </c>
      <c r="H416" s="15"/>
      <c r="I416" s="15"/>
      <c r="J416" s="59"/>
      <c r="K416" s="59"/>
    </row>
    <row r="417" spans="1:11" ht="18" customHeight="1">
      <c r="A417" s="59"/>
      <c r="B417" s="59"/>
      <c r="C417" s="59"/>
      <c r="D417" s="64"/>
      <c r="E417" s="20"/>
      <c r="F417" s="17"/>
      <c r="G417" s="15"/>
      <c r="H417" s="15"/>
      <c r="I417" s="15"/>
      <c r="J417" s="59"/>
      <c r="K417" s="59"/>
    </row>
    <row r="418" spans="1:11" ht="18" customHeight="1">
      <c r="A418" s="59"/>
      <c r="B418" s="59"/>
      <c r="C418" s="21">
        <f>F416*D408</f>
        <v>126.17392425136929</v>
      </c>
      <c r="D418" s="59" t="s">
        <v>251</v>
      </c>
      <c r="E418" s="20"/>
      <c r="F418" s="17"/>
      <c r="G418" s="15"/>
      <c r="H418" s="15"/>
      <c r="I418" s="15"/>
      <c r="J418" s="59"/>
      <c r="K418" s="59"/>
    </row>
    <row r="419" spans="1:11" ht="18" customHeight="1">
      <c r="A419" s="59"/>
      <c r="B419" s="59"/>
      <c r="C419" s="59"/>
      <c r="D419" s="64"/>
      <c r="E419" s="20"/>
      <c r="F419" s="17"/>
      <c r="G419" s="15"/>
      <c r="H419" s="15"/>
      <c r="I419" s="15"/>
      <c r="J419" s="59"/>
      <c r="K419" s="59"/>
    </row>
    <row r="420" spans="1:11" ht="18" customHeight="1">
      <c r="A420" s="59"/>
      <c r="B420" s="66" t="s">
        <v>199</v>
      </c>
      <c r="C420" s="59"/>
      <c r="D420" s="64"/>
      <c r="E420" s="20"/>
      <c r="F420" s="17"/>
      <c r="G420" s="15"/>
      <c r="H420" s="15"/>
      <c r="I420" s="15"/>
      <c r="J420" s="59"/>
      <c r="K420" s="59"/>
    </row>
    <row r="421" spans="1:11" ht="18" customHeight="1">
      <c r="A421" s="59"/>
      <c r="B421" s="59"/>
      <c r="C421" s="59"/>
      <c r="D421" s="64"/>
      <c r="E421" s="20"/>
      <c r="F421" s="17"/>
      <c r="G421" s="15"/>
      <c r="H421" s="15"/>
      <c r="I421" s="15"/>
      <c r="J421" s="59"/>
      <c r="K421" s="59"/>
    </row>
    <row r="422" spans="1:11" ht="18" customHeight="1">
      <c r="A422" s="59"/>
      <c r="B422" s="59"/>
      <c r="C422" s="59"/>
      <c r="D422" s="64"/>
      <c r="E422" s="20"/>
      <c r="F422" s="17"/>
      <c r="G422" s="15"/>
      <c r="H422" s="15"/>
      <c r="I422" s="15"/>
      <c r="J422" s="59"/>
      <c r="K422" s="59"/>
    </row>
    <row r="423" spans="1:59" ht="18" customHeight="1">
      <c r="A423" s="59"/>
      <c r="C423" s="59"/>
      <c r="D423" s="64"/>
      <c r="E423" s="20"/>
      <c r="F423" s="17"/>
      <c r="G423" s="15"/>
      <c r="H423" s="15"/>
      <c r="I423" s="15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</row>
    <row r="424" spans="1:59" ht="18" customHeight="1">
      <c r="A424" s="59"/>
      <c r="B424" s="59"/>
      <c r="C424" s="59"/>
      <c r="D424" s="59"/>
      <c r="E424" s="59"/>
      <c r="F424" s="17"/>
      <c r="G424" s="15"/>
      <c r="H424" s="15"/>
      <c r="I424" s="15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</row>
    <row r="425" spans="1:59" ht="18" customHeight="1">
      <c r="A425" s="59"/>
      <c r="B425" s="59"/>
      <c r="C425" s="59" t="s">
        <v>253</v>
      </c>
      <c r="D425" s="21">
        <f>D404*1000000/(H407*C418/2*(D408-C418/3)+15*G411*(C418-G408)/C418*(D408-G408))</f>
        <v>7.256036423399318</v>
      </c>
      <c r="E425" s="15" t="s">
        <v>145</v>
      </c>
      <c r="F425" s="13" t="str">
        <f>IF(D425&lt;G425,"&lt;","&gt;")</f>
        <v>&lt;</v>
      </c>
      <c r="G425" s="14">
        <f>σca</f>
        <v>8</v>
      </c>
      <c r="H425" s="15" t="s">
        <v>145</v>
      </c>
      <c r="I425" s="13" t="str">
        <f>IF(D425&lt;G425,"O.K.","OUT")</f>
        <v>O.K.</v>
      </c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</row>
    <row r="426" spans="1:68" ht="18" customHeight="1">
      <c r="A426" s="59"/>
      <c r="B426" s="59"/>
      <c r="C426" s="59"/>
      <c r="D426" s="64"/>
      <c r="E426" s="20"/>
      <c r="F426" s="17"/>
      <c r="G426" s="15"/>
      <c r="H426" s="15"/>
      <c r="I426" s="15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4" t="str">
        <f>データ!C34</f>
        <v>部　材</v>
      </c>
      <c r="BI426" s="26" t="s">
        <v>255</v>
      </c>
      <c r="BJ426" s="4" t="str">
        <f>データ!D34</f>
        <v>鉄筋</v>
      </c>
      <c r="BK426" s="4" t="str">
        <f>データ!E34</f>
        <v>直径(mm)</v>
      </c>
      <c r="BL426" s="4" t="str">
        <f>データ!F34</f>
        <v>間隔(mm)</v>
      </c>
      <c r="BM426" s="4" t="str">
        <f>データ!G34</f>
        <v>ｶﾌﾞﾘ(mm)</v>
      </c>
      <c r="BN426" s="4" t="str">
        <f>データ!H34</f>
        <v>１本当り</v>
      </c>
      <c r="BO426" s="4" t="str">
        <f>データ!I34</f>
        <v>1m当り本数</v>
      </c>
      <c r="BP426" s="4" t="str">
        <f>データ!J34</f>
        <v>鉄筋量As</v>
      </c>
    </row>
    <row r="427" spans="1:68" ht="18" customHeight="1">
      <c r="A427" s="59"/>
      <c r="B427" s="66" t="s">
        <v>200</v>
      </c>
      <c r="C427" s="59"/>
      <c r="D427" s="64"/>
      <c r="E427" s="20"/>
      <c r="F427" s="17"/>
      <c r="G427" s="15"/>
      <c r="H427" s="15"/>
      <c r="I427" s="15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4" t="str">
        <f>データ!C35</f>
        <v>前壁</v>
      </c>
      <c r="BI427" s="4">
        <f>'入力'!E5</f>
        <v>0.4</v>
      </c>
      <c r="BJ427" s="4" t="str">
        <f>データ!D35</f>
        <v>外側</v>
      </c>
      <c r="BK427" s="4">
        <f>データ!E35</f>
        <v>16</v>
      </c>
      <c r="BL427" s="4">
        <f>データ!F35</f>
        <v>125</v>
      </c>
      <c r="BM427" s="4">
        <f>データ!G35</f>
        <v>70</v>
      </c>
      <c r="BN427" s="4">
        <f>データ!H35</f>
        <v>1.986</v>
      </c>
      <c r="BO427" s="4">
        <f>データ!I35</f>
        <v>8</v>
      </c>
      <c r="BP427" s="4">
        <f>データ!J35</f>
        <v>1588.8</v>
      </c>
    </row>
    <row r="428" spans="1:68" ht="18" customHeight="1">
      <c r="A428" s="59"/>
      <c r="B428" s="59"/>
      <c r="C428" s="59"/>
      <c r="D428" s="64"/>
      <c r="E428" s="20"/>
      <c r="F428" s="17"/>
      <c r="G428" s="15"/>
      <c r="H428" s="15"/>
      <c r="I428" s="15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J428" s="4" t="str">
        <f>データ!D36</f>
        <v>内側</v>
      </c>
      <c r="BK428" s="4">
        <f>データ!E36</f>
        <v>16</v>
      </c>
      <c r="BL428" s="4">
        <f>データ!F36</f>
        <v>250</v>
      </c>
      <c r="BM428" s="4">
        <f>データ!G36</f>
        <v>70</v>
      </c>
      <c r="BN428" s="4">
        <f>データ!H36</f>
        <v>1.986</v>
      </c>
      <c r="BO428" s="4">
        <f>データ!I36</f>
        <v>4</v>
      </c>
      <c r="BP428" s="4">
        <f>データ!J36</f>
        <v>794.4</v>
      </c>
    </row>
    <row r="429" spans="1:68" ht="18" customHeight="1">
      <c r="A429" s="59"/>
      <c r="B429" s="59"/>
      <c r="C429" s="59"/>
      <c r="D429" s="64"/>
      <c r="E429" s="20">
        <f>15*D425*(D408-C418)/C418</f>
        <v>149.9463947624993</v>
      </c>
      <c r="F429" s="15" t="s">
        <v>145</v>
      </c>
      <c r="G429" s="13" t="str">
        <f>IF(E429&lt;H429,"&lt;","&gt;")</f>
        <v>&lt;</v>
      </c>
      <c r="H429" s="14">
        <f>σsa</f>
        <v>160</v>
      </c>
      <c r="I429" s="15" t="s">
        <v>145</v>
      </c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4" t="str">
        <f>データ!C37</f>
        <v>後壁</v>
      </c>
      <c r="BI429" s="4">
        <f>'入力'!E7</f>
        <v>0.4</v>
      </c>
      <c r="BJ429" s="4" t="str">
        <f>データ!D37</f>
        <v>外側</v>
      </c>
      <c r="BK429" s="4">
        <f>データ!E37</f>
        <v>25</v>
      </c>
      <c r="BL429" s="4">
        <f>データ!F37</f>
        <v>125</v>
      </c>
      <c r="BM429" s="4">
        <f>データ!G37</f>
        <v>70</v>
      </c>
      <c r="BN429" s="4">
        <f>データ!H37</f>
        <v>5.067</v>
      </c>
      <c r="BO429" s="4">
        <f>データ!I37</f>
        <v>8</v>
      </c>
      <c r="BP429" s="4">
        <f>データ!J37</f>
        <v>4053.6000000000004</v>
      </c>
    </row>
    <row r="430" spans="1:68" ht="18" customHeight="1">
      <c r="A430" s="59"/>
      <c r="C430" s="59"/>
      <c r="D430" s="64"/>
      <c r="E430" s="20"/>
      <c r="F430" s="17"/>
      <c r="G430" s="15"/>
      <c r="H430" s="15"/>
      <c r="I430" s="13" t="str">
        <f>IF(E429&lt;H429,"O.K.","OUT")</f>
        <v>O.K.</v>
      </c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J430" s="4" t="str">
        <f>データ!D38</f>
        <v>内側</v>
      </c>
      <c r="BK430" s="4">
        <f>データ!E38</f>
        <v>22</v>
      </c>
      <c r="BL430" s="4">
        <f>データ!F38</f>
        <v>250</v>
      </c>
      <c r="BM430" s="4">
        <f>データ!G38</f>
        <v>70</v>
      </c>
      <c r="BN430" s="4">
        <f>データ!H38</f>
        <v>3.871</v>
      </c>
      <c r="BO430" s="4">
        <f>データ!I38</f>
        <v>4</v>
      </c>
      <c r="BP430" s="4">
        <f>データ!J38</f>
        <v>1548.4</v>
      </c>
    </row>
    <row r="431" spans="1:68" ht="18" customHeight="1">
      <c r="A431" s="59"/>
      <c r="B431" s="59"/>
      <c r="C431" s="59"/>
      <c r="D431" s="64"/>
      <c r="E431" s="20"/>
      <c r="F431" s="17"/>
      <c r="G431" s="15"/>
      <c r="H431" s="15"/>
      <c r="I431" s="15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26" t="s">
        <v>256</v>
      </c>
      <c r="BI431" s="4">
        <f>'入力'!E9</f>
        <v>0.4</v>
      </c>
      <c r="BJ431" s="4" t="str">
        <f>データ!D39</f>
        <v>下側</v>
      </c>
      <c r="BK431" s="4">
        <f>データ!E39</f>
        <v>25</v>
      </c>
      <c r="BL431" s="4">
        <f>データ!F39</f>
        <v>125</v>
      </c>
      <c r="BM431" s="4">
        <f>データ!G39</f>
        <v>100</v>
      </c>
      <c r="BN431" s="4">
        <f>データ!H39</f>
        <v>5.067</v>
      </c>
      <c r="BO431" s="4">
        <f>データ!I39</f>
        <v>8</v>
      </c>
      <c r="BP431" s="4">
        <f>データ!J39</f>
        <v>4053.6000000000004</v>
      </c>
    </row>
    <row r="432" spans="1:68" ht="18" customHeight="1">
      <c r="A432" s="59"/>
      <c r="B432" s="66" t="s">
        <v>201</v>
      </c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J432" s="4" t="str">
        <f>データ!D40</f>
        <v>上側</v>
      </c>
      <c r="BK432" s="4">
        <f>データ!E40</f>
        <v>22</v>
      </c>
      <c r="BL432" s="4">
        <f>データ!F40</f>
        <v>125</v>
      </c>
      <c r="BM432" s="4">
        <f>データ!G40</f>
        <v>70</v>
      </c>
      <c r="BN432" s="4">
        <f>データ!H40</f>
        <v>3.871</v>
      </c>
      <c r="BO432" s="4">
        <f>データ!I40</f>
        <v>8</v>
      </c>
      <c r="BP432" s="4">
        <f>データ!J40</f>
        <v>3096.8</v>
      </c>
    </row>
    <row r="433" spans="1:68" ht="18" customHeight="1">
      <c r="A433" s="59"/>
      <c r="B433" s="15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26" t="s">
        <v>257</v>
      </c>
      <c r="BI433" s="4">
        <f>BI431</f>
        <v>0.4</v>
      </c>
      <c r="BJ433" s="26" t="s">
        <v>258</v>
      </c>
      <c r="BK433" s="4">
        <f aca="true" t="shared" si="33" ref="BK433:BP434">BK431</f>
        <v>25</v>
      </c>
      <c r="BL433" s="4">
        <f t="shared" si="33"/>
        <v>125</v>
      </c>
      <c r="BM433" s="4">
        <f t="shared" si="33"/>
        <v>100</v>
      </c>
      <c r="BN433" s="4">
        <f t="shared" si="33"/>
        <v>5.067</v>
      </c>
      <c r="BO433" s="4">
        <f t="shared" si="33"/>
        <v>8</v>
      </c>
      <c r="BP433" s="4">
        <f t="shared" si="33"/>
        <v>4053.6000000000004</v>
      </c>
    </row>
    <row r="434" spans="1:68" ht="18" customHeight="1">
      <c r="A434" s="59"/>
      <c r="B434" s="59"/>
      <c r="C434" s="59"/>
      <c r="D434" s="59"/>
      <c r="E434" s="21">
        <f>D405*1000/H407/D408</f>
        <v>0.1715</v>
      </c>
      <c r="F434" s="15" t="s">
        <v>145</v>
      </c>
      <c r="G434" s="13" t="str">
        <f>IF(E434&lt;H434,"&lt;","&gt;")</f>
        <v>&lt;</v>
      </c>
      <c r="H434" s="22">
        <f>τa</f>
        <v>0.39</v>
      </c>
      <c r="I434" s="15" t="s">
        <v>145</v>
      </c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J434" s="26" t="s">
        <v>239</v>
      </c>
      <c r="BK434" s="4">
        <f t="shared" si="33"/>
        <v>22</v>
      </c>
      <c r="BL434" s="4">
        <f t="shared" si="33"/>
        <v>125</v>
      </c>
      <c r="BM434" s="4">
        <f t="shared" si="33"/>
        <v>70</v>
      </c>
      <c r="BN434" s="4">
        <f t="shared" si="33"/>
        <v>3.871</v>
      </c>
      <c r="BO434" s="4">
        <f t="shared" si="33"/>
        <v>8</v>
      </c>
      <c r="BP434" s="4">
        <f t="shared" si="33"/>
        <v>3096.8</v>
      </c>
    </row>
    <row r="435" spans="1:59" ht="18" customHeight="1">
      <c r="A435" s="59"/>
      <c r="B435" s="15"/>
      <c r="C435" s="67"/>
      <c r="D435" s="68"/>
      <c r="E435" s="17"/>
      <c r="F435" s="15"/>
      <c r="G435" s="62"/>
      <c r="H435" s="59"/>
      <c r="I435" s="13" t="str">
        <f>IF(E434&lt;H434,"O.K.","OUT")</f>
        <v>O.K.</v>
      </c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</row>
    <row r="436" spans="1:59" ht="18" customHeight="1">
      <c r="A436" s="59"/>
      <c r="B436" s="59"/>
      <c r="C436" s="59"/>
      <c r="D436" s="59"/>
      <c r="E436" s="21"/>
      <c r="F436" s="15"/>
      <c r="G436" s="13"/>
      <c r="H436" s="22"/>
      <c r="I436" s="15"/>
      <c r="J436" s="13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</row>
    <row r="437" spans="1:59" ht="18" customHeight="1">
      <c r="A437" s="55" t="s">
        <v>259</v>
      </c>
      <c r="B437" s="15"/>
      <c r="C437" s="67"/>
      <c r="D437" s="68"/>
      <c r="E437" s="17"/>
      <c r="F437" s="15"/>
      <c r="G437" s="62"/>
      <c r="H437" s="59"/>
      <c r="I437" s="15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</row>
    <row r="438" spans="1:59" ht="18" customHeight="1">
      <c r="A438" s="55" t="s">
        <v>115</v>
      </c>
      <c r="B438" s="15"/>
      <c r="C438" s="67"/>
      <c r="D438" s="68"/>
      <c r="E438" s="17"/>
      <c r="F438" s="15"/>
      <c r="G438" s="62"/>
      <c r="H438" s="59"/>
      <c r="I438" s="15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</row>
    <row r="439" spans="1:11" ht="18" customHeight="1">
      <c r="A439" s="59"/>
      <c r="B439" s="15"/>
      <c r="C439" s="60" t="s">
        <v>116</v>
      </c>
      <c r="D439" s="21">
        <f>F313</f>
        <v>-44.41</v>
      </c>
      <c r="E439" s="59" t="s">
        <v>141</v>
      </c>
      <c r="F439" s="15"/>
      <c r="G439" s="62"/>
      <c r="H439" s="59"/>
      <c r="I439" s="15"/>
      <c r="J439" s="59"/>
      <c r="K439" s="59"/>
    </row>
    <row r="440" spans="1:11" ht="18" customHeight="1">
      <c r="A440" s="59"/>
      <c r="B440" s="15"/>
      <c r="C440" s="60"/>
      <c r="D440" s="59"/>
      <c r="E440" s="59"/>
      <c r="F440" s="15"/>
      <c r="G440" s="62"/>
      <c r="H440" s="59"/>
      <c r="I440" s="15"/>
      <c r="J440" s="59"/>
      <c r="K440" s="59"/>
    </row>
    <row r="441" spans="1:11" ht="18" customHeight="1">
      <c r="A441" s="55" t="s">
        <v>118</v>
      </c>
      <c r="B441" s="15"/>
      <c r="C441" s="67"/>
      <c r="D441" s="68"/>
      <c r="E441" s="17"/>
      <c r="F441" s="15"/>
      <c r="G441" s="62"/>
      <c r="H441" s="59"/>
      <c r="I441" s="15"/>
      <c r="J441" s="59"/>
      <c r="K441" s="59"/>
    </row>
    <row r="442" spans="1:11" ht="18" customHeight="1">
      <c r="A442" s="59"/>
      <c r="B442" s="18" t="s">
        <v>119</v>
      </c>
      <c r="C442" s="62" t="s">
        <v>143</v>
      </c>
      <c r="D442" s="12">
        <f>BI433*1000</f>
        <v>400</v>
      </c>
      <c r="E442" s="15" t="s">
        <v>120</v>
      </c>
      <c r="F442" s="66" t="s">
        <v>249</v>
      </c>
      <c r="G442" s="62" t="s">
        <v>250</v>
      </c>
      <c r="H442" s="59">
        <v>1000</v>
      </c>
      <c r="I442" s="59" t="s">
        <v>251</v>
      </c>
      <c r="K442" s="59"/>
    </row>
    <row r="443" spans="1:11" ht="18" customHeight="1">
      <c r="A443" s="59"/>
      <c r="B443" s="18" t="s">
        <v>121</v>
      </c>
      <c r="C443" s="62" t="s">
        <v>144</v>
      </c>
      <c r="D443" s="12">
        <f>IF(D439&gt;0,D442-BM434,D442-BM433)</f>
        <v>300</v>
      </c>
      <c r="E443" s="15" t="s">
        <v>120</v>
      </c>
      <c r="F443" s="62" t="s">
        <v>252</v>
      </c>
      <c r="G443" s="59">
        <f>IF(D439&gt;0,BM433,BM434)</f>
        <v>70</v>
      </c>
      <c r="H443" s="59" t="s">
        <v>251</v>
      </c>
      <c r="I443" s="59"/>
      <c r="K443" s="59"/>
    </row>
    <row r="444" spans="1:11" ht="18" customHeight="1">
      <c r="A444" s="59"/>
      <c r="B444" s="18" t="s">
        <v>122</v>
      </c>
      <c r="C444" s="63" t="s">
        <v>26</v>
      </c>
      <c r="D444" s="15" t="str">
        <f>D409</f>
        <v>SD345</v>
      </c>
      <c r="E444" s="15"/>
      <c r="F444" s="59"/>
      <c r="G444" s="59"/>
      <c r="H444" s="59"/>
      <c r="I444" s="59"/>
      <c r="K444" s="59"/>
    </row>
    <row r="445" spans="1:11" ht="18" customHeight="1">
      <c r="A445" s="59"/>
      <c r="B445" s="59"/>
      <c r="C445" s="19" t="s">
        <v>245</v>
      </c>
      <c r="D445" s="65" t="str">
        <f>"D"&amp;M503</f>
        <v>D25</v>
      </c>
      <c r="E445" s="65" t="str">
        <f>"@"&amp;N503&amp;"mm"</f>
        <v>@125mm</v>
      </c>
      <c r="F445" s="99" t="s">
        <v>247</v>
      </c>
      <c r="G445" s="15">
        <f>O503</f>
        <v>4053.6000000000004</v>
      </c>
      <c r="H445" s="17" t="s">
        <v>248</v>
      </c>
      <c r="I445" s="17"/>
      <c r="K445" s="59"/>
    </row>
    <row r="446" spans="1:11" ht="18" customHeight="1">
      <c r="A446" s="59"/>
      <c r="B446" s="59"/>
      <c r="C446" s="19" t="s">
        <v>246</v>
      </c>
      <c r="D446" s="65" t="str">
        <f>"D"&amp;M504</f>
        <v>D22</v>
      </c>
      <c r="E446" s="65" t="str">
        <f>"@"&amp;N504&amp;"mm"</f>
        <v>@125mm</v>
      </c>
      <c r="F446" s="99" t="s">
        <v>247</v>
      </c>
      <c r="G446" s="15">
        <f>O504</f>
        <v>3096.8</v>
      </c>
      <c r="H446" s="17" t="s">
        <v>248</v>
      </c>
      <c r="I446" s="18"/>
      <c r="K446" s="59"/>
    </row>
    <row r="447" spans="1:11" ht="18" customHeight="1">
      <c r="A447" s="59"/>
      <c r="B447" s="59"/>
      <c r="C447" s="59"/>
      <c r="D447" s="64"/>
      <c r="E447" s="20"/>
      <c r="F447" s="17"/>
      <c r="G447" s="15"/>
      <c r="H447" s="15"/>
      <c r="I447" s="15"/>
      <c r="J447" s="59"/>
      <c r="K447" s="59"/>
    </row>
    <row r="448" spans="1:11" ht="18" customHeight="1">
      <c r="A448" s="59"/>
      <c r="B448" s="59"/>
      <c r="C448" s="59"/>
      <c r="D448" s="64"/>
      <c r="E448" s="100">
        <f>G445/(H442*D443)</f>
        <v>0.013512000000000001</v>
      </c>
      <c r="F448" s="17"/>
      <c r="G448" s="15"/>
      <c r="H448" s="68">
        <f>G446/(H442*D443)</f>
        <v>0.010322666666666667</v>
      </c>
      <c r="I448" s="15"/>
      <c r="J448" s="59"/>
      <c r="K448" s="59"/>
    </row>
    <row r="449" spans="1:11" ht="18" customHeight="1">
      <c r="A449" s="59"/>
      <c r="B449" s="59"/>
      <c r="C449" s="59"/>
      <c r="D449" s="64"/>
      <c r="E449" s="20"/>
      <c r="F449" s="17"/>
      <c r="G449" s="15"/>
      <c r="H449" s="15"/>
      <c r="I449" s="15"/>
      <c r="J449" s="59"/>
      <c r="K449" s="59"/>
    </row>
    <row r="450" spans="1:11" ht="18" customHeight="1">
      <c r="A450" s="59"/>
      <c r="B450" s="59"/>
      <c r="C450" s="59"/>
      <c r="D450" s="64"/>
      <c r="E450" s="20"/>
      <c r="F450" s="17"/>
      <c r="G450" s="15"/>
      <c r="H450" s="15"/>
      <c r="I450" s="15"/>
      <c r="J450" s="59"/>
      <c r="K450" s="59"/>
    </row>
    <row r="451" spans="1:11" ht="18" customHeight="1">
      <c r="A451" s="59"/>
      <c r="B451" s="59"/>
      <c r="C451" s="59"/>
      <c r="D451" s="64"/>
      <c r="E451" s="20"/>
      <c r="F451" s="15">
        <f>(2*15*(E448+G443/D443*H448)+15*15*(E448+H448)^2)^0.5-15*(E448+H448)</f>
        <v>0.4205797475045643</v>
      </c>
      <c r="H451" s="15"/>
      <c r="I451" s="15"/>
      <c r="J451" s="59"/>
      <c r="K451" s="59"/>
    </row>
    <row r="452" spans="1:11" ht="18" customHeight="1">
      <c r="A452" s="59"/>
      <c r="B452" s="59"/>
      <c r="C452" s="59"/>
      <c r="D452" s="64"/>
      <c r="E452" s="20"/>
      <c r="F452" s="17"/>
      <c r="G452" s="15"/>
      <c r="H452" s="15"/>
      <c r="I452" s="15"/>
      <c r="J452" s="59"/>
      <c r="K452" s="59"/>
    </row>
    <row r="453" spans="1:11" ht="18" customHeight="1">
      <c r="A453" s="59"/>
      <c r="B453" s="59"/>
      <c r="C453" s="21">
        <f>F451*D443</f>
        <v>126.17392425136929</v>
      </c>
      <c r="D453" s="59" t="s">
        <v>251</v>
      </c>
      <c r="E453" s="20"/>
      <c r="F453" s="17"/>
      <c r="G453" s="15"/>
      <c r="H453" s="15"/>
      <c r="I453" s="15"/>
      <c r="J453" s="59"/>
      <c r="K453" s="59"/>
    </row>
    <row r="454" spans="1:11" ht="18" customHeight="1">
      <c r="A454" s="59"/>
      <c r="B454" s="59"/>
      <c r="C454" s="59"/>
      <c r="D454" s="64"/>
      <c r="E454" s="20"/>
      <c r="F454" s="17"/>
      <c r="G454" s="15"/>
      <c r="H454" s="15"/>
      <c r="I454" s="15"/>
      <c r="J454" s="59"/>
      <c r="K454" s="59"/>
    </row>
    <row r="455" spans="1:11" ht="18" customHeight="1">
      <c r="A455" s="59"/>
      <c r="B455" s="66" t="s">
        <v>199</v>
      </c>
      <c r="C455" s="59"/>
      <c r="D455" s="64"/>
      <c r="E455" s="20"/>
      <c r="F455" s="17"/>
      <c r="G455" s="15"/>
      <c r="H455" s="15"/>
      <c r="I455" s="15"/>
      <c r="J455" s="59"/>
      <c r="K455" s="59"/>
    </row>
    <row r="456" spans="1:11" ht="18" customHeight="1">
      <c r="A456" s="59"/>
      <c r="B456" s="59"/>
      <c r="C456" s="59"/>
      <c r="D456" s="64"/>
      <c r="E456" s="20"/>
      <c r="F456" s="17"/>
      <c r="G456" s="15"/>
      <c r="H456" s="15"/>
      <c r="I456" s="15"/>
      <c r="J456" s="59"/>
      <c r="K456" s="59"/>
    </row>
    <row r="457" spans="1:11" ht="18" customHeight="1">
      <c r="A457" s="59"/>
      <c r="B457" s="59"/>
      <c r="C457" s="59"/>
      <c r="D457" s="64"/>
      <c r="E457" s="20"/>
      <c r="F457" s="17"/>
      <c r="G457" s="15"/>
      <c r="H457" s="15"/>
      <c r="I457" s="15"/>
      <c r="J457" s="59"/>
      <c r="K457" s="59"/>
    </row>
    <row r="458" spans="1:11" ht="18" customHeight="1">
      <c r="A458" s="59"/>
      <c r="C458" s="59"/>
      <c r="D458" s="64"/>
      <c r="E458" s="20"/>
      <c r="F458" s="17"/>
      <c r="G458" s="15"/>
      <c r="H458" s="15"/>
      <c r="I458" s="15"/>
      <c r="J458" s="59"/>
      <c r="K458" s="59"/>
    </row>
    <row r="459" spans="1:11" ht="18" customHeight="1">
      <c r="A459" s="59"/>
      <c r="B459" s="59"/>
      <c r="C459" s="59"/>
      <c r="D459" s="59"/>
      <c r="E459" s="59"/>
      <c r="F459" s="17"/>
      <c r="G459" s="15"/>
      <c r="H459" s="15"/>
      <c r="I459" s="15"/>
      <c r="J459" s="59"/>
      <c r="K459" s="59"/>
    </row>
    <row r="460" spans="1:11" ht="18" customHeight="1">
      <c r="A460" s="59"/>
      <c r="B460" s="59"/>
      <c r="C460" s="59" t="s">
        <v>253</v>
      </c>
      <c r="D460" s="21">
        <f>ABS(D439)*1000000/(H442*C453/2*(D443-C453/3)+15*G446*(C453-G443)/C453*(D443-G443))</f>
        <v>2.111806655502744</v>
      </c>
      <c r="E460" s="15" t="s">
        <v>145</v>
      </c>
      <c r="F460" s="13" t="str">
        <f>IF(D460&lt;G460,"&lt;","&gt;")</f>
        <v>&lt;</v>
      </c>
      <c r="G460" s="14">
        <f>σca</f>
        <v>8</v>
      </c>
      <c r="H460" s="15" t="s">
        <v>145</v>
      </c>
      <c r="I460" s="13" t="str">
        <f>IF(D460&lt;G460,"O.K.","OUT")</f>
        <v>O.K.</v>
      </c>
      <c r="K460" s="59"/>
    </row>
    <row r="461" spans="1:11" ht="18" customHeight="1">
      <c r="A461" s="59"/>
      <c r="B461" s="59"/>
      <c r="C461" s="59"/>
      <c r="D461" s="64"/>
      <c r="E461" s="20"/>
      <c r="F461" s="17"/>
      <c r="G461" s="15"/>
      <c r="H461" s="15"/>
      <c r="I461" s="15"/>
      <c r="J461" s="59"/>
      <c r="K461" s="59"/>
    </row>
    <row r="462" spans="1:11" ht="18" customHeight="1">
      <c r="A462" s="59"/>
      <c r="B462" s="66" t="s">
        <v>200</v>
      </c>
      <c r="C462" s="59"/>
      <c r="D462" s="64"/>
      <c r="E462" s="20"/>
      <c r="F462" s="17"/>
      <c r="G462" s="15"/>
      <c r="H462" s="15"/>
      <c r="I462" s="15"/>
      <c r="J462" s="59"/>
      <c r="K462" s="59"/>
    </row>
    <row r="463" spans="1:11" ht="18" customHeight="1">
      <c r="A463" s="59"/>
      <c r="B463" s="59"/>
      <c r="C463" s="59"/>
      <c r="D463" s="64"/>
      <c r="E463" s="20"/>
      <c r="F463" s="17"/>
      <c r="G463" s="15"/>
      <c r="H463" s="15"/>
      <c r="I463" s="15"/>
      <c r="J463" s="59"/>
      <c r="K463" s="59"/>
    </row>
    <row r="464" spans="1:11" ht="18" customHeight="1">
      <c r="A464" s="59"/>
      <c r="B464" s="59"/>
      <c r="C464" s="59"/>
      <c r="D464" s="64"/>
      <c r="E464" s="20">
        <f>15*D460*(D443-C453)/C453</f>
        <v>43.64060155582013</v>
      </c>
      <c r="F464" s="15" t="s">
        <v>145</v>
      </c>
      <c r="G464" s="13" t="str">
        <f>IF(E464&lt;H464,"&lt;","&gt;")</f>
        <v>&lt;</v>
      </c>
      <c r="H464" s="14">
        <f>σsa</f>
        <v>160</v>
      </c>
      <c r="I464" s="15" t="s">
        <v>145</v>
      </c>
      <c r="K464" s="59"/>
    </row>
    <row r="465" spans="1:11" ht="18" customHeight="1">
      <c r="A465" s="59"/>
      <c r="C465" s="59"/>
      <c r="D465" s="64"/>
      <c r="E465" s="20"/>
      <c r="F465" s="17"/>
      <c r="G465" s="15"/>
      <c r="H465" s="15"/>
      <c r="I465" s="13" t="str">
        <f>IF(E464&lt;H464,"O.K.","OUT")</f>
        <v>O.K.</v>
      </c>
      <c r="J465" s="59"/>
      <c r="K465" s="59"/>
    </row>
    <row r="466" spans="1:11" ht="18" customHeight="1">
      <c r="A466" s="59"/>
      <c r="B466" s="59"/>
      <c r="C466" s="59"/>
      <c r="D466" s="64"/>
      <c r="E466" s="20"/>
      <c r="F466" s="17"/>
      <c r="G466" s="15"/>
      <c r="H466" s="15"/>
      <c r="I466" s="15"/>
      <c r="J466" s="59"/>
      <c r="K466" s="59"/>
    </row>
    <row r="467" spans="1:11" ht="18" customHeight="1">
      <c r="A467" s="59"/>
      <c r="B467" s="66"/>
      <c r="C467" s="59"/>
      <c r="D467" s="59"/>
      <c r="E467" s="59"/>
      <c r="F467" s="59"/>
      <c r="G467" s="59"/>
      <c r="H467" s="59"/>
      <c r="I467" s="59"/>
      <c r="J467" s="59"/>
      <c r="K467" s="59"/>
    </row>
    <row r="468" spans="1:11" ht="18" customHeight="1">
      <c r="A468" s="59"/>
      <c r="B468" s="15"/>
      <c r="C468" s="59"/>
      <c r="D468" s="59"/>
      <c r="E468" s="59"/>
      <c r="F468" s="59"/>
      <c r="G468" s="59"/>
      <c r="H468" s="59"/>
      <c r="I468" s="59"/>
      <c r="J468" s="59"/>
      <c r="K468" s="59"/>
    </row>
    <row r="469" spans="1:11" ht="18" customHeight="1">
      <c r="A469" s="59"/>
      <c r="B469" s="59"/>
      <c r="C469" s="59"/>
      <c r="D469" s="59"/>
      <c r="E469" s="21"/>
      <c r="F469" s="15"/>
      <c r="G469" s="13"/>
      <c r="H469" s="22"/>
      <c r="I469" s="15"/>
      <c r="J469" s="13"/>
      <c r="K469" s="59"/>
    </row>
    <row r="470" spans="1:11" ht="18" customHeight="1">
      <c r="A470" s="59"/>
      <c r="B470" s="15"/>
      <c r="C470" s="67"/>
      <c r="D470" s="68"/>
      <c r="E470" s="17"/>
      <c r="F470" s="15"/>
      <c r="G470" s="62"/>
      <c r="H470" s="59"/>
      <c r="I470" s="15"/>
      <c r="J470" s="59"/>
      <c r="K470" s="59"/>
    </row>
    <row r="471" ht="18" customHeight="1">
      <c r="K471" s="59"/>
    </row>
    <row r="472" ht="18" customHeight="1">
      <c r="K472" s="59"/>
    </row>
    <row r="473" ht="18" customHeight="1">
      <c r="K473" s="59"/>
    </row>
    <row r="474" ht="18" customHeight="1">
      <c r="K474" s="59"/>
    </row>
    <row r="475" ht="18" customHeight="1">
      <c r="K475" s="59"/>
    </row>
    <row r="476" ht="18" customHeight="1">
      <c r="K476" s="59"/>
    </row>
    <row r="477" ht="18" customHeight="1">
      <c r="K477" s="59"/>
    </row>
    <row r="478" ht="18" customHeight="1">
      <c r="K478" s="59"/>
    </row>
    <row r="479" ht="18" customHeight="1">
      <c r="K479" s="59"/>
    </row>
    <row r="480" ht="18" customHeight="1">
      <c r="K480" s="59"/>
    </row>
    <row r="481" ht="18" customHeight="1">
      <c r="K481" s="59"/>
    </row>
    <row r="482" ht="18" customHeight="1">
      <c r="K482" s="59"/>
    </row>
    <row r="483" ht="18" customHeight="1">
      <c r="K483" s="59"/>
    </row>
    <row r="484" ht="18" customHeight="1">
      <c r="K484" s="59"/>
    </row>
    <row r="485" ht="18" customHeight="1">
      <c r="K485" s="59"/>
    </row>
    <row r="486" ht="18" customHeight="1">
      <c r="K486" s="59"/>
    </row>
    <row r="487" ht="18" customHeight="1">
      <c r="K487" s="59"/>
    </row>
    <row r="488" ht="18" customHeight="1">
      <c r="K488" s="59"/>
    </row>
    <row r="502" spans="13:15" ht="18" customHeight="1">
      <c r="M502" s="4" t="s">
        <v>264</v>
      </c>
      <c r="N502" s="4" t="s">
        <v>265</v>
      </c>
      <c r="O502" s="4" t="s">
        <v>266</v>
      </c>
    </row>
    <row r="503" spans="13:15" ht="18" customHeight="1">
      <c r="M503" s="4">
        <f>IF(D439&gt;0,BK434,BK433)</f>
        <v>25</v>
      </c>
      <c r="N503" s="4">
        <f>IF($D$439&gt;0,BL434,BL433)</f>
        <v>125</v>
      </c>
      <c r="O503" s="4">
        <f>IF($D$439&gt;0,BP434,BP433)</f>
        <v>4053.6000000000004</v>
      </c>
    </row>
    <row r="504" spans="13:15" ht="18" customHeight="1">
      <c r="M504" s="4">
        <f>IF(D439&gt;0,BK433,BK434)</f>
        <v>22</v>
      </c>
      <c r="N504" s="4">
        <f>IF($D$439&gt;0,BL433,BL434)</f>
        <v>125</v>
      </c>
      <c r="O504" s="4">
        <f>IF($D$439&gt;0,BP433,BP434)</f>
        <v>3096.8</v>
      </c>
    </row>
  </sheetData>
  <sheetProtection sheet="1" objects="1" scenarios="1"/>
  <mergeCells count="4">
    <mergeCell ref="B88:B89"/>
    <mergeCell ref="B63:B64"/>
    <mergeCell ref="B65:B66"/>
    <mergeCell ref="B67:B68"/>
  </mergeCells>
  <printOptions/>
  <pageMargins left="0.75" right="0.75" top="1" bottom="1" header="0.512" footer="0.512"/>
  <pageSetup horizontalDpi="300" verticalDpi="300" orientation="portrait" paperSize="9" r:id="rId2"/>
  <headerFooter alignWithMargins="0">
    <oddHeader>&amp;CU型水路の設計計算</oddHeader>
    <oddFooter>&amp;C- &amp;P -</oddFooter>
  </headerFooter>
  <rowBreaks count="12" manualBreakCount="12">
    <brk id="77" max="9" man="1"/>
    <brk id="114" max="9" man="1"/>
    <brk id="148" max="9" man="1"/>
    <brk id="178" max="9" man="1"/>
    <brk id="214" max="9" man="1"/>
    <brk id="246" max="9" man="1"/>
    <brk id="270" max="9" man="1"/>
    <brk id="293" max="9" man="1"/>
    <brk id="329" max="9" man="1"/>
    <brk id="366" max="9" man="1"/>
    <brk id="401" max="9" man="1"/>
    <brk id="436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右城 猛</dc:creator>
  <cp:keywords/>
  <dc:description/>
  <cp:lastModifiedBy>Owner</cp:lastModifiedBy>
  <cp:lastPrinted>2003-12-13T11:40:34Z</cp:lastPrinted>
  <dcterms:created xsi:type="dcterms:W3CDTF">1998-04-12T11:48:15Z</dcterms:created>
  <dcterms:modified xsi:type="dcterms:W3CDTF">2014-02-17T10:46:15Z</dcterms:modified>
  <cp:category/>
  <cp:version/>
  <cp:contentType/>
  <cp:contentStatus/>
</cp:coreProperties>
</file>