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48" yWindow="65440" windowWidth="12120" windowHeight="9120" activeTab="0"/>
  </bookViews>
  <sheets>
    <sheet name="入力" sheetId="1" r:id="rId1"/>
    <sheet name="T荷重" sheetId="2" r:id="rId2"/>
    <sheet name="データ" sheetId="3" state="hidden" r:id="rId3"/>
    <sheet name="等分布" sheetId="4" r:id="rId4"/>
  </sheets>
  <definedNames>
    <definedName name="∑H">'T荷重'!$D$220</definedName>
    <definedName name="∑M">'T荷重'!$D$223</definedName>
    <definedName name="∑V">'T荷重'!$D$219</definedName>
    <definedName name="B">'T荷重'!$C$92</definedName>
    <definedName name="Bd">'T荷重'!$BM$529</definedName>
    <definedName name="Kt">'T荷重'!$E$347</definedName>
    <definedName name="Kx">'T荷重'!$D$345</definedName>
    <definedName name="Ky">'T荷重'!$E$343</definedName>
    <definedName name="Lov">'T荷重'!$D$357</definedName>
    <definedName name="Lun">'T荷重'!$D$356</definedName>
    <definedName name="_xlnm.Print_Area" localSheetId="1">'T荷重'!$A$1:$I$805</definedName>
    <definedName name="_xlnm.Print_Area" localSheetId="3">'等分布'!$A$1:$I$679</definedName>
    <definedName name="_xlnm.Print_Area" localSheetId="0">'入力'!$A$1:$R$56</definedName>
    <definedName name="solver_adj" localSheetId="1" hidden="1">'T荷重'!$Q$979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'T荷重'!$R$979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α">'T荷重'!$G$156</definedName>
  </definedNames>
  <calcPr fullCalcOnLoad="1"/>
</workbook>
</file>

<file path=xl/comments1.xml><?xml version="1.0" encoding="utf-8"?>
<comments xmlns="http://schemas.openxmlformats.org/spreadsheetml/2006/main">
  <authors>
    <author>DT-121</author>
    <author>NTUser</author>
  </authors>
  <commentList>
    <comment ref="C47" authorId="0">
      <text>
        <r>
          <rPr>
            <b/>
            <sz val="7"/>
            <color indexed="10"/>
            <rFont val="ＭＳ Ｐゴシック"/>
            <family val="3"/>
          </rPr>
          <t>タイプ１ ( 入力値は1)</t>
        </r>
        <r>
          <rPr>
            <b/>
            <sz val="7"/>
            <rFont val="ＭＳ Ｐゴシック"/>
            <family val="3"/>
          </rPr>
          <t xml:space="preserve">
下記のいずれかに該当する場合
  ・ 良好な地盤上(置き換え基礎も含む)に設置する直接基礎のカルバートで，土被りが10m以上でかつ内空高が3mを超える場合
  ・ 杭基礎等で盛土の沈下にカルバートが抵抗する場合(セメント安定処理等による剛性の高い地盤改良をカルバートの外幅程度行う場合も含む)
</t>
        </r>
        <r>
          <rPr>
            <b/>
            <sz val="7"/>
            <color indexed="10"/>
            <rFont val="ＭＳ Ｐゴシック"/>
            <family val="3"/>
          </rPr>
          <t>タイプ２ (入力値は2)</t>
        </r>
        <r>
          <rPr>
            <b/>
            <sz val="7"/>
            <rFont val="ＭＳ Ｐゴシック"/>
            <family val="3"/>
          </rPr>
          <t xml:space="preserve">
上記以外．盛土の沈下とともにカルバートが沈下する場合で軟弱地盤上に設置する場合も含む．</t>
        </r>
        <r>
          <rPr>
            <sz val="7"/>
            <rFont val="ＭＳ Ｐゴシック"/>
            <family val="3"/>
          </rPr>
          <t xml:space="preserve">
</t>
        </r>
      </text>
    </comment>
    <comment ref="E17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18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19" authorId="1">
      <text>
        <r>
          <rPr>
            <b/>
            <sz val="9"/>
            <rFont val="ＭＳ Ｐゴシック"/>
            <family val="3"/>
          </rPr>
          <t>種</t>
        </r>
        <r>
          <rPr>
            <sz val="9"/>
            <rFont val="ＭＳ Ｐゴシック"/>
            <family val="3"/>
          </rPr>
          <t>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1" authorId="1">
      <text>
        <r>
          <rPr>
            <b/>
            <sz val="9"/>
            <rFont val="ＭＳ Ｐゴシック"/>
            <family val="3"/>
          </rPr>
          <t>種</t>
        </r>
        <r>
          <rPr>
            <sz val="9"/>
            <rFont val="ＭＳ Ｐゴシック"/>
            <family val="3"/>
          </rPr>
          <t>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2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 xml:space="preserve">を選択
した場合は入力不要
</t>
        </r>
      </text>
    </comment>
    <comment ref="E16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0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7" authorId="1">
      <text>
        <r>
          <rPr>
            <b/>
            <sz val="9"/>
            <rFont val="ＭＳ Ｐゴシック"/>
            <family val="3"/>
          </rPr>
          <t>標準値 24.5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1">
      <text>
        <r>
          <rPr>
            <b/>
            <sz val="9"/>
            <rFont val="ＭＳ Ｐゴシック"/>
            <family val="3"/>
          </rPr>
          <t>標準値 24</t>
        </r>
      </text>
    </comment>
    <comment ref="E23" authorId="1">
      <text>
        <r>
          <rPr>
            <b/>
            <sz val="9"/>
            <rFont val="ＭＳ Ｐゴシック"/>
            <family val="3"/>
          </rPr>
          <t>標準値 0.5</t>
        </r>
      </text>
    </comment>
    <comment ref="E48" authorId="1">
      <text>
        <r>
          <rPr>
            <sz val="9"/>
            <rFont val="ＭＳ Ｐゴシック"/>
            <family val="3"/>
          </rPr>
          <t>地盤種類で</t>
        </r>
        <r>
          <rPr>
            <sz val="9"/>
            <color indexed="10"/>
            <rFont val="ＭＳ Ｐゴシック"/>
            <family val="3"/>
          </rPr>
          <t>その他</t>
        </r>
        <r>
          <rPr>
            <sz val="9"/>
            <rFont val="ＭＳ Ｐゴシック"/>
            <family val="3"/>
          </rPr>
          <t xml:space="preserve">を
選択した場合は入力
すること
</t>
        </r>
      </text>
    </comment>
    <comment ref="E37" authorId="1">
      <text>
        <r>
          <rPr>
            <b/>
            <sz val="9"/>
            <rFont val="ＭＳ Ｐゴシック"/>
            <family val="3"/>
          </rPr>
          <t>標準値：100</t>
        </r>
      </text>
    </comment>
    <comment ref="E38" authorId="1">
      <text>
        <r>
          <rPr>
            <b/>
            <sz val="9"/>
            <rFont val="ＭＳ Ｐゴシック"/>
            <family val="3"/>
          </rPr>
          <t>標準値：100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1">
      <text>
        <r>
          <rPr>
            <b/>
            <sz val="9"/>
            <rFont val="ＭＳ Ｐゴシック"/>
            <family val="3"/>
          </rPr>
          <t>標準値：100</t>
        </r>
        <r>
          <rPr>
            <sz val="9"/>
            <rFont val="ＭＳ Ｐゴシック"/>
            <family val="3"/>
          </rPr>
          <t xml:space="preserve">
</t>
        </r>
      </text>
    </comment>
    <comment ref="E43" authorId="1">
      <text>
        <r>
          <rPr>
            <b/>
            <sz val="9"/>
            <rFont val="ＭＳ Ｐゴシック"/>
            <family val="3"/>
          </rPr>
          <t>標準値：110</t>
        </r>
      </text>
    </comment>
    <comment ref="E28" authorId="0">
      <text>
        <r>
          <rPr>
            <b/>
            <sz val="9"/>
            <rFont val="ＭＳ Ｐゴシック"/>
            <family val="3"/>
          </rPr>
          <t>標準値 18</t>
        </r>
        <r>
          <rPr>
            <sz val="7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ＭＳ Ｐゴシック"/>
            <family val="3"/>
          </rPr>
          <t>標準値　22.5</t>
        </r>
        <r>
          <rPr>
            <sz val="7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<sst xmlns="http://schemas.openxmlformats.org/spreadsheetml/2006/main" count="2352" uniqueCount="998">
  <si>
    <r>
      <t>M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) + C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</si>
  <si>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</si>
  <si>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</si>
  <si>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</si>
  <si>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</t>
    </r>
  </si>
  <si>
    <t>0&lt;x&lt;a</t>
  </si>
  <si>
    <t>a&lt;x&lt;a+b</t>
  </si>
  <si>
    <t>a+b&lt;x&lt;l-c</t>
  </si>
  <si>
    <t>l-c&lt;x</t>
  </si>
  <si>
    <t>側壁</t>
  </si>
  <si>
    <t>底版</t>
  </si>
  <si>
    <t>h=</t>
  </si>
  <si>
    <t>後輪</t>
  </si>
  <si>
    <t>前輪</t>
  </si>
  <si>
    <t>a=</t>
  </si>
  <si>
    <t>b=</t>
  </si>
  <si>
    <t>（１）基本寸法</t>
  </si>
  <si>
    <t>内空寸法</t>
  </si>
  <si>
    <t>内空幅</t>
  </si>
  <si>
    <t>内空高</t>
  </si>
  <si>
    <t>部材厚さ</t>
  </si>
  <si>
    <t>側壁</t>
  </si>
  <si>
    <t>頂版</t>
  </si>
  <si>
    <t>底版</t>
  </si>
  <si>
    <t>土被り</t>
  </si>
  <si>
    <t>舗装厚</t>
  </si>
  <si>
    <t>（２）活荷重</t>
  </si>
  <si>
    <t>種類</t>
  </si>
  <si>
    <t>輪荷重</t>
  </si>
  <si>
    <t>軸間距離</t>
  </si>
  <si>
    <t>衝撃係数</t>
  </si>
  <si>
    <t>設置幅</t>
  </si>
  <si>
    <t>進行方向</t>
  </si>
  <si>
    <t>直角方向</t>
  </si>
  <si>
    <t>荷重</t>
  </si>
  <si>
    <t>鉄筋コンクリート</t>
  </si>
  <si>
    <t>土砂</t>
  </si>
  <si>
    <t>舗装厚</t>
  </si>
  <si>
    <t>コンクリート</t>
  </si>
  <si>
    <t>地盤種類</t>
  </si>
  <si>
    <t>許容支持力度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</si>
  <si>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</si>
  <si>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</si>
  <si>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3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</si>
  <si>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</si>
  <si>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λ</t>
    </r>
    <r>
      <rPr>
        <i/>
        <sz val="11"/>
        <rFont val="Times New Roman"/>
        <family val="1"/>
      </rPr>
      <t>=</t>
    </r>
  </si>
  <si>
    <t>I=</t>
  </si>
  <si>
    <r>
      <t>γ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</si>
  <si>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</si>
  <si>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</si>
  <si>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</si>
  <si>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</si>
  <si>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t>分布荷重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</si>
  <si>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</si>
  <si>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t>m</t>
  </si>
  <si>
    <t>kN</t>
  </si>
  <si>
    <r>
      <t>kN/m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</si>
  <si>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3</t>
    </r>
  </si>
  <si>
    <t>内側</t>
  </si>
  <si>
    <t>鉄筋径</t>
  </si>
  <si>
    <t>配置間隔</t>
  </si>
  <si>
    <t>中心かぶり</t>
  </si>
  <si>
    <t>鉄筋材質</t>
  </si>
  <si>
    <t>鉄筋配置</t>
  </si>
  <si>
    <t>(mm)</t>
  </si>
  <si>
    <r>
      <t>f</t>
    </r>
    <r>
      <rPr>
        <sz val="11"/>
        <rFont val="Times New Roman"/>
        <family val="1"/>
      </rPr>
      <t>(mm)</t>
    </r>
  </si>
  <si>
    <r>
      <t>D</t>
    </r>
    <r>
      <rPr>
        <sz val="11"/>
        <rFont val="Times New Roman"/>
        <family val="1"/>
      </rPr>
      <t>(mm)</t>
    </r>
  </si>
  <si>
    <t>活荷重の種類</t>
  </si>
  <si>
    <t>荷重の種類</t>
  </si>
  <si>
    <t>λ</t>
  </si>
  <si>
    <t>I</t>
  </si>
  <si>
    <t>ps</t>
  </si>
  <si>
    <t>a</t>
  </si>
  <si>
    <t>b</t>
  </si>
  <si>
    <t>SD295A</t>
  </si>
  <si>
    <t>SD345</t>
  </si>
  <si>
    <t>材質</t>
  </si>
  <si>
    <t>許容応力</t>
  </si>
  <si>
    <t>ハンチ</t>
  </si>
  <si>
    <t>地表</t>
  </si>
  <si>
    <t>舗装</t>
  </si>
  <si>
    <r>
      <t>Box</t>
    </r>
    <r>
      <rPr>
        <sz val="11"/>
        <rFont val="ＭＳ Ｐ明朝"/>
        <family val="1"/>
      </rPr>
      <t>荷重</t>
    </r>
  </si>
  <si>
    <t>荷重縮尺</t>
  </si>
  <si>
    <t>BOX内</t>
  </si>
  <si>
    <t>Box外</t>
  </si>
  <si>
    <t>x</t>
  </si>
  <si>
    <t>車輪半径</t>
  </si>
  <si>
    <t>r=</t>
  </si>
  <si>
    <t>車輪中心</t>
  </si>
  <si>
    <t>x0=</t>
  </si>
  <si>
    <t>y0=</t>
  </si>
  <si>
    <t>後輪1輪</t>
  </si>
  <si>
    <t>前輪１輪</t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</si>
  <si>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</si>
  <si>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</si>
  <si>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hu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</si>
  <si>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bu</t>
    </r>
    <r>
      <rPr>
        <i/>
        <sz val="11"/>
        <rFont val="Times New Roman"/>
        <family val="1"/>
      </rPr>
      <t>=</t>
    </r>
  </si>
  <si>
    <t>鉄筋材質</t>
  </si>
  <si>
    <t>配筋</t>
  </si>
  <si>
    <t>自動</t>
  </si>
  <si>
    <t>指定</t>
  </si>
  <si>
    <t>番号</t>
  </si>
  <si>
    <t>種類</t>
  </si>
  <si>
    <t>亀裂少ない硬岩</t>
  </si>
  <si>
    <t>亀裂多い硬岩</t>
  </si>
  <si>
    <t>軟岩・土丹</t>
  </si>
  <si>
    <t>密な礫層</t>
  </si>
  <si>
    <t>密でない礫層</t>
  </si>
  <si>
    <t>密な砂質地盤</t>
  </si>
  <si>
    <t>中位な砂質地盤</t>
  </si>
  <si>
    <t>非常に堅い粘性土</t>
  </si>
  <si>
    <t>堅い粘性土</t>
  </si>
  <si>
    <t>許容支持力</t>
  </si>
  <si>
    <t>その他</t>
  </si>
  <si>
    <t>m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</si>
  <si>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</si>
  <si>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t>m</t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</si>
  <si>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</si>
  <si>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m</t>
  </si>
  <si>
    <r>
      <t>t</t>
    </r>
    <r>
      <rPr>
        <vertAlign val="subscript"/>
        <sz val="11"/>
        <rFont val="Times New Roman"/>
        <family val="1"/>
      </rPr>
      <t>3</t>
    </r>
    <r>
      <rPr>
        <i/>
        <sz val="11"/>
        <rFont val="Times New Roman"/>
        <family val="1"/>
      </rPr>
      <t>=</t>
    </r>
  </si>
  <si>
    <t>m</t>
  </si>
  <si>
    <t>ハンチ</t>
  </si>
  <si>
    <t>m</t>
  </si>
  <si>
    <t>m</t>
  </si>
  <si>
    <t>底版</t>
  </si>
  <si>
    <t>h=</t>
  </si>
  <si>
    <t>m</t>
  </si>
  <si>
    <r>
      <t>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</si>
  <si>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t>m</t>
  </si>
  <si>
    <t>kN</t>
  </si>
  <si>
    <t>kN</t>
  </si>
  <si>
    <r>
      <t>λ</t>
    </r>
    <r>
      <rPr>
        <i/>
        <sz val="11"/>
        <rFont val="Times New Roman"/>
        <family val="1"/>
      </rPr>
      <t>=</t>
    </r>
  </si>
  <si>
    <t>m</t>
  </si>
  <si>
    <t>分布荷重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</si>
  <si>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</si>
  <si>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</si>
  <si>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衝撃係数</t>
  </si>
  <si>
    <t>I=</t>
  </si>
  <si>
    <t>a=</t>
  </si>
  <si>
    <t>m</t>
  </si>
  <si>
    <t>b=</t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</si>
  <si>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</si>
  <si>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</si>
  <si>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</si>
  <si>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</si>
  <si>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</si>
  <si>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</si>
  <si>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コンクリート</t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</si>
  <si>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</si>
  <si>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</si>
  <si>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土被りh=</t>
  </si>
  <si>
    <t>許容せん断応力度</t>
  </si>
  <si>
    <r>
      <t>頂版自重　</t>
    </r>
    <r>
      <rPr>
        <sz val="11"/>
        <rFont val="Times New Roman"/>
        <family val="1"/>
      </rPr>
      <t xml:space="preserve"> </t>
    </r>
  </si>
  <si>
    <r>
      <t>　側　　壁　</t>
    </r>
    <r>
      <rPr>
        <sz val="11"/>
        <rFont val="Times New Roman"/>
        <family val="1"/>
      </rPr>
      <t xml:space="preserve"> </t>
    </r>
  </si>
  <si>
    <r>
      <t xml:space="preserve">  </t>
    </r>
    <r>
      <rPr>
        <sz val="11"/>
        <rFont val="ＭＳ Ｐ明朝"/>
        <family val="1"/>
      </rPr>
      <t>地盤反力　</t>
    </r>
    <r>
      <rPr>
        <sz val="11"/>
        <rFont val="Times New Roman"/>
        <family val="1"/>
      </rPr>
      <t xml:space="preserve"> </t>
    </r>
  </si>
  <si>
    <r>
      <t>B</t>
    </r>
    <r>
      <rPr>
        <i/>
        <sz val="11"/>
        <rFont val="Times New Roman"/>
        <family val="1"/>
      </rPr>
      <t>=</t>
    </r>
  </si>
  <si>
    <r>
      <t>H</t>
    </r>
    <r>
      <rPr>
        <i/>
        <sz val="11"/>
        <rFont val="Times New Roman"/>
        <family val="1"/>
      </rPr>
      <t>=</t>
    </r>
  </si>
  <si>
    <t>（３）水平土圧係数</t>
  </si>
  <si>
    <t>（４）カルバート内の荷重</t>
  </si>
  <si>
    <t>（５）単位体積重量</t>
  </si>
  <si>
    <t>（６）使用材料</t>
  </si>
  <si>
    <t>（７）支持地盤</t>
  </si>
  <si>
    <r>
      <t>k</t>
    </r>
    <r>
      <rPr>
        <vertAlign val="subscript"/>
        <sz val="11"/>
        <rFont val="ＭＳ Ｐ明朝"/>
        <family val="1"/>
      </rPr>
      <t>0</t>
    </r>
    <r>
      <rPr>
        <i/>
        <sz val="11"/>
        <rFont val="ＭＳ Ｐ明朝"/>
        <family val="1"/>
      </rPr>
      <t>=</t>
    </r>
  </si>
  <si>
    <t>・ 良好な地盤上(置き換え基礎も含む)に設置する直接基礎のカルバートで，土被りが10m以上でかつ内空高が3mを超える場合・ 杭基礎等で盛土の沈下にカルバートが抵抗する場合(セメント安定処理等による剛性の高い地盤改良をカルバートの外幅程度行う場合も含む)</t>
  </si>
  <si>
    <t>上記以外．盛土の沈下とともにカルバートが沈下する場合で軟弱地盤上に設置する場合も含む．</t>
  </si>
  <si>
    <t>地盤のタイプ</t>
  </si>
  <si>
    <r>
      <t>(1</t>
    </r>
    <r>
      <rPr>
        <sz val="11"/>
        <rFont val="ＭＳ Ｐ明朝"/>
        <family val="1"/>
      </rPr>
      <t>または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を入力</t>
    </r>
    <r>
      <rPr>
        <sz val="11"/>
        <rFont val="Times New Roman"/>
        <family val="1"/>
      </rPr>
      <t>)</t>
    </r>
  </si>
  <si>
    <r>
      <t>（２）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水平土圧</t>
    </r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</si>
  <si>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</si>
  <si>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</si>
  <si>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T1</t>
  </si>
  <si>
    <t>T2</t>
  </si>
  <si>
    <t>１．設計条件</t>
  </si>
  <si>
    <t>B=</t>
  </si>
  <si>
    <t>H=</t>
  </si>
  <si>
    <t>輪荷重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</si>
  <si>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</si>
  <si>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</si>
  <si>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記号の説明</t>
  </si>
  <si>
    <t>（３）カルバート内の荷重</t>
  </si>
  <si>
    <r>
      <t>k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</si>
  <si>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t>設計基準強度</t>
  </si>
  <si>
    <r>
      <t>σ</t>
    </r>
    <r>
      <rPr>
        <i/>
        <vertAlign val="subscript"/>
        <sz val="11"/>
        <rFont val="Times New Roman"/>
        <family val="1"/>
      </rPr>
      <t>ck</t>
    </r>
    <r>
      <rPr>
        <i/>
        <sz val="11"/>
        <rFont val="Times New Roman"/>
        <family val="1"/>
      </rPr>
      <t>=</t>
    </r>
  </si>
  <si>
    <t>許容曲げ圧縮応力度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</si>
  <si>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</si>
  <si>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i/>
        <sz val="11"/>
        <rFont val="Times New Roman"/>
        <family val="1"/>
      </rPr>
      <t>=</t>
    </r>
  </si>
  <si>
    <t>鉄筋</t>
  </si>
  <si>
    <t>鉄筋材質</t>
  </si>
  <si>
    <t>許容引張応力度</t>
  </si>
  <si>
    <r>
      <t>σ</t>
    </r>
    <r>
      <rPr>
        <i/>
        <vertAlign val="subscript"/>
        <sz val="11"/>
        <rFont val="Times New Roman"/>
        <family val="1"/>
      </rPr>
      <t>sa</t>
    </r>
    <r>
      <rPr>
        <i/>
        <sz val="11"/>
        <rFont val="Times New Roman"/>
        <family val="1"/>
      </rPr>
      <t>=</t>
    </r>
  </si>
  <si>
    <t>許容支持力度</t>
  </si>
  <si>
    <t>２．１自重</t>
  </si>
  <si>
    <r>
      <t>自重は頂版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ハンチを含む</t>
    </r>
    <r>
      <rPr>
        <sz val="11"/>
        <rFont val="Times New Roman"/>
        <family val="1"/>
      </rPr>
      <t>)</t>
    </r>
    <r>
      <rPr>
        <sz val="11"/>
        <rFont val="ＭＳ Ｐ明朝"/>
        <family val="1"/>
      </rPr>
      <t>と側壁について計算する．</t>
    </r>
  </si>
  <si>
    <t>底版部材に作用する荷重に着目すれば，底版重量は地盤反力とキャンセルされる．</t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</si>
  <si>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</si>
  <si>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</si>
  <si>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</si>
  <si>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</si>
  <si>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</si>
  <si>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</si>
  <si>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</si>
  <si>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t>=</t>
  </si>
  <si>
    <r>
      <t>kN/m</t>
    </r>
    <r>
      <rPr>
        <vertAlign val="superscript"/>
        <sz val="11"/>
        <rFont val="Times New Roman"/>
        <family val="1"/>
      </rPr>
      <t>2</t>
    </r>
  </si>
  <si>
    <t>H=</t>
  </si>
  <si>
    <t>kN/m</t>
  </si>
  <si>
    <t>２．２　土圧</t>
  </si>
  <si>
    <t>土の単位体積重量</t>
  </si>
  <si>
    <r>
      <t>γ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</si>
  <si>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</si>
  <si>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舗装単位体積重量</t>
  </si>
  <si>
    <r>
      <t>γ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</si>
  <si>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t>土被り</t>
  </si>
  <si>
    <t>舗装厚</t>
  </si>
  <si>
    <t>鉛直土圧係数　α</t>
  </si>
  <si>
    <t>土被り比</t>
  </si>
  <si>
    <t>鉛直土圧係数</t>
  </si>
  <si>
    <r>
      <t>α</t>
    </r>
    <r>
      <rPr>
        <sz val="11"/>
        <rFont val="Times New Roman"/>
        <family val="1"/>
      </rPr>
      <t>=</t>
    </r>
  </si>
  <si>
    <t>鉛直土圧</t>
  </si>
  <si>
    <t>=</t>
  </si>
  <si>
    <t>水平土圧係数</t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</si>
  <si>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</si>
  <si>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水平土圧</t>
  </si>
  <si>
    <t>z=</t>
  </si>
  <si>
    <t>m</t>
  </si>
  <si>
    <r>
      <t>kN/m</t>
    </r>
    <r>
      <rPr>
        <vertAlign val="superscript"/>
        <sz val="11"/>
        <rFont val="Times New Roman"/>
        <family val="1"/>
      </rPr>
      <t>2</t>
    </r>
  </si>
  <si>
    <r>
      <t>（３）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地盤反力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</si>
  <si>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vd</t>
    </r>
    <r>
      <rPr>
        <i/>
        <sz val="11"/>
        <rFont val="Times New Roman"/>
        <family val="1"/>
      </rPr>
      <t>=</t>
    </r>
  </si>
  <si>
    <t>２．３　活荷重</t>
  </si>
  <si>
    <t>衝撃係数</t>
  </si>
  <si>
    <t>後輪１輪荷重</t>
  </si>
  <si>
    <t>前輪１輪荷重</t>
  </si>
  <si>
    <t>後輪荷重</t>
  </si>
  <si>
    <t>前輪荷重</t>
  </si>
  <si>
    <t>断面力低減係数</t>
  </si>
  <si>
    <t>鉛直圧力</t>
  </si>
  <si>
    <t>後輪荷重</t>
  </si>
  <si>
    <t>前輪荷重</t>
  </si>
  <si>
    <t>後輪荷重</t>
  </si>
  <si>
    <t>前輪荷重</t>
  </si>
  <si>
    <t>左側壁</t>
  </si>
  <si>
    <t>m</t>
  </si>
  <si>
    <t>m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</si>
  <si>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</si>
  <si>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</si>
  <si>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水平圧力</t>
  </si>
  <si>
    <t>部材</t>
  </si>
  <si>
    <t>荷重</t>
  </si>
  <si>
    <r>
      <t>l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</si>
  <si>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</si>
  <si>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(m)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</si>
  <si>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</si>
  <si>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</si>
  <si>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C</t>
    </r>
    <r>
      <rPr>
        <i/>
        <vertAlign val="subscript"/>
        <sz val="11"/>
        <rFont val="Times New Roman"/>
        <family val="1"/>
      </rPr>
      <t>ij</t>
    </r>
  </si>
  <si>
    <r>
      <t>C</t>
    </r>
    <r>
      <rPr>
        <i/>
        <vertAlign val="subscript"/>
        <sz val="11"/>
        <rFont val="Times New Roman"/>
        <family val="1"/>
      </rPr>
      <t>ji</t>
    </r>
  </si>
  <si>
    <t>水平土圧</t>
  </si>
  <si>
    <t>活荷重</t>
  </si>
  <si>
    <t>計</t>
  </si>
  <si>
    <t>鉛直土圧</t>
  </si>
  <si>
    <t>後輪荷重</t>
  </si>
  <si>
    <t>前輪荷重</t>
  </si>
  <si>
    <t>計</t>
  </si>
  <si>
    <t>右側壁</t>
  </si>
  <si>
    <t>活荷重</t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</si>
  <si>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</si>
  <si>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m</t>
  </si>
  <si>
    <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</si>
  <si>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</si>
  <si>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t>荷重項</t>
  </si>
  <si>
    <t>ケース２</t>
  </si>
  <si>
    <t>節点</t>
  </si>
  <si>
    <t>（６）使用材料と許容応力度</t>
  </si>
  <si>
    <t>かぶり</t>
  </si>
  <si>
    <t>内</t>
  </si>
  <si>
    <t>上</t>
  </si>
  <si>
    <t>下</t>
  </si>
  <si>
    <t>（５）水平土圧係数</t>
  </si>
  <si>
    <t>（７）支持地盤</t>
  </si>
  <si>
    <t>（８）主鉄筋の配筋</t>
  </si>
  <si>
    <t>鉄筋径</t>
  </si>
  <si>
    <t>有効高</t>
  </si>
  <si>
    <r>
      <t>D</t>
    </r>
    <r>
      <rPr>
        <sz val="11"/>
        <rFont val="Times New Roman"/>
        <family val="1"/>
      </rPr>
      <t>(mm)</t>
    </r>
  </si>
  <si>
    <t>(mm)</t>
  </si>
  <si>
    <r>
      <t>f</t>
    </r>
    <r>
      <rPr>
        <sz val="11"/>
        <rFont val="Times New Roman"/>
        <family val="1"/>
      </rPr>
      <t>(mm)</t>
    </r>
  </si>
  <si>
    <r>
      <t>d</t>
    </r>
    <r>
      <rPr>
        <sz val="11"/>
        <rFont val="Times New Roman"/>
        <family val="1"/>
      </rPr>
      <t>(mm)</t>
    </r>
  </si>
  <si>
    <t>側壁</t>
  </si>
  <si>
    <t>内側</t>
  </si>
  <si>
    <t>下側</t>
  </si>
  <si>
    <t>上側</t>
  </si>
  <si>
    <t>２．外力</t>
  </si>
  <si>
    <t>荷重項</t>
  </si>
  <si>
    <t>左側壁</t>
  </si>
  <si>
    <r>
      <t>C</t>
    </r>
    <r>
      <rPr>
        <i/>
        <vertAlign val="subscript"/>
        <sz val="11"/>
        <rFont val="Times New Roman"/>
        <family val="1"/>
      </rPr>
      <t>AB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</si>
  <si>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BA</t>
    </r>
    <r>
      <rPr>
        <i/>
        <sz val="11"/>
        <rFont val="Times New Roman"/>
        <family val="1"/>
      </rPr>
      <t>=</t>
    </r>
  </si>
  <si>
    <t>頂版</t>
  </si>
  <si>
    <r>
      <t>C</t>
    </r>
    <r>
      <rPr>
        <i/>
        <vertAlign val="subscript"/>
        <sz val="11"/>
        <rFont val="Times New Roman"/>
        <family val="1"/>
      </rPr>
      <t>BC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</si>
  <si>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CB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</si>
  <si>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CD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</si>
  <si>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DC</t>
    </r>
    <r>
      <rPr>
        <i/>
        <sz val="11"/>
        <rFont val="Times New Roman"/>
        <family val="1"/>
      </rPr>
      <t>=</t>
    </r>
  </si>
  <si>
    <t>底版</t>
  </si>
  <si>
    <r>
      <t>C</t>
    </r>
    <r>
      <rPr>
        <i/>
        <vertAlign val="subscript"/>
        <sz val="11"/>
        <rFont val="Times New Roman"/>
        <family val="1"/>
      </rPr>
      <t>DA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</si>
  <si>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AD</t>
    </r>
    <r>
      <rPr>
        <i/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</si>
  <si>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A</t>
    </r>
  </si>
  <si>
    <r>
      <t>θ</t>
    </r>
    <r>
      <rPr>
        <i/>
        <vertAlign val="subscript"/>
        <sz val="11"/>
        <rFont val="Times New Roman"/>
        <family val="1"/>
      </rPr>
      <t>B</t>
    </r>
  </si>
  <si>
    <r>
      <t>θ</t>
    </r>
    <r>
      <rPr>
        <i/>
        <vertAlign val="subscript"/>
        <sz val="11"/>
        <rFont val="Times New Roman"/>
        <family val="1"/>
      </rPr>
      <t>C</t>
    </r>
  </si>
  <si>
    <t>=</t>
  </si>
  <si>
    <r>
      <t>θ</t>
    </r>
    <r>
      <rPr>
        <i/>
        <vertAlign val="subscript"/>
        <sz val="11"/>
        <rFont val="Times New Roman"/>
        <family val="1"/>
      </rPr>
      <t>D</t>
    </r>
  </si>
  <si>
    <t>R</t>
  </si>
  <si>
    <t>kN-m</t>
  </si>
  <si>
    <t>節点角</t>
  </si>
  <si>
    <r>
      <t>θ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</si>
  <si>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rad</t>
  </si>
  <si>
    <r>
      <t>θ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</si>
  <si>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</si>
  <si>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</si>
  <si>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部材角</t>
  </si>
  <si>
    <r>
      <t>R</t>
    </r>
    <r>
      <rPr>
        <sz val="11"/>
        <rFont val="Times New Roman"/>
        <family val="1"/>
      </rPr>
      <t>=</t>
    </r>
  </si>
  <si>
    <t>rad</t>
  </si>
  <si>
    <t>節点モーメント</t>
  </si>
  <si>
    <t>kN-m</t>
  </si>
  <si>
    <t>各節点曲げモーメントの照査</t>
  </si>
  <si>
    <t>kN-m</t>
  </si>
  <si>
    <t>たわみ角，部材傾斜角</t>
  </si>
  <si>
    <t>rad</t>
  </si>
  <si>
    <t>節点モーメント</t>
  </si>
  <si>
    <t>節点せん断力</t>
  </si>
  <si>
    <r>
      <t>任意点</t>
    </r>
    <r>
      <rPr>
        <i/>
        <sz val="11"/>
        <rFont val="Times New Roman"/>
        <family val="1"/>
      </rPr>
      <t>x</t>
    </r>
    <r>
      <rPr>
        <sz val="11"/>
        <rFont val="ＭＳ Ｐ明朝"/>
        <family val="1"/>
      </rPr>
      <t>のせん断力</t>
    </r>
  </si>
  <si>
    <t>節点曲げモーメント</t>
  </si>
  <si>
    <r>
      <t>任意点</t>
    </r>
    <r>
      <rPr>
        <i/>
        <sz val="11"/>
        <rFont val="Times New Roman"/>
        <family val="1"/>
      </rPr>
      <t>x</t>
    </r>
    <r>
      <rPr>
        <sz val="11"/>
        <rFont val="ＭＳ Ｐ明朝"/>
        <family val="1"/>
      </rPr>
      <t>の曲げモーメント</t>
    </r>
  </si>
  <si>
    <t>節点せん断力</t>
  </si>
  <si>
    <t>部材長</t>
  </si>
  <si>
    <r>
      <t>l</t>
    </r>
    <r>
      <rPr>
        <sz val="11"/>
        <rFont val="Times New Roman"/>
        <family val="1"/>
      </rPr>
      <t>=</t>
    </r>
  </si>
  <si>
    <t>m</t>
  </si>
  <si>
    <t>d=</t>
  </si>
  <si>
    <t>m</t>
  </si>
  <si>
    <t>項目</t>
  </si>
  <si>
    <t>記号</t>
  </si>
  <si>
    <t>単位</t>
  </si>
  <si>
    <t>ケース１</t>
  </si>
  <si>
    <t>荷重</t>
  </si>
  <si>
    <r>
      <t>p</t>
    </r>
    <r>
      <rPr>
        <vertAlign val="subscript"/>
        <sz val="11"/>
        <rFont val="Times New Roman"/>
        <family val="1"/>
      </rPr>
      <t>1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</si>
  <si>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</si>
  <si>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p</t>
    </r>
    <r>
      <rPr>
        <vertAlign val="subscript"/>
        <sz val="11"/>
        <rFont val="Times New Roman"/>
        <family val="1"/>
      </rPr>
      <t>2</t>
    </r>
  </si>
  <si>
    <t>節点</t>
  </si>
  <si>
    <r>
      <t>M</t>
    </r>
    <r>
      <rPr>
        <i/>
        <vertAlign val="subscript"/>
        <sz val="11"/>
        <rFont val="Times New Roman"/>
        <family val="1"/>
      </rPr>
      <t>AB</t>
    </r>
  </si>
  <si>
    <t>kN-m/m</t>
  </si>
  <si>
    <t>モーメント</t>
  </si>
  <si>
    <r>
      <t>M</t>
    </r>
    <r>
      <rPr>
        <i/>
        <vertAlign val="subscript"/>
        <sz val="11"/>
        <rFont val="Times New Roman"/>
        <family val="1"/>
      </rPr>
      <t>BA</t>
    </r>
  </si>
  <si>
    <r>
      <t>S</t>
    </r>
    <r>
      <rPr>
        <i/>
        <vertAlign val="subscript"/>
        <sz val="11"/>
        <rFont val="Times New Roman"/>
        <family val="1"/>
      </rPr>
      <t>AB</t>
    </r>
  </si>
  <si>
    <t>kN/m</t>
  </si>
  <si>
    <t>せん断力</t>
  </si>
  <si>
    <r>
      <t>S</t>
    </r>
    <r>
      <rPr>
        <i/>
        <vertAlign val="subscript"/>
        <sz val="11"/>
        <rFont val="Times New Roman"/>
        <family val="1"/>
      </rPr>
      <t>BA</t>
    </r>
  </si>
  <si>
    <t>m</t>
  </si>
  <si>
    <r>
      <t>S</t>
    </r>
    <r>
      <rPr>
        <i/>
        <vertAlign val="subscript"/>
        <sz val="11"/>
        <rFont val="Times New Roman"/>
        <family val="1"/>
      </rPr>
      <t>x</t>
    </r>
  </si>
  <si>
    <t>(kN/m)</t>
  </si>
  <si>
    <t>節点曲げ</t>
  </si>
  <si>
    <r>
      <t>M</t>
    </r>
    <r>
      <rPr>
        <i/>
        <vertAlign val="subscript"/>
        <sz val="11"/>
        <rFont val="Times New Roman"/>
        <family val="1"/>
      </rPr>
      <t>A</t>
    </r>
  </si>
  <si>
    <r>
      <t>M</t>
    </r>
    <r>
      <rPr>
        <i/>
        <vertAlign val="subscript"/>
        <sz val="11"/>
        <rFont val="Times New Roman"/>
        <family val="1"/>
      </rPr>
      <t>B</t>
    </r>
  </si>
  <si>
    <t>最大曲げ</t>
  </si>
  <si>
    <r>
      <t>x</t>
    </r>
    <r>
      <rPr>
        <i/>
        <vertAlign val="subscript"/>
        <sz val="11"/>
        <rFont val="Times New Roman"/>
        <family val="1"/>
      </rPr>
      <t>m</t>
    </r>
  </si>
  <si>
    <t>m</t>
  </si>
  <si>
    <t>モーメント</t>
  </si>
  <si>
    <r>
      <t>M</t>
    </r>
    <r>
      <rPr>
        <i/>
        <vertAlign val="subscript"/>
        <sz val="11"/>
        <rFont val="Times New Roman"/>
        <family val="1"/>
      </rPr>
      <t>m</t>
    </r>
  </si>
  <si>
    <t>kN-m/m</t>
  </si>
  <si>
    <r>
      <t>p</t>
    </r>
    <r>
      <rPr>
        <vertAlign val="subscript"/>
        <sz val="11"/>
        <rFont val="Times New Roman"/>
        <family val="1"/>
      </rPr>
      <t>3</t>
    </r>
  </si>
  <si>
    <t>a</t>
  </si>
  <si>
    <t>m</t>
  </si>
  <si>
    <t>b</t>
  </si>
  <si>
    <t>m</t>
  </si>
  <si>
    <t>c</t>
  </si>
  <si>
    <r>
      <t>M</t>
    </r>
    <r>
      <rPr>
        <i/>
        <vertAlign val="subscript"/>
        <sz val="11"/>
        <rFont val="Times New Roman"/>
        <family val="1"/>
      </rPr>
      <t>BC</t>
    </r>
  </si>
  <si>
    <r>
      <t>M</t>
    </r>
    <r>
      <rPr>
        <i/>
        <vertAlign val="subscript"/>
        <sz val="11"/>
        <rFont val="Times New Roman"/>
        <family val="1"/>
      </rPr>
      <t>CB</t>
    </r>
  </si>
  <si>
    <r>
      <t>S</t>
    </r>
    <r>
      <rPr>
        <i/>
        <vertAlign val="subscript"/>
        <sz val="11"/>
        <rFont val="Times New Roman"/>
        <family val="1"/>
      </rPr>
      <t>BC</t>
    </r>
  </si>
  <si>
    <r>
      <t>S</t>
    </r>
    <r>
      <rPr>
        <i/>
        <vertAlign val="subscript"/>
        <sz val="11"/>
        <rFont val="Times New Roman"/>
        <family val="1"/>
      </rPr>
      <t>CB</t>
    </r>
  </si>
  <si>
    <t>節点曲げ</t>
  </si>
  <si>
    <t>最大曲げ</t>
  </si>
  <si>
    <t>部材長</t>
  </si>
  <si>
    <r>
      <t>M</t>
    </r>
    <r>
      <rPr>
        <i/>
        <vertAlign val="subscript"/>
        <sz val="11"/>
        <rFont val="Times New Roman"/>
        <family val="1"/>
      </rPr>
      <t>CD</t>
    </r>
  </si>
  <si>
    <r>
      <t>M</t>
    </r>
    <r>
      <rPr>
        <i/>
        <vertAlign val="subscript"/>
        <sz val="11"/>
        <rFont val="Times New Roman"/>
        <family val="1"/>
      </rPr>
      <t>DC</t>
    </r>
  </si>
  <si>
    <r>
      <t>S</t>
    </r>
    <r>
      <rPr>
        <i/>
        <vertAlign val="subscript"/>
        <sz val="11"/>
        <rFont val="Times New Roman"/>
        <family val="1"/>
      </rPr>
      <t>CD</t>
    </r>
  </si>
  <si>
    <r>
      <t>S</t>
    </r>
    <r>
      <rPr>
        <i/>
        <vertAlign val="subscript"/>
        <sz val="11"/>
        <rFont val="Times New Roman"/>
        <family val="1"/>
      </rPr>
      <t>DC</t>
    </r>
  </si>
  <si>
    <t>縮尺</t>
  </si>
  <si>
    <t>A-B</t>
  </si>
  <si>
    <t>B-C</t>
  </si>
  <si>
    <t>C-D</t>
  </si>
  <si>
    <t>D-A</t>
  </si>
  <si>
    <r>
      <t>M</t>
    </r>
    <r>
      <rPr>
        <i/>
        <vertAlign val="subscript"/>
        <sz val="11"/>
        <rFont val="Times New Roman"/>
        <family val="1"/>
      </rPr>
      <t>DA</t>
    </r>
  </si>
  <si>
    <r>
      <t>M</t>
    </r>
    <r>
      <rPr>
        <i/>
        <vertAlign val="subscript"/>
        <sz val="11"/>
        <rFont val="Times New Roman"/>
        <family val="1"/>
      </rPr>
      <t>AD</t>
    </r>
  </si>
  <si>
    <r>
      <t>S</t>
    </r>
    <r>
      <rPr>
        <i/>
        <vertAlign val="subscript"/>
        <sz val="11"/>
        <rFont val="Times New Roman"/>
        <family val="1"/>
      </rPr>
      <t>DA</t>
    </r>
  </si>
  <si>
    <r>
      <t>S</t>
    </r>
    <r>
      <rPr>
        <i/>
        <vertAlign val="subscript"/>
        <sz val="11"/>
        <rFont val="Times New Roman"/>
        <family val="1"/>
      </rPr>
      <t>AD</t>
    </r>
  </si>
  <si>
    <r>
      <t>M</t>
    </r>
    <r>
      <rPr>
        <i/>
        <vertAlign val="subscript"/>
        <sz val="11"/>
        <rFont val="Times New Roman"/>
        <family val="1"/>
      </rPr>
      <t>D</t>
    </r>
  </si>
  <si>
    <t>ケース１</t>
  </si>
  <si>
    <t>照査位置</t>
  </si>
  <si>
    <t>モーメント</t>
  </si>
  <si>
    <t>軸力</t>
  </si>
  <si>
    <r>
      <t>M</t>
    </r>
    <r>
      <rPr>
        <sz val="11"/>
        <rFont val="Times New Roman"/>
        <family val="1"/>
      </rPr>
      <t>(kNm)</t>
    </r>
  </si>
  <si>
    <r>
      <t>N</t>
    </r>
    <r>
      <rPr>
        <sz val="11"/>
        <rFont val="Times New Roman"/>
        <family val="1"/>
      </rPr>
      <t>(kN)</t>
    </r>
  </si>
  <si>
    <t>節点</t>
  </si>
  <si>
    <r>
      <t>2</t>
    </r>
    <r>
      <rPr>
        <i/>
        <sz val="11"/>
        <rFont val="Times New Roman"/>
        <family val="1"/>
      </rPr>
      <t>d</t>
    </r>
  </si>
  <si>
    <t>左側壁</t>
  </si>
  <si>
    <t>A</t>
  </si>
  <si>
    <t>中間</t>
  </si>
  <si>
    <t>－</t>
  </si>
  <si>
    <t>曲げモーメント</t>
  </si>
  <si>
    <t>B</t>
  </si>
  <si>
    <t>C</t>
  </si>
  <si>
    <t>C</t>
  </si>
  <si>
    <t>中間</t>
  </si>
  <si>
    <t>D</t>
  </si>
  <si>
    <t>D</t>
  </si>
  <si>
    <t>中間</t>
  </si>
  <si>
    <t>A</t>
  </si>
  <si>
    <t>照査位置</t>
  </si>
  <si>
    <r>
      <t>σ</t>
    </r>
    <r>
      <rPr>
        <i/>
        <vertAlign val="subscript"/>
        <sz val="11"/>
        <rFont val="Times New Roman"/>
        <family val="1"/>
      </rPr>
      <t>sa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</si>
  <si>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</si>
  <si>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b=</t>
  </si>
  <si>
    <t>mm</t>
  </si>
  <si>
    <t>n=</t>
  </si>
  <si>
    <t>B</t>
  </si>
  <si>
    <t>D</t>
  </si>
  <si>
    <t>A</t>
  </si>
  <si>
    <t>N</t>
  </si>
  <si>
    <t>e</t>
  </si>
  <si>
    <t>d</t>
  </si>
  <si>
    <t>c</t>
  </si>
  <si>
    <r>
      <t>σ</t>
    </r>
    <r>
      <rPr>
        <i/>
        <vertAlign val="subscript"/>
        <sz val="11"/>
        <rFont val="Times New Roman"/>
        <family val="1"/>
      </rPr>
      <t>c</t>
    </r>
  </si>
  <si>
    <t>s</t>
  </si>
  <si>
    <r>
      <t>A</t>
    </r>
    <r>
      <rPr>
        <i/>
        <vertAlign val="subscript"/>
        <sz val="11"/>
        <rFont val="Times New Roman"/>
        <family val="1"/>
      </rPr>
      <t>s</t>
    </r>
  </si>
  <si>
    <t>係数</t>
  </si>
  <si>
    <t>－</t>
  </si>
  <si>
    <t>鉄筋径</t>
  </si>
  <si>
    <t>pich</t>
  </si>
  <si>
    <t>側壁内</t>
  </si>
  <si>
    <t>底版上</t>
  </si>
  <si>
    <t>底版下</t>
  </si>
  <si>
    <t>AS</t>
  </si>
  <si>
    <t>(mm)</t>
  </si>
  <si>
    <t>自動</t>
  </si>
  <si>
    <r>
      <t>D</t>
    </r>
    <r>
      <rPr>
        <sz val="11"/>
        <rFont val="Times New Roman"/>
        <family val="1"/>
      </rPr>
      <t>(mm)</t>
    </r>
  </si>
  <si>
    <t>(mm)</t>
  </si>
  <si>
    <r>
      <t>量</t>
    </r>
    <r>
      <rPr>
        <sz val="11"/>
        <rFont val="Times New Roman"/>
        <family val="1"/>
      </rPr>
      <t>(mm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</si>
  <si>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D</t>
    </r>
    <r>
      <rPr>
        <sz val="11"/>
        <rFont val="Times New Roman"/>
        <family val="1"/>
      </rPr>
      <t>(mm)</t>
    </r>
  </si>
  <si>
    <t>b=</t>
  </si>
  <si>
    <t>mm</t>
  </si>
  <si>
    <t>n=</t>
  </si>
  <si>
    <t>x</t>
  </si>
  <si>
    <r>
      <t>σ</t>
    </r>
    <r>
      <rPr>
        <i/>
        <vertAlign val="subscript"/>
        <sz val="11"/>
        <rFont val="Times New Roman"/>
        <family val="1"/>
      </rPr>
      <t>s</t>
    </r>
  </si>
  <si>
    <t>t</t>
  </si>
  <si>
    <t>判定</t>
  </si>
  <si>
    <t>b=</t>
  </si>
  <si>
    <t>mm</t>
  </si>
  <si>
    <t>有効高</t>
  </si>
  <si>
    <t>節点位置</t>
  </si>
  <si>
    <r>
      <t>τ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</si>
  <si>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左側壁</t>
  </si>
  <si>
    <t>判定</t>
  </si>
  <si>
    <t>縮尺</t>
  </si>
  <si>
    <t>m</t>
  </si>
  <si>
    <t>x</t>
  </si>
  <si>
    <t>骨組み</t>
  </si>
  <si>
    <t>ケース１</t>
  </si>
  <si>
    <t>x</t>
  </si>
  <si>
    <t>min</t>
  </si>
  <si>
    <r>
      <t>d</t>
    </r>
    <r>
      <rPr>
        <sz val="11"/>
        <rFont val="Times New Roman"/>
        <family val="1"/>
      </rPr>
      <t>(mm)</t>
    </r>
  </si>
  <si>
    <r>
      <t>S</t>
    </r>
    <r>
      <rPr>
        <sz val="11"/>
        <rFont val="Times New Roman"/>
        <family val="1"/>
      </rPr>
      <t>(N)</t>
    </r>
  </si>
  <si>
    <r>
      <t>S</t>
    </r>
    <r>
      <rPr>
        <sz val="11"/>
        <rFont val="Times New Roman"/>
        <family val="1"/>
      </rPr>
      <t>(kN)</t>
    </r>
  </si>
  <si>
    <t>－</t>
  </si>
  <si>
    <t>（１）基本寸法</t>
  </si>
  <si>
    <t>内空寸法</t>
  </si>
  <si>
    <t>頂版</t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</si>
  <si>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</si>
  <si>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</si>
  <si>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hu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</si>
  <si>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bu</t>
    </r>
    <r>
      <rPr>
        <i/>
        <sz val="11"/>
        <rFont val="Times New Roman"/>
        <family val="1"/>
      </rPr>
      <t>=</t>
    </r>
  </si>
  <si>
    <t>土被り</t>
  </si>
  <si>
    <r>
      <t>後輪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輪</t>
    </r>
  </si>
  <si>
    <t>前輪１輪</t>
  </si>
  <si>
    <t>軸間距離</t>
  </si>
  <si>
    <t>設置幅</t>
  </si>
  <si>
    <t>進行方向</t>
  </si>
  <si>
    <t>直角方向</t>
  </si>
  <si>
    <t>（４）単位体積重量</t>
  </si>
  <si>
    <t>配置間隔</t>
  </si>
  <si>
    <t>上側</t>
  </si>
  <si>
    <r>
      <t>（１）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鉛直土圧</t>
    </r>
  </si>
  <si>
    <t>m</t>
  </si>
  <si>
    <t>地表載荷重</t>
  </si>
  <si>
    <t>水平土圧係数</t>
  </si>
  <si>
    <t>２．４　荷重強度とたわみ角法の荷重項</t>
  </si>
  <si>
    <t>（１）ケース１</t>
  </si>
  <si>
    <r>
      <t>左側壁</t>
    </r>
    <r>
      <rPr>
        <sz val="11"/>
        <rFont val="Times New Roman"/>
        <family val="1"/>
      </rPr>
      <t xml:space="preserve">     A-B</t>
    </r>
  </si>
  <si>
    <t>自　重</t>
  </si>
  <si>
    <t>B-C</t>
  </si>
  <si>
    <t>水平土圧</t>
  </si>
  <si>
    <t>鉛直土圧</t>
  </si>
  <si>
    <t>（２）ケース２</t>
  </si>
  <si>
    <t>剛比</t>
  </si>
  <si>
    <t>側壁</t>
  </si>
  <si>
    <t>左側壁</t>
  </si>
  <si>
    <t>最大曲げモーメント発生位置</t>
  </si>
  <si>
    <t>荷重作用</t>
  </si>
  <si>
    <t>位置</t>
  </si>
  <si>
    <t>節点</t>
  </si>
  <si>
    <r>
      <t>S</t>
    </r>
    <r>
      <rPr>
        <i/>
        <vertAlign val="subscript"/>
        <sz val="11"/>
        <rFont val="Times New Roman"/>
        <family val="1"/>
      </rPr>
      <t>x</t>
    </r>
  </si>
  <si>
    <t>せん断力</t>
  </si>
  <si>
    <t>(kN/m)</t>
  </si>
  <si>
    <r>
      <t>M</t>
    </r>
    <r>
      <rPr>
        <i/>
        <vertAlign val="subscript"/>
        <sz val="11"/>
        <rFont val="Times New Roman"/>
        <family val="1"/>
      </rPr>
      <t>B</t>
    </r>
  </si>
  <si>
    <t>kN-m/m</t>
  </si>
  <si>
    <t>モーメント</t>
  </si>
  <si>
    <r>
      <t>M</t>
    </r>
    <r>
      <rPr>
        <i/>
        <vertAlign val="subscript"/>
        <sz val="11"/>
        <rFont val="Times New Roman"/>
        <family val="1"/>
      </rPr>
      <t>m</t>
    </r>
  </si>
  <si>
    <t>kN-m/m</t>
  </si>
  <si>
    <t>骨組み</t>
  </si>
  <si>
    <r>
      <t>せん断力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(kN)</t>
    </r>
  </si>
  <si>
    <t>中間</t>
  </si>
  <si>
    <t>照査位置</t>
  </si>
  <si>
    <r>
      <t>N/mm</t>
    </r>
    <r>
      <rPr>
        <vertAlign val="superscript"/>
        <sz val="11"/>
        <rFont val="Times New Roman"/>
        <family val="1"/>
      </rPr>
      <t>2</t>
    </r>
  </si>
  <si>
    <t>－</t>
  </si>
  <si>
    <r>
      <t>mm</t>
    </r>
    <r>
      <rPr>
        <vertAlign val="superscript"/>
        <sz val="11"/>
        <rFont val="Times New Roman"/>
        <family val="1"/>
      </rPr>
      <t>2</t>
    </r>
  </si>
  <si>
    <t>C</t>
  </si>
  <si>
    <r>
      <t>σ</t>
    </r>
    <r>
      <rPr>
        <i/>
        <vertAlign val="subscript"/>
        <sz val="11"/>
        <rFont val="Times New Roman"/>
        <family val="1"/>
      </rPr>
      <t>c</t>
    </r>
  </si>
  <si>
    <r>
      <t>f(</t>
    </r>
    <r>
      <rPr>
        <i/>
        <sz val="11"/>
        <rFont val="ＭＳ Ｐ明朝"/>
        <family val="1"/>
      </rPr>
      <t>σ</t>
    </r>
    <r>
      <rPr>
        <i/>
        <vertAlign val="subscript"/>
        <sz val="11"/>
        <rFont val="Times New Roman"/>
        <family val="1"/>
      </rPr>
      <t>c)</t>
    </r>
  </si>
  <si>
    <r>
      <t>tan(</t>
    </r>
    <r>
      <rPr>
        <sz val="11"/>
        <rFont val="ＭＳ Ｐ明朝"/>
        <family val="1"/>
      </rPr>
      <t>θ</t>
    </r>
    <r>
      <rPr>
        <sz val="11"/>
        <rFont val="Times New Roman"/>
        <family val="1"/>
      </rPr>
      <t>)</t>
    </r>
  </si>
  <si>
    <t>必要鉄筋</t>
  </si>
  <si>
    <t>使用鉄筋</t>
  </si>
  <si>
    <r>
      <t>d</t>
    </r>
    <r>
      <rPr>
        <sz val="11"/>
        <rFont val="Times New Roman"/>
        <family val="1"/>
      </rPr>
      <t>(mm)</t>
    </r>
  </si>
  <si>
    <t>頂版上</t>
  </si>
  <si>
    <t>頂版下</t>
  </si>
  <si>
    <t>内側</t>
  </si>
  <si>
    <t>入力</t>
  </si>
  <si>
    <t>d=</t>
  </si>
  <si>
    <t>x</t>
  </si>
  <si>
    <r>
      <t>f(x</t>
    </r>
    <r>
      <rPr>
        <i/>
        <vertAlign val="subscript"/>
        <sz val="11"/>
        <rFont val="Times New Roman"/>
        <family val="1"/>
      </rPr>
      <t>)</t>
    </r>
  </si>
  <si>
    <r>
      <t>最大応力度σ</t>
    </r>
    <r>
      <rPr>
        <i/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</si>
  <si>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許容応力度σ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</si>
  <si>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節点から</t>
    </r>
    <r>
      <rPr>
        <sz val="11"/>
        <rFont val="Times New Roman"/>
        <family val="1"/>
      </rPr>
      <t>2</t>
    </r>
    <r>
      <rPr>
        <i/>
        <sz val="11"/>
        <rFont val="Times New Roman"/>
        <family val="1"/>
      </rPr>
      <t>d</t>
    </r>
    <r>
      <rPr>
        <sz val="11"/>
        <rFont val="ＭＳ Ｐ明朝"/>
        <family val="1"/>
      </rPr>
      <t>内側</t>
    </r>
  </si>
  <si>
    <r>
      <t>最大せん断応力度τ</t>
    </r>
    <r>
      <rPr>
        <sz val="11"/>
        <rFont val="Times New Roman"/>
        <family val="1"/>
      </rPr>
      <t>max(N/mm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</si>
  <si>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右側壁</t>
    </r>
    <r>
      <rPr>
        <sz val="11"/>
        <rFont val="Times New Roman"/>
        <family val="1"/>
      </rPr>
      <t xml:space="preserve">     C-D</t>
    </r>
  </si>
  <si>
    <r>
      <t>底版</t>
    </r>
    <r>
      <rPr>
        <sz val="11"/>
        <rFont val="Times New Roman"/>
        <family val="1"/>
      </rPr>
      <t xml:space="preserve">     D-A</t>
    </r>
  </si>
  <si>
    <t>３．たわみ角法によるラーメン計算</t>
  </si>
  <si>
    <t>３．２　節点モーメント</t>
  </si>
  <si>
    <t>３．１　剛比</t>
  </si>
  <si>
    <t>（１）行列式</t>
  </si>
  <si>
    <t>４．断面力の計算</t>
  </si>
  <si>
    <t>４．１　一般式</t>
  </si>
  <si>
    <t>（１）側壁，底版</t>
  </si>
  <si>
    <t>（２）頂版</t>
  </si>
  <si>
    <r>
      <t>４．２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左側壁</t>
    </r>
    <r>
      <rPr>
        <sz val="11"/>
        <rFont val="Times New Roman"/>
        <family val="1"/>
      </rPr>
      <t>(A-B)</t>
    </r>
  </si>
  <si>
    <r>
      <t>４．３　頂版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Ｂ</t>
    </r>
    <r>
      <rPr>
        <sz val="11"/>
        <rFont val="Times New Roman"/>
        <family val="1"/>
      </rPr>
      <t>-C)</t>
    </r>
  </si>
  <si>
    <r>
      <t>４．４　右側壁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Ｃ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Ｄ</t>
    </r>
    <r>
      <rPr>
        <sz val="11"/>
        <rFont val="Times New Roman"/>
        <family val="1"/>
      </rPr>
      <t>)</t>
    </r>
  </si>
  <si>
    <r>
      <t>４．５　底版</t>
    </r>
    <r>
      <rPr>
        <sz val="11"/>
        <rFont val="Times New Roman"/>
        <family val="1"/>
      </rPr>
      <t>(D-A)</t>
    </r>
  </si>
  <si>
    <t>４．６　せん断力図，曲げモーメント図</t>
  </si>
  <si>
    <t>４．７　設計断面力</t>
  </si>
  <si>
    <t>５．鉄筋量</t>
  </si>
  <si>
    <t>５．１　必要鉄筋量</t>
  </si>
  <si>
    <t>（１）計算式</t>
  </si>
  <si>
    <t>５．２　使用鉄筋量</t>
  </si>
  <si>
    <t>６．応力度の計算</t>
  </si>
  <si>
    <t>６．１　曲げ応力度</t>
  </si>
  <si>
    <t>軸力と曲げモーメントを受ける単鉄筋長方形断面として計算する．</t>
  </si>
  <si>
    <t>６．２　せん断応力度</t>
  </si>
  <si>
    <t>７．地盤支持力の照査</t>
  </si>
  <si>
    <t>自動車後輪荷重がボックスカルバート中央に載荷されるケース１で照査する．</t>
  </si>
  <si>
    <t>底版以外の自重による地盤反力</t>
  </si>
  <si>
    <t>活荷重による地盤反力</t>
  </si>
  <si>
    <t>頂版上の鉛直土圧による地盤反力</t>
  </si>
  <si>
    <r>
      <t>q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</si>
  <si>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</si>
  <si>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</si>
  <si>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底版自重による地盤反力</t>
  </si>
  <si>
    <t>カルバート内部荷重による地盤反力</t>
  </si>
  <si>
    <t>地盤反力</t>
  </si>
  <si>
    <r>
      <t xml:space="preserve">許容支持力度  </t>
    </r>
    <r>
      <rPr>
        <i/>
        <sz val="11"/>
        <rFont val="ＭＳ Ｐ明朝"/>
        <family val="1"/>
      </rPr>
      <t>q</t>
    </r>
    <r>
      <rPr>
        <i/>
        <vertAlign val="subscript"/>
        <sz val="11"/>
        <rFont val="ＭＳ Ｐ明朝"/>
        <family val="1"/>
      </rPr>
      <t>a</t>
    </r>
    <r>
      <rPr>
        <sz val="11"/>
        <rFont val="ＭＳ Ｐ明朝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</si>
  <si>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total</t>
    </r>
    <r>
      <rPr>
        <sz val="11"/>
        <rFont val="Times New Roman"/>
        <family val="1"/>
      </rPr>
      <t>=</t>
    </r>
  </si>
  <si>
    <r>
      <t>土被りが</t>
    </r>
    <r>
      <rPr>
        <sz val="11"/>
        <rFont val="Times New Roman"/>
        <family val="1"/>
      </rPr>
      <t>4m</t>
    </r>
    <r>
      <rPr>
        <sz val="11"/>
        <rFont val="ＭＳ Ｐ明朝"/>
        <family val="1"/>
      </rPr>
      <t>以上の場合の活荷重</t>
    </r>
  </si>
  <si>
    <t>（１）鉛直圧力</t>
  </si>
  <si>
    <t>地表載荷重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</si>
  <si>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</si>
  <si>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vl</t>
    </r>
    <r>
      <rPr>
        <i/>
        <sz val="11"/>
        <rFont val="Times New Roman"/>
        <family val="1"/>
      </rPr>
      <t>=</t>
    </r>
  </si>
  <si>
    <t>（２）水平圧力</t>
  </si>
  <si>
    <t>（３）地盤反力</t>
  </si>
  <si>
    <r>
      <t>q</t>
    </r>
    <r>
      <rPr>
        <i/>
        <vertAlign val="subscript"/>
        <sz val="11"/>
        <rFont val="Times New Roman"/>
        <family val="1"/>
      </rPr>
      <t>l</t>
    </r>
    <r>
      <rPr>
        <i/>
        <sz val="11"/>
        <rFont val="Times New Roman"/>
        <family val="1"/>
      </rPr>
      <t>=</t>
    </r>
  </si>
  <si>
    <t>計算値</t>
  </si>
  <si>
    <r>
      <t>kN/m</t>
    </r>
    <r>
      <rPr>
        <vertAlign val="superscript"/>
        <sz val="11"/>
        <rFont val="Times New Roman"/>
        <family val="1"/>
      </rPr>
      <t>2</t>
    </r>
  </si>
  <si>
    <r>
      <t>p</t>
    </r>
    <r>
      <rPr>
        <i/>
        <vertAlign val="subscript"/>
        <sz val="11"/>
        <rFont val="Times New Roman"/>
        <family val="1"/>
      </rPr>
      <t>in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</si>
  <si>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in</t>
    </r>
    <r>
      <rPr>
        <i/>
        <sz val="11"/>
        <rFont val="Times New Roman"/>
        <family val="1"/>
      </rPr>
      <t>=</t>
    </r>
  </si>
  <si>
    <t>外上側</t>
  </si>
  <si>
    <t>外上</t>
  </si>
  <si>
    <t>外下側</t>
  </si>
  <si>
    <t>側壁外下</t>
  </si>
  <si>
    <t>側壁外上</t>
  </si>
  <si>
    <t>外上側</t>
  </si>
  <si>
    <t>外下</t>
  </si>
  <si>
    <t>等分布荷重</t>
  </si>
  <si>
    <t>下端</t>
  </si>
  <si>
    <t>上端</t>
  </si>
  <si>
    <r>
      <t>の圧縮応力度を</t>
    </r>
    <r>
      <rPr>
        <sz val="11"/>
        <rFont val="Times New Roman"/>
        <family val="1"/>
      </rPr>
      <t>4/3</t>
    </r>
    <r>
      <rPr>
        <sz val="11"/>
        <rFont val="ＭＳ Ｐ明朝"/>
        <family val="1"/>
      </rPr>
      <t>倍する．</t>
    </r>
  </si>
  <si>
    <t>下側ハンチがない場合は，側壁下端，底版端部のコンクリート</t>
  </si>
  <si>
    <t>****</t>
  </si>
  <si>
    <t>下側ハンチ</t>
  </si>
  <si>
    <t>hhu=</t>
  </si>
  <si>
    <r>
      <t>許容せん断応力度τ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</si>
  <si>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計算結果</t>
  </si>
  <si>
    <t>中央</t>
  </si>
  <si>
    <t>照査位置</t>
  </si>
  <si>
    <t>側壁</t>
  </si>
  <si>
    <t>下端</t>
  </si>
  <si>
    <t>中央</t>
  </si>
  <si>
    <t>上端</t>
  </si>
  <si>
    <t>頂版</t>
  </si>
  <si>
    <t>端部</t>
  </si>
  <si>
    <r>
      <t>2</t>
    </r>
    <r>
      <rPr>
        <i/>
        <sz val="11"/>
        <rFont val="Times New Roman"/>
        <family val="1"/>
      </rPr>
      <t>d</t>
    </r>
    <r>
      <rPr>
        <sz val="11"/>
        <rFont val="ＭＳ Ｐ明朝"/>
        <family val="1"/>
      </rPr>
      <t>離れ</t>
    </r>
  </si>
  <si>
    <t>－</t>
  </si>
  <si>
    <t>h=</t>
  </si>
  <si>
    <t>ボックスカルバートの設計(道路土工－カルバート工指針H11準拠)</t>
  </si>
  <si>
    <t>判　　　　　定</t>
  </si>
  <si>
    <t>許容値</t>
  </si>
  <si>
    <t>地盤支持</t>
  </si>
  <si>
    <t>****</t>
  </si>
  <si>
    <t>****</t>
  </si>
  <si>
    <t>（９）適用基準</t>
  </si>
  <si>
    <t>日本道路協会：道路土工－カルバート工指針，平成１１年３月</t>
  </si>
  <si>
    <r>
      <t>p</t>
    </r>
    <r>
      <rPr>
        <i/>
        <vertAlign val="subscript"/>
        <sz val="11"/>
        <rFont val="Times New Roman"/>
        <family val="1"/>
      </rPr>
      <t>hs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</si>
  <si>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条件</t>
  </si>
  <si>
    <t>下記のいずれかに該当する場合</t>
  </si>
  <si>
    <t>鉛直土圧係数　α</t>
  </si>
  <si>
    <t>①良好な地盤上(置換え基礎も含む)に設置する直接基礎のカルバートで，土被りが10m以上でかつ内空高が3mを超える場合</t>
  </si>
  <si>
    <t>②杭基礎等で盛土の沈下にカルバートが抵抗する場合(セメント安定処理等による剛性の高い地盤改良をカルバートの外幅程度行う場合を含む)</t>
  </si>
  <si>
    <t>上記以外。盛土の沈下と共にカルバートが沈下する場合で軟弱地盤上に設置する場合も含む。</t>
  </si>
  <si>
    <r>
      <t>N/mm</t>
    </r>
    <r>
      <rPr>
        <vertAlign val="superscript"/>
        <sz val="11"/>
        <rFont val="Times New Roman"/>
        <family val="1"/>
      </rPr>
      <t>2</t>
    </r>
  </si>
  <si>
    <t>（１）基本寸法</t>
  </si>
  <si>
    <t>内空寸法</t>
  </si>
  <si>
    <t>土被り</t>
  </si>
  <si>
    <r>
      <t>後輪</t>
    </r>
    <r>
      <rPr>
        <sz val="11"/>
        <rFont val="ＭＳ 明朝"/>
        <family val="1"/>
      </rPr>
      <t>1輪</t>
    </r>
  </si>
  <si>
    <t>前輪１輪</t>
  </si>
  <si>
    <t>軸間距離</t>
  </si>
  <si>
    <t>進行方向</t>
  </si>
  <si>
    <r>
      <t>p</t>
    </r>
    <r>
      <rPr>
        <i/>
        <vertAlign val="subscript"/>
        <sz val="11"/>
        <rFont val="ＭＳ 明朝"/>
        <family val="1"/>
      </rPr>
      <t>in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</si>
  <si>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</si>
  <si>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（４）単位体積重量</t>
  </si>
  <si>
    <r>
      <t>γ</t>
    </r>
    <r>
      <rPr>
        <i/>
        <vertAlign val="subscript"/>
        <sz val="11"/>
        <rFont val="ＭＳ 明朝"/>
        <family val="1"/>
      </rPr>
      <t>c</t>
    </r>
    <r>
      <rPr>
        <i/>
        <sz val="11"/>
        <rFont val="ＭＳ 明朝"/>
        <family val="1"/>
      </rPr>
      <t>=</t>
    </r>
  </si>
  <si>
    <t>γ=</t>
  </si>
  <si>
    <r>
      <t>γ</t>
    </r>
    <r>
      <rPr>
        <i/>
        <vertAlign val="subscript"/>
        <sz val="11"/>
        <rFont val="ＭＳ 明朝"/>
        <family val="1"/>
      </rPr>
      <t>p</t>
    </r>
    <r>
      <rPr>
        <i/>
        <sz val="11"/>
        <rFont val="ＭＳ 明朝"/>
        <family val="1"/>
      </rPr>
      <t>=</t>
    </r>
  </si>
  <si>
    <t>（５）水平土圧係数</t>
  </si>
  <si>
    <r>
      <t>k</t>
    </r>
    <r>
      <rPr>
        <vertAlign val="subscript"/>
        <sz val="11"/>
        <rFont val="ＭＳ 明朝"/>
        <family val="1"/>
      </rPr>
      <t>0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</si>
  <si>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ck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</si>
  <si>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</si>
  <si>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r>
      <t>N/mm</t>
    </r>
    <r>
      <rPr>
        <vertAlign val="superscript"/>
        <sz val="11"/>
        <rFont val="ＭＳ 明朝"/>
        <family val="1"/>
      </rPr>
      <t>2</t>
    </r>
  </si>
  <si>
    <r>
      <t>τ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</si>
  <si>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sa</t>
    </r>
    <r>
      <rPr>
        <i/>
        <sz val="11"/>
        <rFont val="ＭＳ 明朝"/>
        <family val="1"/>
      </rPr>
      <t>=</t>
    </r>
  </si>
  <si>
    <r>
      <t>q</t>
    </r>
    <r>
      <rPr>
        <i/>
        <vertAlign val="subscript"/>
        <sz val="11"/>
        <rFont val="ＭＳ 明朝"/>
        <family val="1"/>
      </rPr>
      <t>a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</si>
  <si>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</si>
  <si>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配置間隔</t>
  </si>
  <si>
    <r>
      <t>D</t>
    </r>
    <r>
      <rPr>
        <sz val="11"/>
        <rFont val="ＭＳ 明朝"/>
        <family val="1"/>
      </rPr>
      <t>(mm)</t>
    </r>
  </si>
  <si>
    <r>
      <t>f</t>
    </r>
    <r>
      <rPr>
        <sz val="11"/>
        <rFont val="ＭＳ 明朝"/>
        <family val="1"/>
      </rPr>
      <t>(mm)</t>
    </r>
  </si>
  <si>
    <r>
      <t>d</t>
    </r>
    <r>
      <rPr>
        <sz val="11"/>
        <rFont val="ＭＳ 明朝"/>
        <family val="1"/>
      </rPr>
      <t>(mm)</t>
    </r>
  </si>
  <si>
    <t>外下側</t>
  </si>
  <si>
    <t>外上側</t>
  </si>
  <si>
    <t>頂版</t>
  </si>
  <si>
    <t>上側</t>
  </si>
  <si>
    <t>（９）適用基準</t>
  </si>
  <si>
    <t>日本道路協会：道路土工－カルバート工指針，平成１１年３月</t>
  </si>
  <si>
    <t>２．外力</t>
  </si>
  <si>
    <r>
      <t>自重は頂版</t>
    </r>
    <r>
      <rPr>
        <sz val="11"/>
        <rFont val="ＭＳ 明朝"/>
        <family val="1"/>
      </rPr>
      <t>(ハンチを含む)と側壁について計算する．</t>
    </r>
  </si>
  <si>
    <r>
      <t>頂版自重　</t>
    </r>
    <r>
      <rPr>
        <sz val="11"/>
        <rFont val="ＭＳ 明朝"/>
        <family val="1"/>
      </rPr>
      <t xml:space="preserve"> </t>
    </r>
  </si>
  <si>
    <r>
      <t>γ</t>
    </r>
    <r>
      <rPr>
        <i/>
        <vertAlign val="subscript"/>
        <sz val="11"/>
        <rFont val="ＭＳ 明朝"/>
        <family val="1"/>
      </rPr>
      <t>c</t>
    </r>
    <r>
      <rPr>
        <i/>
        <sz val="11"/>
        <rFont val="ＭＳ 明朝"/>
        <family val="1"/>
      </rPr>
      <t>=</t>
    </r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</si>
  <si>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</si>
  <si>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1</t>
    </r>
    <r>
      <rPr>
        <i/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</si>
  <si>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i/>
        <sz val="11"/>
        <rFont val="ＭＳ 明朝"/>
        <family val="1"/>
      </rPr>
      <t>=</t>
    </r>
  </si>
  <si>
    <r>
      <t>h</t>
    </r>
    <r>
      <rPr>
        <i/>
        <vertAlign val="subscript"/>
        <sz val="11"/>
        <rFont val="ＭＳ 明朝"/>
        <family val="1"/>
      </rPr>
      <t>ho</t>
    </r>
    <r>
      <rPr>
        <i/>
        <sz val="11"/>
        <rFont val="ＭＳ 明朝"/>
        <family val="1"/>
      </rPr>
      <t>=</t>
    </r>
  </si>
  <si>
    <r>
      <t>h</t>
    </r>
    <r>
      <rPr>
        <i/>
        <vertAlign val="subscript"/>
        <sz val="11"/>
        <rFont val="ＭＳ 明朝"/>
        <family val="1"/>
      </rPr>
      <t>bo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</si>
  <si>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</si>
  <si>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r>
      <t>　側　　壁　</t>
    </r>
    <r>
      <rPr>
        <sz val="11"/>
        <rFont val="ＭＳ 明朝"/>
        <family val="1"/>
      </rPr>
      <t xml:space="preserve"> </t>
    </r>
  </si>
  <si>
    <r>
      <t xml:space="preserve">  </t>
    </r>
    <r>
      <rPr>
        <sz val="11"/>
        <rFont val="ＭＳ 明朝"/>
        <family val="1"/>
      </rPr>
      <t xml:space="preserve">地盤反力　 </t>
    </r>
  </si>
  <si>
    <t>土の単位体積重量</t>
  </si>
  <si>
    <r>
      <t>（１）</t>
    </r>
    <r>
      <rPr>
        <sz val="11"/>
        <rFont val="ＭＳ 明朝"/>
        <family val="1"/>
      </rPr>
      <t xml:space="preserve"> 鉛直土圧</t>
    </r>
  </si>
  <si>
    <t>条件</t>
  </si>
  <si>
    <t>下記のいずれかに該当する場合</t>
  </si>
  <si>
    <t>①良好な地盤上(置換え基礎も含む)に設置する直接基礎のカルバートで，土被りが10m以上でかつ内空高が3mを超える場合</t>
  </si>
  <si>
    <t>②杭基礎等で盛土の沈下にカルバートが抵抗する場合(セメント安定処理等による剛性の高い地盤改良をカルバートの外幅程度行う場合を含む)</t>
  </si>
  <si>
    <t>上記以外。盛土の沈下と共にカルバートが沈下する場合で軟弱地盤上に設置する場合も含む。</t>
  </si>
  <si>
    <t>土被り比</t>
  </si>
  <si>
    <t>鉛直土圧係数</t>
  </si>
  <si>
    <r>
      <t>α</t>
    </r>
    <r>
      <rPr>
        <sz val="11"/>
        <rFont val="ＭＳ 明朝"/>
        <family val="1"/>
      </rPr>
      <t>=</t>
    </r>
  </si>
  <si>
    <r>
      <t>（２）</t>
    </r>
    <r>
      <rPr>
        <sz val="11"/>
        <rFont val="ＭＳ 明朝"/>
        <family val="1"/>
      </rPr>
      <t xml:space="preserve"> 水平土圧</t>
    </r>
  </si>
  <si>
    <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</si>
  <si>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</si>
  <si>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r>
      <t>（３）</t>
    </r>
    <r>
      <rPr>
        <sz val="11"/>
        <rFont val="ＭＳ 明朝"/>
        <family val="1"/>
      </rPr>
      <t xml:space="preserve"> 地盤反力</t>
    </r>
  </si>
  <si>
    <r>
      <t>q</t>
    </r>
    <r>
      <rPr>
        <i/>
        <vertAlign val="subscript"/>
        <sz val="11"/>
        <rFont val="ＭＳ 明朝"/>
        <family val="1"/>
      </rPr>
      <t>d</t>
    </r>
    <r>
      <rPr>
        <i/>
        <sz val="11"/>
        <rFont val="ＭＳ 明朝"/>
        <family val="1"/>
      </rPr>
      <t>=p</t>
    </r>
    <r>
      <rPr>
        <i/>
        <vertAlign val="subscript"/>
        <sz val="11"/>
        <rFont val="ＭＳ 明朝"/>
        <family val="1"/>
      </rPr>
      <t>vd</t>
    </r>
    <r>
      <rPr>
        <i/>
        <sz val="11"/>
        <rFont val="ＭＳ 明朝"/>
        <family val="1"/>
      </rPr>
      <t>=</t>
    </r>
  </si>
  <si>
    <r>
      <t>土被りが</t>
    </r>
    <r>
      <rPr>
        <sz val="11"/>
        <rFont val="ＭＳ 明朝"/>
        <family val="1"/>
      </rPr>
      <t>4m未満の場合の活荷重</t>
    </r>
  </si>
  <si>
    <r>
      <t>（１）鉛直圧力　</t>
    </r>
    <r>
      <rPr>
        <sz val="11"/>
        <rFont val="ＭＳ 明朝"/>
        <family val="1"/>
      </rPr>
      <t>(ケース１)</t>
    </r>
  </si>
  <si>
    <t>単位長さ当り輪荷重</t>
  </si>
  <si>
    <r>
      <t>β</t>
    </r>
    <r>
      <rPr>
        <sz val="11"/>
        <rFont val="ＭＳ 明朝"/>
        <family val="1"/>
      </rPr>
      <t>=</t>
    </r>
  </si>
  <si>
    <t>状態</t>
  </si>
  <si>
    <t>断面力低減係数β</t>
  </si>
  <si>
    <t>土被りh≦1mかつ内空幅B≧4mの場合</t>
  </si>
  <si>
    <t>上記以外の場合</t>
  </si>
  <si>
    <t>鉛直圧力</t>
  </si>
  <si>
    <t>鉛直圧力の分布幅</t>
  </si>
  <si>
    <r>
      <t>λ</t>
    </r>
    <r>
      <rPr>
        <sz val="11"/>
        <rFont val="ＭＳ 明朝"/>
        <family val="1"/>
      </rPr>
      <t>=</t>
    </r>
  </si>
  <si>
    <r>
      <t>（２）水平圧力　</t>
    </r>
    <r>
      <rPr>
        <sz val="11"/>
        <rFont val="ＭＳ 明朝"/>
        <family val="1"/>
      </rPr>
      <t>(ケース２)</t>
    </r>
  </si>
  <si>
    <t>地表載荷重</t>
  </si>
  <si>
    <r>
      <t>kN/m</t>
    </r>
    <r>
      <rPr>
        <vertAlign val="superscript"/>
        <sz val="11"/>
        <rFont val="ＭＳ 明朝"/>
        <family val="1"/>
      </rPr>
      <t>2</t>
    </r>
  </si>
  <si>
    <t>水平土圧係数</t>
  </si>
  <si>
    <r>
      <t>（３）地盤反力　</t>
    </r>
    <r>
      <rPr>
        <sz val="11"/>
        <rFont val="ＭＳ 明朝"/>
        <family val="1"/>
      </rPr>
      <t>(ケース１)</t>
    </r>
  </si>
  <si>
    <t>２．４　荷重強度とたわみ角法の荷重項</t>
  </si>
  <si>
    <r>
      <t>l</t>
    </r>
    <r>
      <rPr>
        <sz val="11"/>
        <rFont val="ＭＳ 明朝"/>
        <family val="1"/>
      </rPr>
      <t>(m)</t>
    </r>
  </si>
  <si>
    <r>
      <t>a</t>
    </r>
    <r>
      <rPr>
        <sz val="11"/>
        <rFont val="ＭＳ 明朝"/>
        <family val="1"/>
      </rPr>
      <t>(m)</t>
    </r>
  </si>
  <si>
    <r>
      <t>b</t>
    </r>
    <r>
      <rPr>
        <sz val="11"/>
        <rFont val="ＭＳ 明朝"/>
        <family val="1"/>
      </rPr>
      <t>(m)</t>
    </r>
  </si>
  <si>
    <r>
      <t>q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</si>
  <si>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q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</si>
  <si>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C</t>
    </r>
    <r>
      <rPr>
        <i/>
        <vertAlign val="subscript"/>
        <sz val="11"/>
        <rFont val="ＭＳ 明朝"/>
        <family val="1"/>
      </rPr>
      <t>ij</t>
    </r>
  </si>
  <si>
    <r>
      <t>C</t>
    </r>
    <r>
      <rPr>
        <i/>
        <vertAlign val="subscript"/>
        <sz val="11"/>
        <rFont val="ＭＳ 明朝"/>
        <family val="1"/>
      </rPr>
      <t>ji</t>
    </r>
  </si>
  <si>
    <r>
      <t>左側壁</t>
    </r>
    <r>
      <rPr>
        <sz val="11"/>
        <rFont val="ＭＳ 明朝"/>
        <family val="1"/>
      </rPr>
      <t xml:space="preserve">     A-B</t>
    </r>
  </si>
  <si>
    <t>自　重</t>
  </si>
  <si>
    <r>
      <t>右側壁</t>
    </r>
    <r>
      <rPr>
        <sz val="11"/>
        <rFont val="ＭＳ 明朝"/>
        <family val="1"/>
      </rPr>
      <t xml:space="preserve">     C-D</t>
    </r>
  </si>
  <si>
    <t>水平土圧</t>
  </si>
  <si>
    <r>
      <t>底版</t>
    </r>
    <r>
      <rPr>
        <sz val="11"/>
        <rFont val="ＭＳ 明朝"/>
        <family val="1"/>
      </rPr>
      <t xml:space="preserve">     D-A</t>
    </r>
  </si>
  <si>
    <t>自　重</t>
  </si>
  <si>
    <t>鉛直土圧</t>
  </si>
  <si>
    <t>部材</t>
  </si>
  <si>
    <t>荷重</t>
  </si>
  <si>
    <r>
      <t>左側壁</t>
    </r>
    <r>
      <rPr>
        <sz val="11"/>
        <rFont val="ＭＳ 明朝"/>
        <family val="1"/>
      </rPr>
      <t xml:space="preserve">     A-B</t>
    </r>
  </si>
  <si>
    <t>後輪荷重</t>
  </si>
  <si>
    <t>前輪荷重</t>
  </si>
  <si>
    <t>３．たわみ角法によるラーメン計算</t>
  </si>
  <si>
    <t>３．１　剛比</t>
  </si>
  <si>
    <r>
      <t>H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</si>
  <si>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</si>
  <si>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t>剛比</t>
  </si>
  <si>
    <t>側壁</t>
  </si>
  <si>
    <r>
      <t>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</si>
  <si>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t>３．２　節点モーメント</t>
  </si>
  <si>
    <t>（１）行列式</t>
  </si>
  <si>
    <t>（２）ケース１</t>
  </si>
  <si>
    <t>荷重項</t>
  </si>
  <si>
    <t>左側壁</t>
  </si>
  <si>
    <r>
      <t>C</t>
    </r>
    <r>
      <rPr>
        <i/>
        <vertAlign val="subscript"/>
        <sz val="11"/>
        <rFont val="ＭＳ 明朝"/>
        <family val="1"/>
      </rPr>
      <t>AB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</si>
  <si>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BA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</si>
  <si>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BC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</si>
  <si>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CB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</si>
  <si>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CD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</si>
  <si>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DC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</si>
  <si>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DA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</si>
  <si>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AD</t>
    </r>
    <r>
      <rPr>
        <i/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</si>
  <si>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A</t>
    </r>
  </si>
  <si>
    <r>
      <t>θ</t>
    </r>
    <r>
      <rPr>
        <i/>
        <vertAlign val="subscript"/>
        <sz val="11"/>
        <rFont val="ＭＳ 明朝"/>
        <family val="1"/>
      </rPr>
      <t>B</t>
    </r>
  </si>
  <si>
    <r>
      <t>θ</t>
    </r>
    <r>
      <rPr>
        <i/>
        <vertAlign val="subscript"/>
        <sz val="11"/>
        <rFont val="ＭＳ 明朝"/>
        <family val="1"/>
      </rPr>
      <t>C</t>
    </r>
  </si>
  <si>
    <r>
      <t>θ</t>
    </r>
    <r>
      <rPr>
        <i/>
        <vertAlign val="subscript"/>
        <sz val="11"/>
        <rFont val="ＭＳ 明朝"/>
        <family val="1"/>
      </rPr>
      <t>D</t>
    </r>
  </si>
  <si>
    <r>
      <t>θ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</si>
  <si>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</si>
  <si>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</si>
  <si>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</si>
  <si>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r>
      <t>R</t>
    </r>
    <r>
      <rPr>
        <sz val="11"/>
        <rFont val="ＭＳ 明朝"/>
        <family val="1"/>
      </rPr>
      <t>=</t>
    </r>
  </si>
  <si>
    <t>（３）ケース２</t>
  </si>
  <si>
    <t>４．断面力の計算</t>
  </si>
  <si>
    <t>４．１　一般式</t>
  </si>
  <si>
    <t>（１）側壁，底版</t>
  </si>
  <si>
    <r>
      <t>任意点</t>
    </r>
    <r>
      <rPr>
        <i/>
        <sz val="11"/>
        <rFont val="ＭＳ 明朝"/>
        <family val="1"/>
      </rPr>
      <t>x</t>
    </r>
    <r>
      <rPr>
        <sz val="11"/>
        <rFont val="ＭＳ 明朝"/>
        <family val="1"/>
      </rPr>
      <t>のせん断力</t>
    </r>
  </si>
  <si>
    <r>
      <t>任意点</t>
    </r>
    <r>
      <rPr>
        <i/>
        <sz val="11"/>
        <rFont val="ＭＳ 明朝"/>
        <family val="1"/>
      </rPr>
      <t>x</t>
    </r>
    <r>
      <rPr>
        <sz val="11"/>
        <rFont val="ＭＳ 明朝"/>
        <family val="1"/>
      </rPr>
      <t>の曲げモーメント</t>
    </r>
  </si>
  <si>
    <t>最大曲げモーメント発生位置</t>
  </si>
  <si>
    <t>（２）頂版</t>
  </si>
  <si>
    <r>
      <t>４．２</t>
    </r>
    <r>
      <rPr>
        <sz val="11"/>
        <rFont val="ＭＳ 明朝"/>
        <family val="1"/>
      </rPr>
      <t xml:space="preserve"> 左側壁(A-B)</t>
    </r>
  </si>
  <si>
    <t>部材長</t>
  </si>
  <si>
    <r>
      <t>S</t>
    </r>
    <r>
      <rPr>
        <i/>
        <vertAlign val="subscript"/>
        <sz val="11"/>
        <rFont val="ＭＳ 明朝"/>
        <family val="1"/>
      </rPr>
      <t>x</t>
    </r>
  </si>
  <si>
    <r>
      <t>４．３　頂版</t>
    </r>
    <r>
      <rPr>
        <sz val="11"/>
        <rFont val="ＭＳ 明朝"/>
        <family val="1"/>
      </rPr>
      <t>(Ｂ-C)</t>
    </r>
  </si>
  <si>
    <r>
      <t>kN/m</t>
    </r>
    <r>
      <rPr>
        <vertAlign val="superscript"/>
        <sz val="11"/>
        <rFont val="ＭＳ 明朝"/>
        <family val="1"/>
      </rPr>
      <t>2</t>
    </r>
  </si>
  <si>
    <t>荷重作用</t>
  </si>
  <si>
    <t>位置</t>
  </si>
  <si>
    <t>節点</t>
  </si>
  <si>
    <r>
      <t>４．４　右側壁</t>
    </r>
    <r>
      <rPr>
        <sz val="11"/>
        <rFont val="ＭＳ 明朝"/>
        <family val="1"/>
      </rPr>
      <t>(Ｃ-Ｄ)</t>
    </r>
  </si>
  <si>
    <r>
      <t>４．５　底版</t>
    </r>
    <r>
      <rPr>
        <sz val="11"/>
        <rFont val="ＭＳ 明朝"/>
        <family val="1"/>
      </rPr>
      <t>(D-A)</t>
    </r>
  </si>
  <si>
    <t>４．６　せん断力図，曲げモーメント図</t>
  </si>
  <si>
    <t>４．７　設計断面力</t>
  </si>
  <si>
    <t>（１）ケース１</t>
  </si>
  <si>
    <r>
      <t>せん断力</t>
    </r>
    <r>
      <rPr>
        <i/>
        <sz val="11"/>
        <rFont val="ＭＳ 明朝"/>
        <family val="1"/>
      </rPr>
      <t>S</t>
    </r>
    <r>
      <rPr>
        <sz val="11"/>
        <rFont val="ＭＳ 明朝"/>
        <family val="1"/>
      </rPr>
      <t>(kN)</t>
    </r>
  </si>
  <si>
    <r>
      <t>M</t>
    </r>
    <r>
      <rPr>
        <sz val="11"/>
        <rFont val="ＭＳ 明朝"/>
        <family val="1"/>
      </rPr>
      <t>(kNm)</t>
    </r>
  </si>
  <si>
    <r>
      <t>N</t>
    </r>
    <r>
      <rPr>
        <sz val="11"/>
        <rFont val="ＭＳ 明朝"/>
        <family val="1"/>
      </rPr>
      <t>(kN)</t>
    </r>
  </si>
  <si>
    <r>
      <t>2</t>
    </r>
    <r>
      <rPr>
        <i/>
        <sz val="11"/>
        <rFont val="ＭＳ 明朝"/>
        <family val="1"/>
      </rPr>
      <t>d</t>
    </r>
  </si>
  <si>
    <t>中間</t>
  </si>
  <si>
    <t>（２）ケース２</t>
  </si>
  <si>
    <t>照査位置</t>
  </si>
  <si>
    <t>５．鉄筋量</t>
  </si>
  <si>
    <t>５．１　必要鉄筋量</t>
  </si>
  <si>
    <t>（１）計算式</t>
  </si>
  <si>
    <r>
      <t>σ</t>
    </r>
    <r>
      <rPr>
        <i/>
        <vertAlign val="subscript"/>
        <sz val="11"/>
        <rFont val="ＭＳ 明朝"/>
        <family val="1"/>
      </rPr>
      <t>sa</t>
    </r>
    <r>
      <rPr>
        <sz val="11"/>
        <rFont val="ＭＳ 明朝"/>
        <family val="1"/>
      </rPr>
      <t>=</t>
    </r>
  </si>
  <si>
    <r>
      <t>N/mm</t>
    </r>
    <r>
      <rPr>
        <vertAlign val="superscript"/>
        <sz val="11"/>
        <rFont val="ＭＳ 明朝"/>
        <family val="1"/>
      </rPr>
      <t>2</t>
    </r>
  </si>
  <si>
    <t>b=</t>
  </si>
  <si>
    <t>mm</t>
  </si>
  <si>
    <t>n=</t>
  </si>
  <si>
    <t>（１）ケース１</t>
  </si>
  <si>
    <r>
      <t>σ</t>
    </r>
    <r>
      <rPr>
        <i/>
        <vertAlign val="subscript"/>
        <sz val="11"/>
        <rFont val="ＭＳ 明朝"/>
        <family val="1"/>
      </rPr>
      <t>c</t>
    </r>
  </si>
  <si>
    <r>
      <t>A</t>
    </r>
    <r>
      <rPr>
        <i/>
        <vertAlign val="subscript"/>
        <sz val="11"/>
        <rFont val="ＭＳ 明朝"/>
        <family val="1"/>
      </rPr>
      <t>s</t>
    </r>
  </si>
  <si>
    <r>
      <t>N/mm</t>
    </r>
    <r>
      <rPr>
        <vertAlign val="superscript"/>
        <sz val="11"/>
        <rFont val="ＭＳ 明朝"/>
        <family val="1"/>
      </rPr>
      <t>2</t>
    </r>
  </si>
  <si>
    <r>
      <t>mm</t>
    </r>
    <r>
      <rPr>
        <vertAlign val="superscript"/>
        <sz val="11"/>
        <rFont val="ＭＳ 明朝"/>
        <family val="1"/>
      </rPr>
      <t>2</t>
    </r>
  </si>
  <si>
    <t>５．２　使用鉄筋量</t>
  </si>
  <si>
    <t>照査位置</t>
  </si>
  <si>
    <t>必要鉄筋</t>
  </si>
  <si>
    <t>使用鉄筋</t>
  </si>
  <si>
    <r>
      <t>d</t>
    </r>
    <r>
      <rPr>
        <sz val="11"/>
        <rFont val="ＭＳ 明朝"/>
        <family val="1"/>
      </rPr>
      <t>(mm)</t>
    </r>
  </si>
  <si>
    <r>
      <t>量</t>
    </r>
    <r>
      <rPr>
        <sz val="11"/>
        <rFont val="ＭＳ 明朝"/>
        <family val="1"/>
      </rPr>
      <t>(mm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</si>
  <si>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上側</t>
  </si>
  <si>
    <t>６．応力度の計算</t>
  </si>
  <si>
    <t>６．１　曲げ応力度</t>
  </si>
  <si>
    <t>軸力と曲げモーメントを受ける単鉄筋長方形断面として計算する．</t>
  </si>
  <si>
    <t>下側ハンチがない場合は，側壁下端，底版端部のコンクリート</t>
  </si>
  <si>
    <r>
      <t>の圧縮応力度を</t>
    </r>
    <r>
      <rPr>
        <sz val="11"/>
        <rFont val="ＭＳ 明朝"/>
        <family val="1"/>
      </rPr>
      <t>4/3倍する．</t>
    </r>
  </si>
  <si>
    <t>照査位置</t>
  </si>
  <si>
    <r>
      <t>σ</t>
    </r>
    <r>
      <rPr>
        <i/>
        <vertAlign val="subscript"/>
        <sz val="11"/>
        <rFont val="ＭＳ 明朝"/>
        <family val="1"/>
      </rPr>
      <t>s</t>
    </r>
  </si>
  <si>
    <t>左側壁</t>
  </si>
  <si>
    <r>
      <t>最大応力度σ</t>
    </r>
    <r>
      <rPr>
        <i/>
        <vertAlign val="subscript"/>
        <sz val="11"/>
        <rFont val="ＭＳ 明朝"/>
        <family val="1"/>
      </rPr>
      <t>max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</si>
  <si>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許容応力度σ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</si>
  <si>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６．２　せん断応力度</t>
  </si>
  <si>
    <t>ケース２</t>
  </si>
  <si>
    <t>縮尺</t>
  </si>
  <si>
    <t>せん断力</t>
  </si>
  <si>
    <r>
      <t>節点から</t>
    </r>
    <r>
      <rPr>
        <sz val="11"/>
        <rFont val="ＭＳ 明朝"/>
        <family val="1"/>
      </rPr>
      <t>2</t>
    </r>
    <r>
      <rPr>
        <i/>
        <sz val="11"/>
        <rFont val="ＭＳ 明朝"/>
        <family val="1"/>
      </rPr>
      <t>d</t>
    </r>
    <r>
      <rPr>
        <sz val="11"/>
        <rFont val="ＭＳ 明朝"/>
        <family val="1"/>
      </rPr>
      <t>内側</t>
    </r>
  </si>
  <si>
    <t>x</t>
  </si>
  <si>
    <t>骨組み</t>
  </si>
  <si>
    <t>x</t>
  </si>
  <si>
    <r>
      <t>d</t>
    </r>
    <r>
      <rPr>
        <sz val="11"/>
        <rFont val="ＭＳ 明朝"/>
        <family val="1"/>
      </rPr>
      <t>(mm)</t>
    </r>
  </si>
  <si>
    <r>
      <t>S</t>
    </r>
    <r>
      <rPr>
        <sz val="11"/>
        <rFont val="ＭＳ 明朝"/>
        <family val="1"/>
      </rPr>
      <t>(N)</t>
    </r>
  </si>
  <si>
    <r>
      <t>τ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</si>
  <si>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S</t>
    </r>
    <r>
      <rPr>
        <sz val="11"/>
        <rFont val="ＭＳ 明朝"/>
        <family val="1"/>
      </rPr>
      <t>(kN)</t>
    </r>
  </si>
  <si>
    <r>
      <t>最大せん断応力度τ</t>
    </r>
    <r>
      <rPr>
        <sz val="11"/>
        <rFont val="ＭＳ 明朝"/>
        <family val="1"/>
      </rPr>
      <t>max(N/mm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</si>
  <si>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許容せん断応力度τ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</si>
  <si>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７．地盤支持力の照査</t>
  </si>
  <si>
    <t>自動車後輪荷重がボックスカルバート中央に載荷されるケース１で照査する．</t>
  </si>
  <si>
    <t>底版以外の自重による地盤反力</t>
  </si>
  <si>
    <r>
      <t>q</t>
    </r>
    <r>
      <rPr>
        <i/>
        <vertAlign val="subscript"/>
        <sz val="11"/>
        <rFont val="ＭＳ 明朝"/>
        <family val="1"/>
      </rPr>
      <t>w</t>
    </r>
    <r>
      <rPr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</si>
  <si>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</si>
  <si>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頂版上の鉛直土圧による地盤反力</t>
  </si>
  <si>
    <r>
      <t>q</t>
    </r>
    <r>
      <rPr>
        <i/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</si>
  <si>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t>活荷重による地盤反力</t>
  </si>
  <si>
    <r>
      <t>q</t>
    </r>
    <r>
      <rPr>
        <i/>
        <vertAlign val="subscript"/>
        <sz val="11"/>
        <rFont val="ＭＳ 明朝"/>
        <family val="1"/>
      </rPr>
      <t>l</t>
    </r>
    <r>
      <rPr>
        <vertAlign val="subscript"/>
        <sz val="11"/>
        <rFont val="ＭＳ 明朝"/>
        <family val="1"/>
      </rPr>
      <t>max</t>
    </r>
    <r>
      <rPr>
        <sz val="11"/>
        <rFont val="ＭＳ 明朝"/>
        <family val="1"/>
      </rPr>
      <t>=</t>
    </r>
  </si>
  <si>
    <t>底版自重による地盤反力</t>
  </si>
  <si>
    <t>カルバート内部荷重による地盤反力</t>
  </si>
  <si>
    <r>
      <t>kN/m</t>
    </r>
    <r>
      <rPr>
        <vertAlign val="superscript"/>
        <sz val="11"/>
        <rFont val="ＭＳ 明朝"/>
        <family val="1"/>
      </rPr>
      <t>2</t>
    </r>
  </si>
  <si>
    <t>地盤反力</t>
  </si>
  <si>
    <r>
      <t xml:space="preserve">許容支持力度  </t>
    </r>
    <r>
      <rPr>
        <i/>
        <sz val="11"/>
        <rFont val="ＭＳ 明朝"/>
        <family val="1"/>
      </rPr>
      <t>q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</si>
  <si>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q</t>
    </r>
    <r>
      <rPr>
        <vertAlign val="subscript"/>
        <sz val="11"/>
        <rFont val="ＭＳ 明朝"/>
        <family val="1"/>
      </rPr>
      <t>total</t>
    </r>
    <r>
      <rPr>
        <sz val="11"/>
        <rFont val="ＭＳ 明朝"/>
        <family val="1"/>
      </rPr>
      <t>=</t>
    </r>
  </si>
  <si>
    <t>ケース１</t>
  </si>
  <si>
    <t>ケース２</t>
  </si>
  <si>
    <t>骨組み</t>
  </si>
  <si>
    <t>左側壁</t>
  </si>
  <si>
    <t>係数</t>
  </si>
  <si>
    <t>A</t>
  </si>
  <si>
    <t>B</t>
  </si>
  <si>
    <t>C</t>
  </si>
  <si>
    <r>
      <t>σ</t>
    </r>
    <r>
      <rPr>
        <i/>
        <vertAlign val="subscript"/>
        <sz val="11"/>
        <rFont val="ＭＳ 明朝"/>
        <family val="1"/>
      </rPr>
      <t>c</t>
    </r>
  </si>
  <si>
    <r>
      <t>f(σ</t>
    </r>
    <r>
      <rPr>
        <i/>
        <vertAlign val="subscript"/>
        <sz val="11"/>
        <rFont val="ＭＳ 明朝"/>
        <family val="1"/>
      </rPr>
      <t>c)</t>
    </r>
  </si>
  <si>
    <r>
      <t>tan(</t>
    </r>
    <r>
      <rPr>
        <sz val="11"/>
        <rFont val="ＭＳ 明朝"/>
        <family val="1"/>
      </rPr>
      <t>θ)</t>
    </r>
  </si>
  <si>
    <t>側壁外下</t>
  </si>
  <si>
    <t>側壁外上</t>
  </si>
  <si>
    <t>頂版上</t>
  </si>
  <si>
    <t>頂版下</t>
  </si>
  <si>
    <t>min</t>
  </si>
  <si>
    <t>自動</t>
  </si>
  <si>
    <t>入力</t>
  </si>
  <si>
    <t>鉄筋径</t>
  </si>
  <si>
    <r>
      <t>D</t>
    </r>
    <r>
      <rPr>
        <sz val="11"/>
        <rFont val="ＭＳ 明朝"/>
        <family val="1"/>
      </rPr>
      <t>(mm)</t>
    </r>
  </si>
  <si>
    <r>
      <t>D</t>
    </r>
    <r>
      <rPr>
        <sz val="11"/>
        <rFont val="ＭＳ 明朝"/>
        <family val="1"/>
      </rPr>
      <t>(mm)</t>
    </r>
  </si>
  <si>
    <t>外上側</t>
  </si>
  <si>
    <t>下側ハンチ</t>
  </si>
  <si>
    <t>hhu=</t>
  </si>
  <si>
    <t>d=</t>
  </si>
  <si>
    <t>t</t>
  </si>
  <si>
    <t>c</t>
  </si>
  <si>
    <t>x</t>
  </si>
  <si>
    <r>
      <t>f(x</t>
    </r>
    <r>
      <rPr>
        <i/>
        <vertAlign val="subscript"/>
        <sz val="11"/>
        <rFont val="ＭＳ 明朝"/>
        <family val="1"/>
      </rPr>
      <t>)</t>
    </r>
  </si>
  <si>
    <t>B=</t>
  </si>
  <si>
    <t>H=</t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</si>
  <si>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</si>
  <si>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</si>
  <si>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=</t>
    </r>
  </si>
  <si>
    <r>
      <t>高さh</t>
    </r>
    <r>
      <rPr>
        <vertAlign val="subscript"/>
        <sz val="11"/>
        <rFont val="ＭＳ 明朝"/>
        <family val="1"/>
      </rPr>
      <t>ho</t>
    </r>
    <r>
      <rPr>
        <sz val="11"/>
        <rFont val="ＭＳ 明朝"/>
        <family val="1"/>
      </rPr>
      <t>=</t>
    </r>
  </si>
  <si>
    <r>
      <t>幅　h</t>
    </r>
    <r>
      <rPr>
        <vertAlign val="subscript"/>
        <sz val="11"/>
        <rFont val="ＭＳ 明朝"/>
        <family val="1"/>
      </rPr>
      <t>bo</t>
    </r>
    <r>
      <rPr>
        <sz val="11"/>
        <rFont val="ＭＳ 明朝"/>
        <family val="1"/>
      </rPr>
      <t>=</t>
    </r>
  </si>
  <si>
    <r>
      <t>高さh</t>
    </r>
    <r>
      <rPr>
        <vertAlign val="subscript"/>
        <sz val="11"/>
        <rFont val="ＭＳ 明朝"/>
        <family val="1"/>
      </rPr>
      <t>hu</t>
    </r>
    <r>
      <rPr>
        <sz val="11"/>
        <rFont val="ＭＳ 明朝"/>
        <family val="1"/>
      </rPr>
      <t>=</t>
    </r>
  </si>
  <si>
    <r>
      <t>幅　h</t>
    </r>
    <r>
      <rPr>
        <vertAlign val="subscript"/>
        <sz val="11"/>
        <rFont val="ＭＳ 明朝"/>
        <family val="1"/>
      </rPr>
      <t>bu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</si>
  <si>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p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</si>
  <si>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</si>
  <si>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</si>
  <si>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t>λ=</t>
  </si>
  <si>
    <r>
      <t>p</t>
    </r>
    <r>
      <rPr>
        <vertAlign val="subscript"/>
        <sz val="11"/>
        <rFont val="ＭＳ 明朝"/>
        <family val="1"/>
      </rPr>
      <t>s</t>
    </r>
    <r>
      <rPr>
        <sz val="11"/>
        <rFont val="ＭＳ 明朝"/>
        <family val="1"/>
      </rPr>
      <t>=</t>
    </r>
  </si>
  <si>
    <r>
      <t>(m</t>
    </r>
    <r>
      <rPr>
        <sz val="11"/>
        <rFont val="ＭＳ 明朝"/>
        <family val="1"/>
      </rPr>
      <t>)</t>
    </r>
  </si>
  <si>
    <r>
      <t>(kN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</si>
  <si>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kN/m</t>
    </r>
    <r>
      <rPr>
        <vertAlign val="superscript"/>
        <sz val="11"/>
        <rFont val="ＭＳ 明朝"/>
        <family val="1"/>
      </rPr>
      <t>2)</t>
    </r>
  </si>
  <si>
    <r>
      <t>(</t>
    </r>
    <r>
      <rPr>
        <sz val="11"/>
        <rFont val="ＭＳ 明朝"/>
        <family val="1"/>
      </rPr>
      <t>kN/m</t>
    </r>
    <r>
      <rPr>
        <vertAlign val="superscript"/>
        <sz val="11"/>
        <rFont val="ＭＳ 明朝"/>
        <family val="1"/>
      </rPr>
      <t>3)</t>
    </r>
  </si>
  <si>
    <r>
      <t>(</t>
    </r>
    <r>
      <rPr>
        <sz val="11"/>
        <rFont val="ＭＳ 明朝"/>
        <family val="1"/>
      </rPr>
      <t>N/mm</t>
    </r>
    <r>
      <rPr>
        <vertAlign val="superscript"/>
        <sz val="11"/>
        <rFont val="ＭＳ 明朝"/>
        <family val="1"/>
      </rPr>
      <t>2)</t>
    </r>
  </si>
  <si>
    <t>γ=</t>
  </si>
  <si>
    <r>
      <t>γ</t>
    </r>
    <r>
      <rPr>
        <vertAlign val="subscript"/>
        <sz val="11"/>
        <rFont val="ＭＳ 明朝"/>
        <family val="1"/>
      </rPr>
      <t>p</t>
    </r>
    <r>
      <rPr>
        <sz val="11"/>
        <rFont val="ＭＳ 明朝"/>
        <family val="1"/>
      </rPr>
      <t>=</t>
    </r>
  </si>
  <si>
    <t>(m)</t>
  </si>
  <si>
    <r>
      <t>(kN/m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</si>
  <si>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kN/</t>
    </r>
    <r>
      <rPr>
        <sz val="11"/>
        <rFont val="ＭＳ 明朝"/>
        <family val="1"/>
      </rPr>
      <t>m2)</t>
    </r>
  </si>
  <si>
    <t>a=</t>
  </si>
  <si>
    <t>b=</t>
  </si>
  <si>
    <t>I=</t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</si>
  <si>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</si>
  <si>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</si>
  <si>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t>(kN)</t>
  </si>
  <si>
    <t>h/B=</t>
  </si>
  <si>
    <t>pvd=</t>
  </si>
  <si>
    <r>
      <t>(kN/m</t>
    </r>
    <r>
      <rPr>
        <vertAlign val="superscript"/>
        <sz val="11"/>
        <rFont val="Times New Roman"/>
        <family val="1"/>
      </rPr>
      <t>2)</t>
    </r>
  </si>
  <si>
    <t>(kN/m2)</t>
  </si>
  <si>
    <t>phd=</t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</si>
  <si>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</si>
  <si>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W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</si>
  <si>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W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</si>
  <si>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</si>
  <si>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p</t>
    </r>
    <r>
      <rPr>
        <vertAlign val="subscript"/>
        <sz val="11"/>
        <rFont val="ＭＳ 明朝"/>
        <family val="1"/>
      </rPr>
      <t>hs</t>
    </r>
    <r>
      <rPr>
        <sz val="11"/>
        <rFont val="ＭＳ 明朝"/>
        <family val="1"/>
      </rPr>
      <t>=p</t>
    </r>
    <r>
      <rPr>
        <vertAlign val="subscript"/>
        <sz val="11"/>
        <rFont val="ＭＳ 明朝"/>
        <family val="1"/>
      </rPr>
      <t>s</t>
    </r>
    <r>
      <rPr>
        <sz val="11"/>
        <rFont val="ＭＳ 明朝"/>
        <family val="1"/>
      </rP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</si>
  <si>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t>H=</t>
  </si>
  <si>
    <r>
      <t>M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 xml:space="preserve">B </t>
    </r>
    <r>
      <rPr>
        <sz val="11"/>
        <rFont val="ＭＳ 明朝"/>
        <family val="1"/>
      </rPr>
      <t>- 3R) - C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</si>
  <si>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 xml:space="preserve">B </t>
    </r>
    <r>
      <rPr>
        <sz val="11"/>
        <rFont val="ＭＳ 明朝"/>
        <family val="1"/>
      </rPr>
      <t>- 3R)+C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</si>
  <si>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) - C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</si>
  <si>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) + C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</si>
  <si>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 xml:space="preserve">D </t>
    </r>
    <r>
      <rPr>
        <sz val="11"/>
        <rFont val="ＭＳ 明朝"/>
        <family val="1"/>
      </rPr>
      <t>- 3R) - C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</si>
  <si>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) - C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</si>
  <si>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</si>
  <si>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</si>
  <si>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</si>
  <si>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</si>
  <si>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</si>
  <si>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</si>
  <si>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</si>
  <si>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</si>
  <si>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</si>
  <si>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</si>
  <si>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</si>
  <si>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</si>
  <si>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) + C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</si>
  <si>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 xml:space="preserve">D </t>
    </r>
    <r>
      <rPr>
        <sz val="11"/>
        <rFont val="ＭＳ 明朝"/>
        <family val="1"/>
      </rPr>
      <t>- 3R)+C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</t>
    </r>
  </si>
  <si>
    <t>R=</t>
  </si>
  <si>
    <r>
      <t>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</si>
  <si>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</si>
  <si>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</si>
  <si>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</si>
  <si>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</si>
  <si>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</si>
  <si>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AB</t>
    </r>
  </si>
  <si>
    <r>
      <t>M</t>
    </r>
    <r>
      <rPr>
        <vertAlign val="subscript"/>
        <sz val="11"/>
        <rFont val="ＭＳ 明朝"/>
        <family val="1"/>
      </rPr>
      <t>BA</t>
    </r>
  </si>
  <si>
    <r>
      <t>S</t>
    </r>
    <r>
      <rPr>
        <vertAlign val="subscript"/>
        <sz val="11"/>
        <rFont val="ＭＳ 明朝"/>
        <family val="1"/>
      </rPr>
      <t>AB</t>
    </r>
  </si>
  <si>
    <r>
      <t>S</t>
    </r>
    <r>
      <rPr>
        <vertAlign val="subscript"/>
        <sz val="11"/>
        <rFont val="ＭＳ 明朝"/>
        <family val="1"/>
      </rPr>
      <t>BA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</si>
  <si>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</si>
  <si>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</si>
  <si>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</si>
  <si>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</si>
  <si>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</si>
  <si>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</si>
  <si>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p</t>
    </r>
    <r>
      <rPr>
        <vertAlign val="subscript"/>
        <sz val="11"/>
        <rFont val="ＭＳ 明朝"/>
        <family val="1"/>
      </rPr>
      <t>3</t>
    </r>
  </si>
  <si>
    <t>a</t>
  </si>
  <si>
    <t>b</t>
  </si>
  <si>
    <t>c</t>
  </si>
  <si>
    <r>
      <t>M</t>
    </r>
    <r>
      <rPr>
        <vertAlign val="subscript"/>
        <sz val="11"/>
        <rFont val="ＭＳ 明朝"/>
        <family val="1"/>
      </rPr>
      <t>BC</t>
    </r>
  </si>
  <si>
    <r>
      <t>M</t>
    </r>
    <r>
      <rPr>
        <vertAlign val="subscript"/>
        <sz val="11"/>
        <rFont val="ＭＳ 明朝"/>
        <family val="1"/>
      </rPr>
      <t>CB</t>
    </r>
  </si>
  <si>
    <r>
      <t>S</t>
    </r>
    <r>
      <rPr>
        <vertAlign val="subscript"/>
        <sz val="11"/>
        <rFont val="ＭＳ 明朝"/>
        <family val="1"/>
      </rPr>
      <t>BC</t>
    </r>
  </si>
  <si>
    <r>
      <t>S</t>
    </r>
    <r>
      <rPr>
        <vertAlign val="subscript"/>
        <sz val="11"/>
        <rFont val="ＭＳ 明朝"/>
        <family val="1"/>
      </rPr>
      <t>CB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</si>
  <si>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</si>
  <si>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</si>
  <si>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</si>
  <si>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</si>
  <si>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</si>
  <si>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</si>
  <si>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CD</t>
    </r>
  </si>
  <si>
    <r>
      <t>M</t>
    </r>
    <r>
      <rPr>
        <vertAlign val="subscript"/>
        <sz val="11"/>
        <rFont val="ＭＳ 明朝"/>
        <family val="1"/>
      </rPr>
      <t>DC</t>
    </r>
  </si>
  <si>
    <r>
      <t>S</t>
    </r>
    <r>
      <rPr>
        <vertAlign val="subscript"/>
        <sz val="11"/>
        <rFont val="ＭＳ 明朝"/>
        <family val="1"/>
      </rPr>
      <t>CD</t>
    </r>
  </si>
  <si>
    <r>
      <t>S</t>
    </r>
    <r>
      <rPr>
        <vertAlign val="subscript"/>
        <sz val="11"/>
        <rFont val="ＭＳ 明朝"/>
        <family val="1"/>
      </rPr>
      <t>DC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</si>
  <si>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</si>
  <si>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</si>
  <si>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</si>
  <si>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</si>
  <si>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t>l=</t>
  </si>
  <si>
    <t>記号</t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</si>
  <si>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</si>
  <si>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</si>
  <si>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DA</t>
    </r>
  </si>
  <si>
    <r>
      <t>M</t>
    </r>
    <r>
      <rPr>
        <vertAlign val="subscript"/>
        <sz val="11"/>
        <rFont val="ＭＳ 明朝"/>
        <family val="1"/>
      </rPr>
      <t>AD</t>
    </r>
  </si>
  <si>
    <r>
      <t>S</t>
    </r>
    <r>
      <rPr>
        <vertAlign val="subscript"/>
        <sz val="11"/>
        <rFont val="ＭＳ 明朝"/>
        <family val="1"/>
      </rPr>
      <t>DA</t>
    </r>
  </si>
  <si>
    <r>
      <t>S</t>
    </r>
    <r>
      <rPr>
        <vertAlign val="subscript"/>
        <sz val="11"/>
        <rFont val="ＭＳ 明朝"/>
        <family val="1"/>
      </rPr>
      <t>AD</t>
    </r>
  </si>
  <si>
    <r>
      <t>M</t>
    </r>
    <r>
      <rPr>
        <vertAlign val="subscript"/>
        <sz val="11"/>
        <rFont val="ＭＳ 明朝"/>
        <family val="1"/>
      </rPr>
      <t>D</t>
    </r>
  </si>
  <si>
    <r>
      <t>M</t>
    </r>
    <r>
      <rPr>
        <vertAlign val="subscript"/>
        <sz val="11"/>
        <rFont val="ＭＳ 明朝"/>
        <family val="1"/>
      </rPr>
      <t>A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</si>
  <si>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</si>
  <si>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</si>
  <si>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t>l=</t>
  </si>
  <si>
    <t>d=</t>
  </si>
  <si>
    <t>l=</t>
  </si>
  <si>
    <r>
      <t>M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>- 3R) - C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</si>
  <si>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>- 3R)+C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</si>
  <si>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) - C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</si>
  <si>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) + C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</si>
  <si>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- 3R) - C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</si>
  <si>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) - C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</si>
  <si>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- 3R)+C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=</t>
    </r>
  </si>
  <si>
    <t>h/B'&lt;1</t>
  </si>
  <si>
    <r>
      <t>1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h/B'&lt;2</t>
    </r>
  </si>
  <si>
    <r>
      <t>2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h/B'&lt;3</t>
    </r>
  </si>
  <si>
    <r>
      <t>3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h/B'&lt;4</t>
    </r>
  </si>
  <si>
    <r>
      <t>4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</t>
    </r>
  </si>
  <si>
    <t>h/B'=</t>
  </si>
  <si>
    <t>カルバート外幅</t>
  </si>
  <si>
    <t>B'=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</si>
</sst>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.00000000000000_);[Red]\(0.00000000000000\)"/>
    <numFmt numFmtId="180" formatCode="0.0000000000000_);[Red]\(0.0000000000000\)"/>
    <numFmt numFmtId="181" formatCode="0.000000000000_);[Red]\(0.000000000000\)"/>
    <numFmt numFmtId="182" formatCode="0.00000000000_);[Red]\(0.00000000000\)"/>
    <numFmt numFmtId="183" formatCode="0.0000000000_);[Red]\(0.0000000000\)"/>
    <numFmt numFmtId="184" formatCode="0.000000000_);[Red]\(0.000000000\)"/>
    <numFmt numFmtId="185" formatCode="0.00000000_);[Red]\(0.00000000\)"/>
    <numFmt numFmtId="186" formatCode="0.0000000_);[Red]\(0.0000000\)"/>
    <numFmt numFmtId="187" formatCode="0.000000_);[Red]\(0.000000\)"/>
    <numFmt numFmtId="188" formatCode="0.00000_);[Red]\(0.00000\)"/>
    <numFmt numFmtId="189" formatCode="0.0000_);[Red]\(0.0000\)"/>
    <numFmt numFmtId="190" formatCode="0.00_);[Red]\(0.00\)"/>
    <numFmt numFmtId="191" formatCode="0.0_);[Red]\(0.0\)"/>
    <numFmt numFmtId="192" formatCode="0.0_ "/>
    <numFmt numFmtId="193" formatCode="0.00000"/>
    <numFmt numFmtId="194" formatCode="0.0000"/>
    <numFmt numFmtId="195" formatCode="0.00_ "/>
    <numFmt numFmtId="196" formatCode="0.000000"/>
    <numFmt numFmtId="197" formatCode="0.0000E+00;\ꚬ"/>
    <numFmt numFmtId="198" formatCode="0.0000E+00;\䟀"/>
    <numFmt numFmtId="199" formatCode="0.000E+00;\䟀"/>
    <numFmt numFmtId="200" formatCode="0.00E+00;\䟀"/>
    <numFmt numFmtId="201" formatCode="0.0000000"/>
    <numFmt numFmtId="202" formatCode="0.00000000"/>
    <numFmt numFmtId="203" formatCode="0.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6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ＭＳ Ｐ明朝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ＭＳ 明朝"/>
      <family val="1"/>
    </font>
    <font>
      <sz val="11"/>
      <name val="ＭＳ Ｐ明朝"/>
      <family val="1"/>
    </font>
    <font>
      <vertAlign val="superscript"/>
      <sz val="11"/>
      <name val="Times New Roman"/>
      <family val="1"/>
    </font>
    <font>
      <vertAlign val="subscript"/>
      <sz val="11"/>
      <name val="ＭＳ Ｐ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10"/>
      <name val="Times New Roman"/>
      <family val="1"/>
    </font>
    <font>
      <i/>
      <vertAlign val="subscript"/>
      <sz val="11"/>
      <name val="ＭＳ Ｐ明朝"/>
      <family val="1"/>
    </font>
    <font>
      <sz val="11"/>
      <color indexed="8"/>
      <name val="ＭＳ Ｐ明朝"/>
      <family val="1"/>
    </font>
    <font>
      <b/>
      <sz val="11"/>
      <color indexed="60"/>
      <name val="ＭＳ Ｐ明朝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bscript"/>
      <sz val="11"/>
      <name val="ＭＳ 明朝"/>
      <family val="1"/>
    </font>
    <font>
      <i/>
      <vertAlign val="subscript"/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4"/>
      <color indexed="61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5.75"/>
      <color indexed="8"/>
      <name val="ＭＳ 明朝"/>
      <family val="1"/>
    </font>
    <font>
      <sz val="5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194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2" fontId="13" fillId="0" borderId="0" xfId="0" applyNumberFormat="1" applyFont="1" applyFill="1" applyBorder="1" applyAlignment="1">
      <alignment horizontal="center" vertical="center" shrinkToFit="1"/>
    </xf>
    <xf numFmtId="1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95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1" fontId="2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95" fontId="8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176" fontId="23" fillId="34" borderId="0" xfId="0" applyNumberFormat="1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0" fontId="2" fillId="34" borderId="0" xfId="0" applyNumberFormat="1" applyFont="1" applyFill="1" applyAlignment="1">
      <alignment horizontal="center" vertical="center"/>
    </xf>
    <xf numFmtId="192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7" fontId="2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176" fontId="2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189" fontId="2" fillId="34" borderId="0" xfId="0" applyNumberFormat="1" applyFont="1" applyFill="1" applyAlignment="1">
      <alignment horizontal="center"/>
    </xf>
    <xf numFmtId="0" fontId="24" fillId="3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4" fontId="3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shrinkToFit="1"/>
    </xf>
    <xf numFmtId="2" fontId="31" fillId="0" borderId="0" xfId="0" applyNumberFormat="1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Fill="1" applyBorder="1" applyAlignment="1" quotePrefix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3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shrinkToFit="1"/>
    </xf>
    <xf numFmtId="49" fontId="35" fillId="34" borderId="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176" fontId="8" fillId="34" borderId="22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'入力'!$AQ$8</c:f>
              <c:strCache>
                <c:ptCount val="1"/>
                <c:pt idx="0">
                  <c:v>BOX内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'入力'!$AQ$9:$AQ$112</c:f>
              <c:numCache/>
            </c:numRef>
          </c:yVal>
          <c:smooth val="0"/>
        </c:ser>
        <c:ser>
          <c:idx val="1"/>
          <c:order val="1"/>
          <c:tx>
            <c:strRef>
              <c:f>'入力'!$AR$8</c:f>
              <c:strCache>
                <c:ptCount val="1"/>
                <c:pt idx="0">
                  <c:v>Box外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'入力'!$AR$9:$AR$112</c:f>
              <c:numCache/>
            </c:numRef>
          </c:yVal>
          <c:smooth val="0"/>
        </c:ser>
        <c:ser>
          <c:idx val="2"/>
          <c:order val="2"/>
          <c:tx>
            <c:strRef>
              <c:f>'入力'!$AS$8</c:f>
              <c:strCache>
                <c:ptCount val="1"/>
                <c:pt idx="0">
                  <c:v>地表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'入力'!$AS$9:$AS$112</c:f>
              <c:numCache/>
            </c:numRef>
          </c:yVal>
          <c:smooth val="0"/>
        </c:ser>
        <c:ser>
          <c:idx val="3"/>
          <c:order val="3"/>
          <c:tx>
            <c:strRef>
              <c:f>'入力'!$AT$8</c:f>
              <c:strCache>
                <c:ptCount val="1"/>
                <c:pt idx="0">
                  <c:v>舗装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'入力'!$AT$9:$AT$112</c:f>
              <c:numCache/>
            </c:numRef>
          </c:yVal>
          <c:smooth val="0"/>
        </c:ser>
        <c:ser>
          <c:idx val="4"/>
          <c:order val="4"/>
          <c:tx>
            <c:strRef>
              <c:f>'入力'!$AU$8</c:f>
              <c:strCache>
                <c:ptCount val="1"/>
                <c:pt idx="0">
                  <c:v>後輪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'入力'!$AU$9:$AU$112</c:f>
              <c:numCache/>
            </c:numRef>
          </c:yVal>
          <c:smooth val="0"/>
        </c:ser>
        <c:ser>
          <c:idx val="5"/>
          <c:order val="5"/>
          <c:tx>
            <c:strRef>
              <c:f>'入力'!$AV$8</c:f>
              <c:strCache>
                <c:ptCount val="1"/>
                <c:pt idx="0">
                  <c:v>前輪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'入力'!$AV$9:$AV$112</c:f>
              <c:numCache/>
            </c:numRef>
          </c:yVal>
          <c:smooth val="0"/>
        </c:ser>
        <c:ser>
          <c:idx val="6"/>
          <c:order val="6"/>
          <c:tx>
            <c:strRef>
              <c:f>'入力'!$AW$8</c:f>
              <c:strCache>
                <c:ptCount val="1"/>
                <c:pt idx="0">
                  <c:v>Box荷重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'入力'!$AW$9:$AW$112</c:f>
              <c:numCache/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delete val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25"/>
          <c:w val="0.9337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'T荷重'!$BW$767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'T荷重'!$BW$768:$BW$824</c:f>
              <c:numCache/>
            </c:numRef>
          </c:yVal>
          <c:smooth val="0"/>
        </c:ser>
        <c:ser>
          <c:idx val="1"/>
          <c:order val="1"/>
          <c:tx>
            <c:strRef>
              <c:f>'T荷重'!$BX$767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'T荷重'!$BX$768:$BX$824</c:f>
              <c:numCache/>
            </c:numRef>
          </c:yVal>
          <c:smooth val="0"/>
        </c:ser>
        <c:ser>
          <c:idx val="2"/>
          <c:order val="2"/>
          <c:tx>
            <c:strRef>
              <c:f>'T荷重'!$BY$767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'T荷重'!$BY$768:$BY$824</c:f>
              <c:numCache/>
            </c:numRef>
          </c:yVal>
          <c:smooth val="0"/>
        </c:ser>
        <c:ser>
          <c:idx val="3"/>
          <c:order val="3"/>
          <c:tx>
            <c:strRef>
              <c:f>'T荷重'!$BZ$767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'T荷重'!$BZ$768:$BZ$824</c:f>
              <c:numCache/>
            </c:numRef>
          </c:yVal>
          <c:smooth val="0"/>
        </c:ser>
        <c:ser>
          <c:idx val="4"/>
          <c:order val="4"/>
          <c:tx>
            <c:strRef>
              <c:f>'T荷重'!$CA$767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'T荷重'!$CA$768:$CA$824</c:f>
              <c:numCache/>
            </c:numRef>
          </c:yVal>
          <c:smooth val="0"/>
        </c:ser>
        <c:axId val="26105567"/>
        <c:axId val="33623512"/>
      </c:scatterChart>
      <c:valAx>
        <c:axId val="2610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23512"/>
        <c:crosses val="autoZero"/>
        <c:crossBetween val="midCat"/>
        <c:dispUnits/>
      </c:valAx>
      <c:valAx>
        <c:axId val="33623512"/>
        <c:scaling>
          <c:orientation val="minMax"/>
        </c:scaling>
        <c:axPos val="l"/>
        <c:delete val="1"/>
        <c:majorTickMark val="out"/>
        <c:minorTickMark val="none"/>
        <c:tickLblPos val="nextTo"/>
        <c:crossAx val="261055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 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ケース１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25"/>
          <c:w val="0.9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'T荷重'!$BP$767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'T荷重'!$BP$768:$BP$824</c:f>
              <c:numCache/>
            </c:numRef>
          </c:yVal>
          <c:smooth val="0"/>
        </c:ser>
        <c:ser>
          <c:idx val="1"/>
          <c:order val="1"/>
          <c:tx>
            <c:strRef>
              <c:f>'T荷重'!$BQ$767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'T荷重'!$BQ$768:$BQ$824</c:f>
              <c:numCache/>
            </c:numRef>
          </c:yVal>
          <c:smooth val="0"/>
        </c:ser>
        <c:ser>
          <c:idx val="2"/>
          <c:order val="2"/>
          <c:tx>
            <c:strRef>
              <c:f>'T荷重'!$BR$767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'T荷重'!$BR$768:$BR$824</c:f>
              <c:numCache/>
            </c:numRef>
          </c:yVal>
          <c:smooth val="0"/>
        </c:ser>
        <c:ser>
          <c:idx val="3"/>
          <c:order val="3"/>
          <c:tx>
            <c:strRef>
              <c:f>'T荷重'!$BS$767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'T荷重'!$BS$768:$BS$824</c:f>
              <c:numCache/>
            </c:numRef>
          </c:yVal>
          <c:smooth val="0"/>
        </c:ser>
        <c:ser>
          <c:idx val="4"/>
          <c:order val="4"/>
          <c:tx>
            <c:strRef>
              <c:f>'T荷重'!$BT$767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'T荷重'!$BT$768:$BT$824</c:f>
              <c:numCache/>
            </c:numRef>
          </c:yVal>
          <c:smooth val="0"/>
        </c:ser>
        <c:axId val="34176153"/>
        <c:axId val="39149922"/>
      </c:scatterChart>
      <c:valAx>
        <c:axId val="34176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149922"/>
        <c:crosses val="autoZero"/>
        <c:crossBetween val="midCat"/>
        <c:dispUnits/>
      </c:valAx>
      <c:valAx>
        <c:axId val="39149922"/>
        <c:scaling>
          <c:orientation val="minMax"/>
        </c:scaling>
        <c:axPos val="l"/>
        <c:delete val="1"/>
        <c:majorTickMark val="out"/>
        <c:minorTickMark val="none"/>
        <c:tickLblPos val="nextTo"/>
        <c:crossAx val="341761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ケース１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3575"/>
          <c:w val="0.934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'T荷重'!$BP$831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'T荷重'!$BP$832:$BP$888</c:f>
              <c:numCache/>
            </c:numRef>
          </c:yVal>
          <c:smooth val="0"/>
        </c:ser>
        <c:ser>
          <c:idx val="1"/>
          <c:order val="1"/>
          <c:tx>
            <c:strRef>
              <c:f>'T荷重'!$BQ$831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'T荷重'!$BQ$832:$BQ$888</c:f>
              <c:numCache/>
            </c:numRef>
          </c:yVal>
          <c:smooth val="0"/>
        </c:ser>
        <c:ser>
          <c:idx val="2"/>
          <c:order val="2"/>
          <c:tx>
            <c:strRef>
              <c:f>'T荷重'!$BR$831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'T荷重'!$BR$832:$BR$888</c:f>
              <c:numCache/>
            </c:numRef>
          </c:yVal>
          <c:smooth val="0"/>
        </c:ser>
        <c:ser>
          <c:idx val="3"/>
          <c:order val="3"/>
          <c:tx>
            <c:strRef>
              <c:f>'T荷重'!$BS$831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'T荷重'!$BS$832:$BS$888</c:f>
              <c:numCache/>
            </c:numRef>
          </c:yVal>
          <c:smooth val="0"/>
        </c:ser>
        <c:ser>
          <c:idx val="4"/>
          <c:order val="4"/>
          <c:tx>
            <c:strRef>
              <c:f>'T荷重'!$BT$831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'T荷重'!$BT$832:$BT$888</c:f>
              <c:numCache/>
            </c:numRef>
          </c:yVal>
          <c:smooth val="0"/>
        </c:ser>
        <c:axId val="16804979"/>
        <c:axId val="17027084"/>
      </c:scatterChart>
      <c:valAx>
        <c:axId val="16804979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7084"/>
        <c:crosses val="autoZero"/>
        <c:crossBetween val="midCat"/>
        <c:dispUnits/>
      </c:valAx>
      <c:valAx>
        <c:axId val="17027084"/>
        <c:scaling>
          <c:orientation val="minMax"/>
        </c:scaling>
        <c:axPos val="l"/>
        <c:delete val="1"/>
        <c:majorTickMark val="out"/>
        <c:minorTickMark val="none"/>
        <c:tickLblPos val="nextTo"/>
        <c:crossAx val="168049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1"/>
          <c:w val="0.94625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'T荷重'!$BW$831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'T荷重'!$BW$832:$BW$888</c:f>
              <c:numCache/>
            </c:numRef>
          </c:yVal>
          <c:smooth val="0"/>
        </c:ser>
        <c:ser>
          <c:idx val="1"/>
          <c:order val="1"/>
          <c:tx>
            <c:strRef>
              <c:f>'T荷重'!$BX$831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'T荷重'!$BX$832:$BX$888</c:f>
              <c:numCache/>
            </c:numRef>
          </c:yVal>
          <c:smooth val="0"/>
        </c:ser>
        <c:ser>
          <c:idx val="2"/>
          <c:order val="2"/>
          <c:tx>
            <c:strRef>
              <c:f>'T荷重'!$BY$831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'T荷重'!$BY$832:$BY$888</c:f>
              <c:numCache/>
            </c:numRef>
          </c:yVal>
          <c:smooth val="0"/>
        </c:ser>
        <c:ser>
          <c:idx val="3"/>
          <c:order val="3"/>
          <c:tx>
            <c:strRef>
              <c:f>'T荷重'!$BZ$831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'T荷重'!$BZ$832:$BZ$888</c:f>
              <c:numCache/>
            </c:numRef>
          </c:yVal>
          <c:smooth val="0"/>
        </c:ser>
        <c:ser>
          <c:idx val="4"/>
          <c:order val="4"/>
          <c:tx>
            <c:strRef>
              <c:f>'T荷重'!$CA$831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'T荷重'!$CA$832:$CA$888</c:f>
              <c:numCache/>
            </c:numRef>
          </c:yVal>
          <c:smooth val="0"/>
        </c:ser>
        <c:axId val="19026029"/>
        <c:axId val="37016534"/>
      </c:scatterChart>
      <c:valAx>
        <c:axId val="1902602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16534"/>
        <c:crosses val="autoZero"/>
        <c:crossBetween val="midCat"/>
        <c:dispUnits/>
      </c:valAx>
      <c:valAx>
        <c:axId val="37016534"/>
        <c:scaling>
          <c:orientation val="minMax"/>
        </c:scaling>
        <c:axPos val="l"/>
        <c:delete val="1"/>
        <c:majorTickMark val="out"/>
        <c:minorTickMark val="none"/>
        <c:tickLblPos val="nextTo"/>
        <c:crossAx val="190260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975"/>
          <c:w val="0.924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'等分布'!$BP$383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'等分布'!$BP$384:$BP$440</c:f>
              <c:numCache/>
            </c:numRef>
          </c:yVal>
          <c:smooth val="0"/>
        </c:ser>
        <c:ser>
          <c:idx val="1"/>
          <c:order val="1"/>
          <c:tx>
            <c:strRef>
              <c:f>'等分布'!$BQ$383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'等分布'!$BQ$384:$BQ$440</c:f>
              <c:numCache/>
            </c:numRef>
          </c:yVal>
          <c:smooth val="0"/>
        </c:ser>
        <c:ser>
          <c:idx val="2"/>
          <c:order val="2"/>
          <c:tx>
            <c:strRef>
              <c:f>'等分布'!$BR$383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'等分布'!$BR$384:$BR$440</c:f>
              <c:numCache/>
            </c:numRef>
          </c:yVal>
          <c:smooth val="0"/>
        </c:ser>
        <c:ser>
          <c:idx val="3"/>
          <c:order val="3"/>
          <c:tx>
            <c:strRef>
              <c:f>'等分布'!$BS$383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'等分布'!$BS$384:$BS$440</c:f>
              <c:numCache/>
            </c:numRef>
          </c:yVal>
          <c:smooth val="0"/>
        </c:ser>
        <c:ser>
          <c:idx val="4"/>
          <c:order val="4"/>
          <c:tx>
            <c:strRef>
              <c:f>'等分布'!$BT$383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'等分布'!$BT$384:$BT$440</c:f>
              <c:numCache/>
            </c:numRef>
          </c:yVal>
          <c:smooth val="0"/>
        </c:ser>
        <c:axId val="64713351"/>
        <c:axId val="45549248"/>
      </c:scatterChart>
      <c:valAx>
        <c:axId val="64713351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9248"/>
        <c:crosses val="autoZero"/>
        <c:crossBetween val="midCat"/>
        <c:dispUnits/>
      </c:valAx>
      <c:valAx>
        <c:axId val="45549248"/>
        <c:scaling>
          <c:orientation val="minMax"/>
        </c:scaling>
        <c:axPos val="l"/>
        <c:delete val="1"/>
        <c:majorTickMark val="out"/>
        <c:minorTickMark val="none"/>
        <c:tickLblPos val="nextTo"/>
        <c:crossAx val="647133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325"/>
          <c:w val="0.931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'等分布'!$BP$447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'等分布'!$BP$448:$BP$504</c:f>
              <c:numCache/>
            </c:numRef>
          </c:yVal>
          <c:smooth val="0"/>
        </c:ser>
        <c:ser>
          <c:idx val="1"/>
          <c:order val="1"/>
          <c:tx>
            <c:strRef>
              <c:f>'等分布'!$BQ$447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'等分布'!$BQ$448:$BQ$504</c:f>
              <c:numCache/>
            </c:numRef>
          </c:yVal>
          <c:smooth val="0"/>
        </c:ser>
        <c:ser>
          <c:idx val="2"/>
          <c:order val="2"/>
          <c:tx>
            <c:strRef>
              <c:f>'等分布'!$BR$447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'等分布'!$BR$448:$BR$504</c:f>
              <c:numCache/>
            </c:numRef>
          </c:yVal>
          <c:smooth val="0"/>
        </c:ser>
        <c:ser>
          <c:idx val="3"/>
          <c:order val="3"/>
          <c:tx>
            <c:strRef>
              <c:f>'等分布'!$BS$447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'等分布'!$BS$448:$BS$504</c:f>
              <c:numCache/>
            </c:numRef>
          </c:yVal>
          <c:smooth val="0"/>
        </c:ser>
        <c:ser>
          <c:idx val="4"/>
          <c:order val="4"/>
          <c:tx>
            <c:strRef>
              <c:f>'等分布'!$BT$447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'等分布'!$BT$448:$BT$504</c:f>
              <c:numCache/>
            </c:numRef>
          </c:yVal>
          <c:smooth val="0"/>
        </c:ser>
        <c:axId val="7290049"/>
        <c:axId val="65610442"/>
      </c:scatterChart>
      <c:valAx>
        <c:axId val="7290049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0442"/>
        <c:crosses val="autoZero"/>
        <c:crossBetween val="midCat"/>
        <c:dispUnits/>
      </c:valAx>
      <c:valAx>
        <c:axId val="65610442"/>
        <c:scaling>
          <c:orientation val="minMax"/>
        </c:scaling>
        <c:axPos val="l"/>
        <c:delete val="1"/>
        <c:majorTickMark val="out"/>
        <c:minorTickMark val="none"/>
        <c:tickLblPos val="nextTo"/>
        <c:crossAx val="72900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chart" Target="/xl/charts/chart2.xml" /><Relationship Id="rId13" Type="http://schemas.openxmlformats.org/officeDocument/2006/relationships/chart" Target="/xl/charts/chart3.xml" /><Relationship Id="rId14" Type="http://schemas.openxmlformats.org/officeDocument/2006/relationships/chart" Target="/xl/charts/chart4.xml" /><Relationship Id="rId15" Type="http://schemas.openxmlformats.org/officeDocument/2006/relationships/chart" Target="/xl/charts/chart5.xml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24.emf" /><Relationship Id="rId28" Type="http://schemas.openxmlformats.org/officeDocument/2006/relationships/image" Target="../media/image25.emf" /><Relationship Id="rId29" Type="http://schemas.openxmlformats.org/officeDocument/2006/relationships/image" Target="../media/image26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Relationship Id="rId16" Type="http://schemas.openxmlformats.org/officeDocument/2006/relationships/image" Target="../media/image20.emf" /><Relationship Id="rId17" Type="http://schemas.openxmlformats.org/officeDocument/2006/relationships/image" Target="../media/image21.emf" /><Relationship Id="rId18" Type="http://schemas.openxmlformats.org/officeDocument/2006/relationships/image" Target="../media/image50.emf" /><Relationship Id="rId19" Type="http://schemas.openxmlformats.org/officeDocument/2006/relationships/chart" Target="/xl/charts/chart6.xml" /><Relationship Id="rId20" Type="http://schemas.openxmlformats.org/officeDocument/2006/relationships/chart" Target="/xl/charts/chart7.xml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8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51.emf" /><Relationship Id="rId27" Type="http://schemas.openxmlformats.org/officeDocument/2006/relationships/image" Target="../media/image52.emf" /><Relationship Id="rId28" Type="http://schemas.openxmlformats.org/officeDocument/2006/relationships/image" Target="../media/image53.emf" /><Relationship Id="rId29" Type="http://schemas.openxmlformats.org/officeDocument/2006/relationships/image" Target="../media/image54.emf" /><Relationship Id="rId30" Type="http://schemas.openxmlformats.org/officeDocument/2006/relationships/image" Target="../media/image55.emf" /><Relationship Id="rId31" Type="http://schemas.openxmlformats.org/officeDocument/2006/relationships/image" Target="../media/image56.emf" /><Relationship Id="rId32" Type="http://schemas.openxmlformats.org/officeDocument/2006/relationships/image" Target="../media/image57.emf" /><Relationship Id="rId33" Type="http://schemas.openxmlformats.org/officeDocument/2006/relationships/image" Target="../media/image4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58.emf" /><Relationship Id="rId3" Type="http://schemas.openxmlformats.org/officeDocument/2006/relationships/image" Target="../media/image59.emf" /><Relationship Id="rId4" Type="http://schemas.openxmlformats.org/officeDocument/2006/relationships/image" Target="../media/image60.emf" /><Relationship Id="rId5" Type="http://schemas.openxmlformats.org/officeDocument/2006/relationships/image" Target="../media/image37.emf" /><Relationship Id="rId6" Type="http://schemas.openxmlformats.org/officeDocument/2006/relationships/image" Target="../media/image6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37</xdr:row>
      <xdr:rowOff>161925</xdr:rowOff>
    </xdr:from>
    <xdr:ext cx="1019175" cy="590550"/>
    <xdr:sp>
      <xdr:nvSpPr>
        <xdr:cNvPr id="1" name="Text Box 66"/>
        <xdr:cNvSpPr txBox="1">
          <a:spLocks noChangeArrowheads="1"/>
        </xdr:cNvSpPr>
      </xdr:nvSpPr>
      <xdr:spPr>
        <a:xfrm>
          <a:off x="4457700" y="7648575"/>
          <a:ext cx="1019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指定を選択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入力する</a:t>
          </a:r>
        </a:p>
      </xdr:txBody>
    </xdr:sp>
    <xdr:clientData/>
  </xdr:oneCellAnchor>
  <xdr:twoCellAnchor>
    <xdr:from>
      <xdr:col>5</xdr:col>
      <xdr:colOff>114300</xdr:colOff>
      <xdr:row>36</xdr:row>
      <xdr:rowOff>0</xdr:rowOff>
    </xdr:from>
    <xdr:to>
      <xdr:col>5</xdr:col>
      <xdr:colOff>209550</xdr:colOff>
      <xdr:row>42</xdr:row>
      <xdr:rowOff>95250</xdr:rowOff>
    </xdr:to>
    <xdr:sp>
      <xdr:nvSpPr>
        <xdr:cNvPr id="2" name="AutoShape 67"/>
        <xdr:cNvSpPr>
          <a:spLocks/>
        </xdr:cNvSpPr>
      </xdr:nvSpPr>
      <xdr:spPr>
        <a:xfrm>
          <a:off x="4352925" y="7296150"/>
          <a:ext cx="95250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409575</xdr:colOff>
      <xdr:row>15</xdr:row>
      <xdr:rowOff>38100</xdr:rowOff>
    </xdr:from>
    <xdr:to>
      <xdr:col>5</xdr:col>
      <xdr:colOff>609600</xdr:colOff>
      <xdr:row>22</xdr:row>
      <xdr:rowOff>19050</xdr:rowOff>
    </xdr:to>
    <xdr:sp>
      <xdr:nvSpPr>
        <xdr:cNvPr id="3" name="AutoShape 69"/>
        <xdr:cNvSpPr>
          <a:spLocks/>
        </xdr:cNvSpPr>
      </xdr:nvSpPr>
      <xdr:spPr>
        <a:xfrm>
          <a:off x="4648200" y="3048000"/>
          <a:ext cx="200025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628650</xdr:colOff>
      <xdr:row>17</xdr:row>
      <xdr:rowOff>66675</xdr:rowOff>
    </xdr:from>
    <xdr:ext cx="1219200" cy="781050"/>
    <xdr:sp>
      <xdr:nvSpPr>
        <xdr:cNvPr id="4" name="Text Box 70"/>
        <xdr:cNvSpPr txBox="1">
          <a:spLocks noChangeArrowheads="1"/>
        </xdr:cNvSpPr>
      </xdr:nvSpPr>
      <xdr:spPr>
        <a:xfrm>
          <a:off x="4867275" y="3495675"/>
          <a:ext cx="1219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指定を選択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入力値が計算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に反映される</a:t>
          </a:r>
        </a:p>
      </xdr:txBody>
    </xdr:sp>
    <xdr:clientData/>
  </xdr:oneCellAnchor>
  <xdr:twoCellAnchor editAs="oneCell">
    <xdr:from>
      <xdr:col>6</xdr:col>
      <xdr:colOff>533400</xdr:colOff>
      <xdr:row>20</xdr:row>
      <xdr:rowOff>161925</xdr:rowOff>
    </xdr:from>
    <xdr:to>
      <xdr:col>16</xdr:col>
      <xdr:colOff>733425</xdr:colOff>
      <xdr:row>41</xdr:row>
      <xdr:rowOff>95250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00525"/>
          <a:ext cx="86772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0</xdr:row>
      <xdr:rowOff>123825</xdr:rowOff>
    </xdr:from>
    <xdr:to>
      <xdr:col>16</xdr:col>
      <xdr:colOff>647700</xdr:colOff>
      <xdr:row>20</xdr:row>
      <xdr:rowOff>95250</xdr:rowOff>
    </xdr:to>
    <xdr:graphicFrame>
      <xdr:nvGraphicFramePr>
        <xdr:cNvPr id="6" name="グラフ 86"/>
        <xdr:cNvGraphicFramePr/>
      </xdr:nvGraphicFramePr>
      <xdr:xfrm>
        <a:off x="6686550" y="123825"/>
        <a:ext cx="7524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87</xdr:row>
      <xdr:rowOff>85725</xdr:rowOff>
    </xdr:from>
    <xdr:to>
      <xdr:col>6</xdr:col>
      <xdr:colOff>676275</xdr:colOff>
      <xdr:row>107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287625"/>
          <a:ext cx="42862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116</xdr:row>
      <xdr:rowOff>180975</xdr:rowOff>
    </xdr:from>
    <xdr:to>
      <xdr:col>3</xdr:col>
      <xdr:colOff>676275</xdr:colOff>
      <xdr:row>118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06406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119</xdr:row>
      <xdr:rowOff>95250</xdr:rowOff>
    </xdr:from>
    <xdr:to>
      <xdr:col>3</xdr:col>
      <xdr:colOff>638175</xdr:colOff>
      <xdr:row>122</xdr:row>
      <xdr:rowOff>28575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10978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122</xdr:row>
      <xdr:rowOff>95250</xdr:rowOff>
    </xdr:from>
    <xdr:to>
      <xdr:col>6</xdr:col>
      <xdr:colOff>200025</xdr:colOff>
      <xdr:row>138</xdr:row>
      <xdr:rowOff>133350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1640800"/>
          <a:ext cx="3981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8</xdr:col>
      <xdr:colOff>552450</xdr:colOff>
      <xdr:row>45</xdr:row>
      <xdr:rowOff>57150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248150"/>
          <a:ext cx="74199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172</xdr:row>
      <xdr:rowOff>142875</xdr:rowOff>
    </xdr:from>
    <xdr:to>
      <xdr:col>8</xdr:col>
      <xdr:colOff>533400</xdr:colOff>
      <xdr:row>190</xdr:row>
      <xdr:rowOff>171450</xdr:rowOff>
    </xdr:to>
    <xdr:pic>
      <xdr:nvPicPr>
        <xdr:cNvPr id="6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31099125"/>
          <a:ext cx="73628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249</xdr:row>
      <xdr:rowOff>28575</xdr:rowOff>
    </xdr:from>
    <xdr:to>
      <xdr:col>5</xdr:col>
      <xdr:colOff>219075</xdr:colOff>
      <xdr:row>257</xdr:row>
      <xdr:rowOff>142875</xdr:rowOff>
    </xdr:to>
    <xdr:pic>
      <xdr:nvPicPr>
        <xdr:cNvPr id="7" name="Picture 2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44853225"/>
          <a:ext cx="3543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312</xdr:row>
      <xdr:rowOff>152400</xdr:rowOff>
    </xdr:from>
    <xdr:to>
      <xdr:col>5</xdr:col>
      <xdr:colOff>800100</xdr:colOff>
      <xdr:row>323</xdr:row>
      <xdr:rowOff>161925</xdr:rowOff>
    </xdr:to>
    <xdr:pic>
      <xdr:nvPicPr>
        <xdr:cNvPr id="8" name="Picture 2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6400" y="55778400"/>
          <a:ext cx="33623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354</xdr:row>
      <xdr:rowOff>0</xdr:rowOff>
    </xdr:from>
    <xdr:to>
      <xdr:col>1</xdr:col>
      <xdr:colOff>28575</xdr:colOff>
      <xdr:row>358</xdr:row>
      <xdr:rowOff>161925</xdr:rowOff>
    </xdr:to>
    <xdr:sp>
      <xdr:nvSpPr>
        <xdr:cNvPr id="9" name="AutoShape 247"/>
        <xdr:cNvSpPr>
          <a:spLocks/>
        </xdr:cNvSpPr>
      </xdr:nvSpPr>
      <xdr:spPr>
        <a:xfrm>
          <a:off x="752475" y="63293625"/>
          <a:ext cx="12382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354</xdr:row>
      <xdr:rowOff>9525</xdr:rowOff>
    </xdr:from>
    <xdr:to>
      <xdr:col>6</xdr:col>
      <xdr:colOff>114300</xdr:colOff>
      <xdr:row>359</xdr:row>
      <xdr:rowOff>19050</xdr:rowOff>
    </xdr:to>
    <xdr:sp>
      <xdr:nvSpPr>
        <xdr:cNvPr id="10" name="AutoShape 248"/>
        <xdr:cNvSpPr>
          <a:spLocks/>
        </xdr:cNvSpPr>
      </xdr:nvSpPr>
      <xdr:spPr>
        <a:xfrm>
          <a:off x="5153025" y="63303150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354</xdr:row>
      <xdr:rowOff>9525</xdr:rowOff>
    </xdr:from>
    <xdr:to>
      <xdr:col>6</xdr:col>
      <xdr:colOff>485775</xdr:colOff>
      <xdr:row>358</xdr:row>
      <xdr:rowOff>161925</xdr:rowOff>
    </xdr:to>
    <xdr:sp>
      <xdr:nvSpPr>
        <xdr:cNvPr id="11" name="AutoShape 249"/>
        <xdr:cNvSpPr>
          <a:spLocks/>
        </xdr:cNvSpPr>
      </xdr:nvSpPr>
      <xdr:spPr>
        <a:xfrm>
          <a:off x="5543550" y="63303150"/>
          <a:ext cx="7620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354</xdr:row>
      <xdr:rowOff>9525</xdr:rowOff>
    </xdr:from>
    <xdr:to>
      <xdr:col>7</xdr:col>
      <xdr:colOff>180975</xdr:colOff>
      <xdr:row>359</xdr:row>
      <xdr:rowOff>19050</xdr:rowOff>
    </xdr:to>
    <xdr:sp>
      <xdr:nvSpPr>
        <xdr:cNvPr id="12" name="AutoShape 250"/>
        <xdr:cNvSpPr>
          <a:spLocks/>
        </xdr:cNvSpPr>
      </xdr:nvSpPr>
      <xdr:spPr>
        <a:xfrm>
          <a:off x="6086475" y="63303150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354</xdr:row>
      <xdr:rowOff>0</xdr:rowOff>
    </xdr:from>
    <xdr:to>
      <xdr:col>8</xdr:col>
      <xdr:colOff>133350</xdr:colOff>
      <xdr:row>358</xdr:row>
      <xdr:rowOff>161925</xdr:rowOff>
    </xdr:to>
    <xdr:sp>
      <xdr:nvSpPr>
        <xdr:cNvPr id="13" name="AutoShape 251"/>
        <xdr:cNvSpPr>
          <a:spLocks/>
        </xdr:cNvSpPr>
      </xdr:nvSpPr>
      <xdr:spPr>
        <a:xfrm>
          <a:off x="6972300" y="63293625"/>
          <a:ext cx="6667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354</xdr:row>
      <xdr:rowOff>0</xdr:rowOff>
    </xdr:from>
    <xdr:to>
      <xdr:col>8</xdr:col>
      <xdr:colOff>828675</xdr:colOff>
      <xdr:row>359</xdr:row>
      <xdr:rowOff>9525</xdr:rowOff>
    </xdr:to>
    <xdr:sp>
      <xdr:nvSpPr>
        <xdr:cNvPr id="14" name="AutoShape 252"/>
        <xdr:cNvSpPr>
          <a:spLocks/>
        </xdr:cNvSpPr>
      </xdr:nvSpPr>
      <xdr:spPr>
        <a:xfrm>
          <a:off x="7629525" y="63293625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359</xdr:row>
      <xdr:rowOff>95250</xdr:rowOff>
    </xdr:from>
    <xdr:to>
      <xdr:col>3</xdr:col>
      <xdr:colOff>723900</xdr:colOff>
      <xdr:row>361</xdr:row>
      <xdr:rowOff>95250</xdr:rowOff>
    </xdr:to>
    <xdr:pic>
      <xdr:nvPicPr>
        <xdr:cNvPr id="15" name="Picture 2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0" y="64312800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389</xdr:row>
      <xdr:rowOff>0</xdr:rowOff>
    </xdr:from>
    <xdr:to>
      <xdr:col>1</xdr:col>
      <xdr:colOff>28575</xdr:colOff>
      <xdr:row>393</xdr:row>
      <xdr:rowOff>142875</xdr:rowOff>
    </xdr:to>
    <xdr:sp>
      <xdr:nvSpPr>
        <xdr:cNvPr id="16" name="AutoShape 263"/>
        <xdr:cNvSpPr>
          <a:spLocks/>
        </xdr:cNvSpPr>
      </xdr:nvSpPr>
      <xdr:spPr>
        <a:xfrm>
          <a:off x="752475" y="69761100"/>
          <a:ext cx="12382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389</xdr:row>
      <xdr:rowOff>9525</xdr:rowOff>
    </xdr:from>
    <xdr:to>
      <xdr:col>6</xdr:col>
      <xdr:colOff>114300</xdr:colOff>
      <xdr:row>394</xdr:row>
      <xdr:rowOff>0</xdr:rowOff>
    </xdr:to>
    <xdr:sp>
      <xdr:nvSpPr>
        <xdr:cNvPr id="17" name="AutoShape 264"/>
        <xdr:cNvSpPr>
          <a:spLocks/>
        </xdr:cNvSpPr>
      </xdr:nvSpPr>
      <xdr:spPr>
        <a:xfrm>
          <a:off x="5153025" y="69770625"/>
          <a:ext cx="9525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389</xdr:row>
      <xdr:rowOff>9525</xdr:rowOff>
    </xdr:from>
    <xdr:to>
      <xdr:col>6</xdr:col>
      <xdr:colOff>485775</xdr:colOff>
      <xdr:row>393</xdr:row>
      <xdr:rowOff>142875</xdr:rowOff>
    </xdr:to>
    <xdr:sp>
      <xdr:nvSpPr>
        <xdr:cNvPr id="18" name="AutoShape 265"/>
        <xdr:cNvSpPr>
          <a:spLocks/>
        </xdr:cNvSpPr>
      </xdr:nvSpPr>
      <xdr:spPr>
        <a:xfrm>
          <a:off x="5543550" y="69770625"/>
          <a:ext cx="76200" cy="895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389</xdr:row>
      <xdr:rowOff>9525</xdr:rowOff>
    </xdr:from>
    <xdr:to>
      <xdr:col>7</xdr:col>
      <xdr:colOff>180975</xdr:colOff>
      <xdr:row>394</xdr:row>
      <xdr:rowOff>0</xdr:rowOff>
    </xdr:to>
    <xdr:sp>
      <xdr:nvSpPr>
        <xdr:cNvPr id="19" name="AutoShape 266"/>
        <xdr:cNvSpPr>
          <a:spLocks/>
        </xdr:cNvSpPr>
      </xdr:nvSpPr>
      <xdr:spPr>
        <a:xfrm>
          <a:off x="6086475" y="69770625"/>
          <a:ext cx="9525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389</xdr:row>
      <xdr:rowOff>0</xdr:rowOff>
    </xdr:from>
    <xdr:to>
      <xdr:col>8</xdr:col>
      <xdr:colOff>133350</xdr:colOff>
      <xdr:row>393</xdr:row>
      <xdr:rowOff>142875</xdr:rowOff>
    </xdr:to>
    <xdr:sp>
      <xdr:nvSpPr>
        <xdr:cNvPr id="20" name="AutoShape 267"/>
        <xdr:cNvSpPr>
          <a:spLocks/>
        </xdr:cNvSpPr>
      </xdr:nvSpPr>
      <xdr:spPr>
        <a:xfrm>
          <a:off x="6972300" y="69761100"/>
          <a:ext cx="666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389</xdr:row>
      <xdr:rowOff>0</xdr:rowOff>
    </xdr:from>
    <xdr:to>
      <xdr:col>8</xdr:col>
      <xdr:colOff>904875</xdr:colOff>
      <xdr:row>394</xdr:row>
      <xdr:rowOff>0</xdr:rowOff>
    </xdr:to>
    <xdr:sp>
      <xdr:nvSpPr>
        <xdr:cNvPr id="21" name="AutoShape 268"/>
        <xdr:cNvSpPr>
          <a:spLocks/>
        </xdr:cNvSpPr>
      </xdr:nvSpPr>
      <xdr:spPr>
        <a:xfrm>
          <a:off x="7705725" y="69761100"/>
          <a:ext cx="95250" cy="92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394</xdr:row>
      <xdr:rowOff>95250</xdr:rowOff>
    </xdr:from>
    <xdr:to>
      <xdr:col>3</xdr:col>
      <xdr:colOff>533400</xdr:colOff>
      <xdr:row>396</xdr:row>
      <xdr:rowOff>95250</xdr:rowOff>
    </xdr:to>
    <xdr:pic>
      <xdr:nvPicPr>
        <xdr:cNvPr id="22" name="Picture 2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" y="70780275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423</xdr:row>
      <xdr:rowOff>142875</xdr:rowOff>
    </xdr:from>
    <xdr:to>
      <xdr:col>7</xdr:col>
      <xdr:colOff>38100</xdr:colOff>
      <xdr:row>430</xdr:row>
      <xdr:rowOff>85725</xdr:rowOff>
    </xdr:to>
    <xdr:pic>
      <xdr:nvPicPr>
        <xdr:cNvPr id="23" name="Picture 2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76076175"/>
          <a:ext cx="465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450</xdr:row>
      <xdr:rowOff>0</xdr:rowOff>
    </xdr:from>
    <xdr:to>
      <xdr:col>7</xdr:col>
      <xdr:colOff>180975</xdr:colOff>
      <xdr:row>457</xdr:row>
      <xdr:rowOff>19050</xdr:rowOff>
    </xdr:to>
    <xdr:pic>
      <xdr:nvPicPr>
        <xdr:cNvPr id="24" name="Picture 3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52600" y="80781525"/>
          <a:ext cx="4429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590</xdr:row>
      <xdr:rowOff>47625</xdr:rowOff>
    </xdr:from>
    <xdr:to>
      <xdr:col>4</xdr:col>
      <xdr:colOff>457200</xdr:colOff>
      <xdr:row>605</xdr:row>
      <xdr:rowOff>57150</xdr:rowOff>
    </xdr:to>
    <xdr:graphicFrame>
      <xdr:nvGraphicFramePr>
        <xdr:cNvPr id="25" name="グラフ 330"/>
        <xdr:cNvGraphicFramePr/>
      </xdr:nvGraphicFramePr>
      <xdr:xfrm>
        <a:off x="190500" y="106022775"/>
        <a:ext cx="36576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574</xdr:row>
      <xdr:rowOff>95250</xdr:rowOff>
    </xdr:from>
    <xdr:to>
      <xdr:col>4</xdr:col>
      <xdr:colOff>190500</xdr:colOff>
      <xdr:row>589</xdr:row>
      <xdr:rowOff>180975</xdr:rowOff>
    </xdr:to>
    <xdr:graphicFrame>
      <xdr:nvGraphicFramePr>
        <xdr:cNvPr id="26" name="グラフ 331"/>
        <xdr:cNvGraphicFramePr/>
      </xdr:nvGraphicFramePr>
      <xdr:xfrm>
        <a:off x="257175" y="103174800"/>
        <a:ext cx="332422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695325</xdr:colOff>
      <xdr:row>574</xdr:row>
      <xdr:rowOff>38100</xdr:rowOff>
    </xdr:from>
    <xdr:to>
      <xdr:col>8</xdr:col>
      <xdr:colOff>876300</xdr:colOff>
      <xdr:row>589</xdr:row>
      <xdr:rowOff>95250</xdr:rowOff>
    </xdr:to>
    <xdr:graphicFrame>
      <xdr:nvGraphicFramePr>
        <xdr:cNvPr id="27" name="グラフ 332"/>
        <xdr:cNvGraphicFramePr/>
      </xdr:nvGraphicFramePr>
      <xdr:xfrm>
        <a:off x="4086225" y="103117650"/>
        <a:ext cx="3686175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676275</xdr:colOff>
      <xdr:row>590</xdr:row>
      <xdr:rowOff>76200</xdr:rowOff>
    </xdr:from>
    <xdr:to>
      <xdr:col>8</xdr:col>
      <xdr:colOff>666750</xdr:colOff>
      <xdr:row>605</xdr:row>
      <xdr:rowOff>38100</xdr:rowOff>
    </xdr:to>
    <xdr:graphicFrame>
      <xdr:nvGraphicFramePr>
        <xdr:cNvPr id="28" name="グラフ 335"/>
        <xdr:cNvGraphicFramePr/>
      </xdr:nvGraphicFramePr>
      <xdr:xfrm>
        <a:off x="4067175" y="106051350"/>
        <a:ext cx="3495675" cy="2676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1</xdr:col>
      <xdr:colOff>828675</xdr:colOff>
      <xdr:row>645</xdr:row>
      <xdr:rowOff>28575</xdr:rowOff>
    </xdr:from>
    <xdr:to>
      <xdr:col>7</xdr:col>
      <xdr:colOff>800100</xdr:colOff>
      <xdr:row>655</xdr:row>
      <xdr:rowOff>171450</xdr:rowOff>
    </xdr:to>
    <xdr:pic>
      <xdr:nvPicPr>
        <xdr:cNvPr id="29" name="Picture 3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6400" y="115309650"/>
          <a:ext cx="5124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760</xdr:row>
      <xdr:rowOff>76200</xdr:rowOff>
    </xdr:from>
    <xdr:to>
      <xdr:col>3</xdr:col>
      <xdr:colOff>57150</xdr:colOff>
      <xdr:row>763</xdr:row>
      <xdr:rowOff>0</xdr:rowOff>
    </xdr:to>
    <xdr:pic>
      <xdr:nvPicPr>
        <xdr:cNvPr id="30" name="Picture 3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57375" y="13508355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111</xdr:row>
      <xdr:rowOff>133350</xdr:rowOff>
    </xdr:from>
    <xdr:to>
      <xdr:col>4</xdr:col>
      <xdr:colOff>609600</xdr:colOff>
      <xdr:row>114</xdr:row>
      <xdr:rowOff>47625</xdr:rowOff>
    </xdr:to>
    <xdr:pic>
      <xdr:nvPicPr>
        <xdr:cNvPr id="31" name="Picture 3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90700" y="19707225"/>
          <a:ext cx="2209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478</xdr:row>
      <xdr:rowOff>57150</xdr:rowOff>
    </xdr:from>
    <xdr:to>
      <xdr:col>6</xdr:col>
      <xdr:colOff>85725</xdr:colOff>
      <xdr:row>489</xdr:row>
      <xdr:rowOff>123825</xdr:rowOff>
    </xdr:to>
    <xdr:pic>
      <xdr:nvPicPr>
        <xdr:cNvPr id="32" name="Picture 3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5450" y="85848825"/>
          <a:ext cx="3524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491</xdr:row>
      <xdr:rowOff>19050</xdr:rowOff>
    </xdr:from>
    <xdr:to>
      <xdr:col>4</xdr:col>
      <xdr:colOff>495300</xdr:colOff>
      <xdr:row>493</xdr:row>
      <xdr:rowOff>104775</xdr:rowOff>
    </xdr:to>
    <xdr:pic>
      <xdr:nvPicPr>
        <xdr:cNvPr id="33" name="Picture 3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28775" y="88144350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712</xdr:row>
      <xdr:rowOff>161925</xdr:rowOff>
    </xdr:from>
    <xdr:to>
      <xdr:col>6</xdr:col>
      <xdr:colOff>590550</xdr:colOff>
      <xdr:row>725</xdr:row>
      <xdr:rowOff>161925</xdr:rowOff>
    </xdr:to>
    <xdr:pic>
      <xdr:nvPicPr>
        <xdr:cNvPr id="34" name="Picture 3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0125" y="126768225"/>
          <a:ext cx="4724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790</xdr:row>
      <xdr:rowOff>57150</xdr:rowOff>
    </xdr:from>
    <xdr:to>
      <xdr:col>6</xdr:col>
      <xdr:colOff>676275</xdr:colOff>
      <xdr:row>793</xdr:row>
      <xdr:rowOff>19050</xdr:rowOff>
    </xdr:to>
    <xdr:pic>
      <xdr:nvPicPr>
        <xdr:cNvPr id="35" name="Picture 3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24225" y="140169900"/>
          <a:ext cx="2486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797</xdr:row>
      <xdr:rowOff>152400</xdr:rowOff>
    </xdr:from>
    <xdr:to>
      <xdr:col>5</xdr:col>
      <xdr:colOff>676275</xdr:colOff>
      <xdr:row>799</xdr:row>
      <xdr:rowOff>95250</xdr:rowOff>
    </xdr:to>
    <xdr:pic>
      <xdr:nvPicPr>
        <xdr:cNvPr id="36" name="Picture 3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76475" y="141531975"/>
          <a:ext cx="2638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794</xdr:row>
      <xdr:rowOff>95250</xdr:rowOff>
    </xdr:from>
    <xdr:to>
      <xdr:col>6</xdr:col>
      <xdr:colOff>447675</xdr:colOff>
      <xdr:row>796</xdr:row>
      <xdr:rowOff>133350</xdr:rowOff>
    </xdr:to>
    <xdr:pic>
      <xdr:nvPicPr>
        <xdr:cNvPr id="37" name="Picture 3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14875" y="14093190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158</xdr:row>
      <xdr:rowOff>0</xdr:rowOff>
    </xdr:from>
    <xdr:to>
      <xdr:col>5</xdr:col>
      <xdr:colOff>704850</xdr:colOff>
      <xdr:row>159</xdr:row>
      <xdr:rowOff>57150</xdr:rowOff>
    </xdr:to>
    <xdr:pic>
      <xdr:nvPicPr>
        <xdr:cNvPr id="38" name="Picture 35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28460700"/>
          <a:ext cx="2038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163</xdr:row>
      <xdr:rowOff>0</xdr:rowOff>
    </xdr:from>
    <xdr:to>
      <xdr:col>6</xdr:col>
      <xdr:colOff>790575</xdr:colOff>
      <xdr:row>164</xdr:row>
      <xdr:rowOff>38100</xdr:rowOff>
    </xdr:to>
    <xdr:pic>
      <xdr:nvPicPr>
        <xdr:cNvPr id="39" name="Picture 3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81450" y="29337000"/>
          <a:ext cx="1943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165</xdr:row>
      <xdr:rowOff>0</xdr:rowOff>
    </xdr:from>
    <xdr:to>
      <xdr:col>6</xdr:col>
      <xdr:colOff>771525</xdr:colOff>
      <xdr:row>166</xdr:row>
      <xdr:rowOff>38100</xdr:rowOff>
    </xdr:to>
    <xdr:pic>
      <xdr:nvPicPr>
        <xdr:cNvPr id="40" name="Picture 3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29698950"/>
          <a:ext cx="1943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200</xdr:row>
      <xdr:rowOff>142875</xdr:rowOff>
    </xdr:from>
    <xdr:to>
      <xdr:col>4</xdr:col>
      <xdr:colOff>723900</xdr:colOff>
      <xdr:row>202</xdr:row>
      <xdr:rowOff>123825</xdr:rowOff>
    </xdr:to>
    <xdr:pic>
      <xdr:nvPicPr>
        <xdr:cNvPr id="41" name="Picture 3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86100" y="360902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202</xdr:row>
      <xdr:rowOff>171450</xdr:rowOff>
    </xdr:from>
    <xdr:to>
      <xdr:col>4</xdr:col>
      <xdr:colOff>752475</xdr:colOff>
      <xdr:row>204</xdr:row>
      <xdr:rowOff>142875</xdr:rowOff>
    </xdr:to>
    <xdr:pic>
      <xdr:nvPicPr>
        <xdr:cNvPr id="42" name="Picture 3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95625" y="36528375"/>
          <a:ext cx="104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219</xdr:row>
      <xdr:rowOff>95250</xdr:rowOff>
    </xdr:from>
    <xdr:to>
      <xdr:col>5</xdr:col>
      <xdr:colOff>323850</xdr:colOff>
      <xdr:row>227</xdr:row>
      <xdr:rowOff>57150</xdr:rowOff>
    </xdr:to>
    <xdr:pic>
      <xdr:nvPicPr>
        <xdr:cNvPr id="43" name="Picture 3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47900" y="39528750"/>
          <a:ext cx="2314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229</xdr:row>
      <xdr:rowOff>142875</xdr:rowOff>
    </xdr:from>
    <xdr:to>
      <xdr:col>2</xdr:col>
      <xdr:colOff>409575</xdr:colOff>
      <xdr:row>231</xdr:row>
      <xdr:rowOff>9525</xdr:rowOff>
    </xdr:to>
    <xdr:pic>
      <xdr:nvPicPr>
        <xdr:cNvPr id="44" name="Picture 36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95375" y="413670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257</xdr:row>
      <xdr:rowOff>95250</xdr:rowOff>
    </xdr:from>
    <xdr:to>
      <xdr:col>6</xdr:col>
      <xdr:colOff>200025</xdr:colOff>
      <xdr:row>264</xdr:row>
      <xdr:rowOff>161925</xdr:rowOff>
    </xdr:to>
    <xdr:pic>
      <xdr:nvPicPr>
        <xdr:cNvPr id="45" name="Picture 3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0" y="46367700"/>
          <a:ext cx="4286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265</xdr:row>
      <xdr:rowOff>85725</xdr:rowOff>
    </xdr:from>
    <xdr:to>
      <xdr:col>5</xdr:col>
      <xdr:colOff>676275</xdr:colOff>
      <xdr:row>270</xdr:row>
      <xdr:rowOff>57150</xdr:rowOff>
    </xdr:to>
    <xdr:pic>
      <xdr:nvPicPr>
        <xdr:cNvPr id="46" name="Picture 36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00" y="47805975"/>
          <a:ext cx="3962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95250</xdr:rowOff>
    </xdr:from>
    <xdr:to>
      <xdr:col>8</xdr:col>
      <xdr:colOff>371475</xdr:colOff>
      <xdr:row>346</xdr:row>
      <xdr:rowOff>28575</xdr:rowOff>
    </xdr:to>
    <xdr:pic>
      <xdr:nvPicPr>
        <xdr:cNvPr id="47" name="Picture 37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47725" y="60493275"/>
          <a:ext cx="6419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329</xdr:row>
      <xdr:rowOff>76200</xdr:rowOff>
    </xdr:from>
    <xdr:to>
      <xdr:col>2</xdr:col>
      <xdr:colOff>819150</xdr:colOff>
      <xdr:row>331</xdr:row>
      <xdr:rowOff>85725</xdr:rowOff>
    </xdr:to>
    <xdr:pic>
      <xdr:nvPicPr>
        <xdr:cNvPr id="48" name="Picture 3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14475" y="587597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332</xdr:row>
      <xdr:rowOff>123825</xdr:rowOff>
    </xdr:from>
    <xdr:to>
      <xdr:col>2</xdr:col>
      <xdr:colOff>752475</xdr:colOff>
      <xdr:row>334</xdr:row>
      <xdr:rowOff>190500</xdr:rowOff>
    </xdr:to>
    <xdr:pic>
      <xdr:nvPicPr>
        <xdr:cNvPr id="49" name="Picture 37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85900" y="594264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431</xdr:row>
      <xdr:rowOff>85725</xdr:rowOff>
    </xdr:from>
    <xdr:to>
      <xdr:col>4</xdr:col>
      <xdr:colOff>838200</xdr:colOff>
      <xdr:row>433</xdr:row>
      <xdr:rowOff>104775</xdr:rowOff>
    </xdr:to>
    <xdr:pic>
      <xdr:nvPicPr>
        <xdr:cNvPr id="50" name="Picture 3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38400" y="774668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433</xdr:row>
      <xdr:rowOff>171450</xdr:rowOff>
    </xdr:from>
    <xdr:to>
      <xdr:col>5</xdr:col>
      <xdr:colOff>371475</xdr:colOff>
      <xdr:row>436</xdr:row>
      <xdr:rowOff>76200</xdr:rowOff>
    </xdr:to>
    <xdr:pic>
      <xdr:nvPicPr>
        <xdr:cNvPr id="51" name="Picture 37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47925" y="7791450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436</xdr:row>
      <xdr:rowOff>57150</xdr:rowOff>
    </xdr:from>
    <xdr:to>
      <xdr:col>5</xdr:col>
      <xdr:colOff>180975</xdr:colOff>
      <xdr:row>438</xdr:row>
      <xdr:rowOff>142875</xdr:rowOff>
    </xdr:to>
    <xdr:pic>
      <xdr:nvPicPr>
        <xdr:cNvPr id="52" name="Picture 37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00325" y="78343125"/>
          <a:ext cx="1819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441</xdr:row>
      <xdr:rowOff>104775</xdr:rowOff>
    </xdr:from>
    <xdr:to>
      <xdr:col>6</xdr:col>
      <xdr:colOff>400050</xdr:colOff>
      <xdr:row>443</xdr:row>
      <xdr:rowOff>161925</xdr:rowOff>
    </xdr:to>
    <xdr:pic>
      <xdr:nvPicPr>
        <xdr:cNvPr id="53" name="Picture 37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24200" y="79276575"/>
          <a:ext cx="2409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445</xdr:row>
      <xdr:rowOff>28575</xdr:rowOff>
    </xdr:from>
    <xdr:to>
      <xdr:col>6</xdr:col>
      <xdr:colOff>828675</xdr:colOff>
      <xdr:row>447</xdr:row>
      <xdr:rowOff>142875</xdr:rowOff>
    </xdr:to>
    <xdr:pic>
      <xdr:nvPicPr>
        <xdr:cNvPr id="54" name="Picture 37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19475" y="799242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458</xdr:row>
      <xdr:rowOff>95250</xdr:rowOff>
    </xdr:from>
    <xdr:to>
      <xdr:col>4</xdr:col>
      <xdr:colOff>685800</xdr:colOff>
      <xdr:row>460</xdr:row>
      <xdr:rowOff>123825</xdr:rowOff>
    </xdr:to>
    <xdr:pic>
      <xdr:nvPicPr>
        <xdr:cNvPr id="55" name="Picture 3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38300" y="82324575"/>
          <a:ext cx="2438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38100</xdr:rowOff>
    </xdr:from>
    <xdr:to>
      <xdr:col>4</xdr:col>
      <xdr:colOff>314325</xdr:colOff>
      <xdr:row>462</xdr:row>
      <xdr:rowOff>95250</xdr:rowOff>
    </xdr:to>
    <xdr:pic>
      <xdr:nvPicPr>
        <xdr:cNvPr id="56" name="Picture 3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95450" y="82810350"/>
          <a:ext cx="2009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464</xdr:row>
      <xdr:rowOff>38100</xdr:rowOff>
    </xdr:from>
    <xdr:to>
      <xdr:col>5</xdr:col>
      <xdr:colOff>180975</xdr:colOff>
      <xdr:row>474</xdr:row>
      <xdr:rowOff>0</xdr:rowOff>
    </xdr:to>
    <xdr:pic>
      <xdr:nvPicPr>
        <xdr:cNvPr id="57" name="Picture 38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95450" y="83334225"/>
          <a:ext cx="2724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241</xdr:row>
      <xdr:rowOff>95250</xdr:rowOff>
    </xdr:from>
    <xdr:to>
      <xdr:col>4</xdr:col>
      <xdr:colOff>790575</xdr:colOff>
      <xdr:row>243</xdr:row>
      <xdr:rowOff>171450</xdr:rowOff>
    </xdr:to>
    <xdr:pic>
      <xdr:nvPicPr>
        <xdr:cNvPr id="58" name="Picture 39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0" y="43491150"/>
          <a:ext cx="3038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244</xdr:row>
      <xdr:rowOff>95250</xdr:rowOff>
    </xdr:from>
    <xdr:to>
      <xdr:col>4</xdr:col>
      <xdr:colOff>781050</xdr:colOff>
      <xdr:row>247</xdr:row>
      <xdr:rowOff>0</xdr:rowOff>
    </xdr:to>
    <xdr:pic>
      <xdr:nvPicPr>
        <xdr:cNvPr id="59" name="Picture 39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33475" y="44034075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725</xdr:row>
      <xdr:rowOff>95250</xdr:rowOff>
    </xdr:from>
    <xdr:to>
      <xdr:col>6</xdr:col>
      <xdr:colOff>123825</xdr:colOff>
      <xdr:row>733</xdr:row>
      <xdr:rowOff>95250</xdr:rowOff>
    </xdr:to>
    <xdr:pic>
      <xdr:nvPicPr>
        <xdr:cNvPr id="60" name="Picture 39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04975" y="129054225"/>
          <a:ext cx="3552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88</xdr:row>
      <xdr:rowOff>76200</xdr:rowOff>
    </xdr:from>
    <xdr:to>
      <xdr:col>6</xdr:col>
      <xdr:colOff>666750</xdr:colOff>
      <xdr:row>106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6297275"/>
          <a:ext cx="42862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117</xdr:row>
      <xdr:rowOff>180975</xdr:rowOff>
    </xdr:from>
    <xdr:to>
      <xdr:col>3</xdr:col>
      <xdr:colOff>676275</xdr:colOff>
      <xdr:row>119</xdr:row>
      <xdr:rowOff>38100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19360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120</xdr:row>
      <xdr:rowOff>85725</xdr:rowOff>
    </xdr:from>
    <xdr:to>
      <xdr:col>3</xdr:col>
      <xdr:colOff>638175</xdr:colOff>
      <xdr:row>122</xdr:row>
      <xdr:rowOff>133350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24123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126</xdr:row>
      <xdr:rowOff>161925</xdr:rowOff>
    </xdr:from>
    <xdr:to>
      <xdr:col>6</xdr:col>
      <xdr:colOff>161925</xdr:colOff>
      <xdr:row>141</xdr:row>
      <xdr:rowOff>95250</xdr:rowOff>
    </xdr:to>
    <xdr:pic>
      <xdr:nvPicPr>
        <xdr:cNvPr id="4" name="Picture 1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23631525"/>
          <a:ext cx="39814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8</xdr:col>
      <xdr:colOff>542925</xdr:colOff>
      <xdr:row>43</xdr:row>
      <xdr:rowOff>38100</xdr:rowOff>
    </xdr:to>
    <xdr:pic>
      <xdr:nvPicPr>
        <xdr:cNvPr id="5" name="Picture 10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476750"/>
          <a:ext cx="74199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211</xdr:row>
      <xdr:rowOff>104775</xdr:rowOff>
    </xdr:from>
    <xdr:to>
      <xdr:col>5</xdr:col>
      <xdr:colOff>200025</xdr:colOff>
      <xdr:row>219</xdr:row>
      <xdr:rowOff>47625</xdr:rowOff>
    </xdr:to>
    <xdr:pic>
      <xdr:nvPicPr>
        <xdr:cNvPr id="6" name="Picture 10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40109775"/>
          <a:ext cx="3543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256</xdr:row>
      <xdr:rowOff>142875</xdr:rowOff>
    </xdr:from>
    <xdr:to>
      <xdr:col>5</xdr:col>
      <xdr:colOff>790575</xdr:colOff>
      <xdr:row>267</xdr:row>
      <xdr:rowOff>133350</xdr:rowOff>
    </xdr:to>
    <xdr:pic>
      <xdr:nvPicPr>
        <xdr:cNvPr id="7" name="Picture 10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48348900"/>
          <a:ext cx="3362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302</xdr:row>
      <xdr:rowOff>0</xdr:rowOff>
    </xdr:from>
    <xdr:to>
      <xdr:col>1</xdr:col>
      <xdr:colOff>28575</xdr:colOff>
      <xdr:row>306</xdr:row>
      <xdr:rowOff>161925</xdr:rowOff>
    </xdr:to>
    <xdr:sp>
      <xdr:nvSpPr>
        <xdr:cNvPr id="8" name="AutoShape 1060"/>
        <xdr:cNvSpPr>
          <a:spLocks/>
        </xdr:cNvSpPr>
      </xdr:nvSpPr>
      <xdr:spPr>
        <a:xfrm>
          <a:off x="752475" y="56816625"/>
          <a:ext cx="123825" cy="933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302</xdr:row>
      <xdr:rowOff>9525</xdr:rowOff>
    </xdr:from>
    <xdr:to>
      <xdr:col>6</xdr:col>
      <xdr:colOff>114300</xdr:colOff>
      <xdr:row>307</xdr:row>
      <xdr:rowOff>19050</xdr:rowOff>
    </xdr:to>
    <xdr:sp>
      <xdr:nvSpPr>
        <xdr:cNvPr id="9" name="AutoShape 1061"/>
        <xdr:cNvSpPr>
          <a:spLocks/>
        </xdr:cNvSpPr>
      </xdr:nvSpPr>
      <xdr:spPr>
        <a:xfrm>
          <a:off x="5162550" y="56826150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302</xdr:row>
      <xdr:rowOff>9525</xdr:rowOff>
    </xdr:from>
    <xdr:to>
      <xdr:col>6</xdr:col>
      <xdr:colOff>485775</xdr:colOff>
      <xdr:row>306</xdr:row>
      <xdr:rowOff>161925</xdr:rowOff>
    </xdr:to>
    <xdr:sp>
      <xdr:nvSpPr>
        <xdr:cNvPr id="10" name="AutoShape 1062"/>
        <xdr:cNvSpPr>
          <a:spLocks/>
        </xdr:cNvSpPr>
      </xdr:nvSpPr>
      <xdr:spPr>
        <a:xfrm>
          <a:off x="5553075" y="56826150"/>
          <a:ext cx="76200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302</xdr:row>
      <xdr:rowOff>9525</xdr:rowOff>
    </xdr:from>
    <xdr:to>
      <xdr:col>7</xdr:col>
      <xdr:colOff>180975</xdr:colOff>
      <xdr:row>307</xdr:row>
      <xdr:rowOff>19050</xdr:rowOff>
    </xdr:to>
    <xdr:sp>
      <xdr:nvSpPr>
        <xdr:cNvPr id="11" name="AutoShape 1063"/>
        <xdr:cNvSpPr>
          <a:spLocks/>
        </xdr:cNvSpPr>
      </xdr:nvSpPr>
      <xdr:spPr>
        <a:xfrm>
          <a:off x="6096000" y="56826150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302</xdr:row>
      <xdr:rowOff>0</xdr:rowOff>
    </xdr:from>
    <xdr:to>
      <xdr:col>8</xdr:col>
      <xdr:colOff>133350</xdr:colOff>
      <xdr:row>306</xdr:row>
      <xdr:rowOff>152400</xdr:rowOff>
    </xdr:to>
    <xdr:sp>
      <xdr:nvSpPr>
        <xdr:cNvPr id="12" name="AutoShape 1064"/>
        <xdr:cNvSpPr>
          <a:spLocks/>
        </xdr:cNvSpPr>
      </xdr:nvSpPr>
      <xdr:spPr>
        <a:xfrm>
          <a:off x="6981825" y="56816625"/>
          <a:ext cx="6667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302</xdr:row>
      <xdr:rowOff>0</xdr:rowOff>
    </xdr:from>
    <xdr:to>
      <xdr:col>8</xdr:col>
      <xdr:colOff>828675</xdr:colOff>
      <xdr:row>307</xdr:row>
      <xdr:rowOff>9525</xdr:rowOff>
    </xdr:to>
    <xdr:sp>
      <xdr:nvSpPr>
        <xdr:cNvPr id="13" name="AutoShape 1065"/>
        <xdr:cNvSpPr>
          <a:spLocks/>
        </xdr:cNvSpPr>
      </xdr:nvSpPr>
      <xdr:spPr>
        <a:xfrm>
          <a:off x="7639050" y="56816625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308</xdr:row>
      <xdr:rowOff>95250</xdr:rowOff>
    </xdr:from>
    <xdr:to>
      <xdr:col>3</xdr:col>
      <xdr:colOff>533400</xdr:colOff>
      <xdr:row>310</xdr:row>
      <xdr:rowOff>57150</xdr:rowOff>
    </xdr:to>
    <xdr:pic>
      <xdr:nvPicPr>
        <xdr:cNvPr id="14" name="Picture 10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58045350"/>
          <a:ext cx="2124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347</xdr:row>
      <xdr:rowOff>133350</xdr:rowOff>
    </xdr:from>
    <xdr:to>
      <xdr:col>7</xdr:col>
      <xdr:colOff>28575</xdr:colOff>
      <xdr:row>353</xdr:row>
      <xdr:rowOff>133350</xdr:rowOff>
    </xdr:to>
    <xdr:pic>
      <xdr:nvPicPr>
        <xdr:cNvPr id="15" name="Picture 10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1125" y="65398650"/>
          <a:ext cx="465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375</xdr:row>
      <xdr:rowOff>104775</xdr:rowOff>
    </xdr:from>
    <xdr:to>
      <xdr:col>7</xdr:col>
      <xdr:colOff>704850</xdr:colOff>
      <xdr:row>383</xdr:row>
      <xdr:rowOff>95250</xdr:rowOff>
    </xdr:to>
    <xdr:pic>
      <xdr:nvPicPr>
        <xdr:cNvPr id="16" name="Picture 10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70589775"/>
          <a:ext cx="4962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552</xdr:row>
      <xdr:rowOff>19050</xdr:rowOff>
    </xdr:from>
    <xdr:to>
      <xdr:col>7</xdr:col>
      <xdr:colOff>790575</xdr:colOff>
      <xdr:row>561</xdr:row>
      <xdr:rowOff>171450</xdr:rowOff>
    </xdr:to>
    <xdr:pic>
      <xdr:nvPicPr>
        <xdr:cNvPr id="17" name="Picture 10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" y="103231950"/>
          <a:ext cx="5124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640</xdr:row>
      <xdr:rowOff>66675</xdr:rowOff>
    </xdr:from>
    <xdr:to>
      <xdr:col>3</xdr:col>
      <xdr:colOff>57150</xdr:colOff>
      <xdr:row>642</xdr:row>
      <xdr:rowOff>133350</xdr:rowOff>
    </xdr:to>
    <xdr:pic>
      <xdr:nvPicPr>
        <xdr:cNvPr id="18" name="Picture 1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57375" y="1191768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112</xdr:row>
      <xdr:rowOff>114300</xdr:rowOff>
    </xdr:from>
    <xdr:to>
      <xdr:col>4</xdr:col>
      <xdr:colOff>638175</xdr:colOff>
      <xdr:row>114</xdr:row>
      <xdr:rowOff>161925</xdr:rowOff>
    </xdr:to>
    <xdr:pic>
      <xdr:nvPicPr>
        <xdr:cNvPr id="19" name="Picture 1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0" y="2091690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597</xdr:row>
      <xdr:rowOff>95250</xdr:rowOff>
    </xdr:from>
    <xdr:to>
      <xdr:col>6</xdr:col>
      <xdr:colOff>657225</xdr:colOff>
      <xdr:row>608</xdr:row>
      <xdr:rowOff>123825</xdr:rowOff>
    </xdr:to>
    <xdr:pic>
      <xdr:nvPicPr>
        <xdr:cNvPr id="20" name="Picture 11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111309150"/>
          <a:ext cx="47434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666</xdr:row>
      <xdr:rowOff>47625</xdr:rowOff>
    </xdr:from>
    <xdr:to>
      <xdr:col>6</xdr:col>
      <xdr:colOff>666750</xdr:colOff>
      <xdr:row>668</xdr:row>
      <xdr:rowOff>114300</xdr:rowOff>
    </xdr:to>
    <xdr:pic>
      <xdr:nvPicPr>
        <xdr:cNvPr id="21" name="Picture 11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24225" y="123901200"/>
          <a:ext cx="2486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672</xdr:row>
      <xdr:rowOff>142875</xdr:rowOff>
    </xdr:from>
    <xdr:to>
      <xdr:col>5</xdr:col>
      <xdr:colOff>666750</xdr:colOff>
      <xdr:row>674</xdr:row>
      <xdr:rowOff>66675</xdr:rowOff>
    </xdr:to>
    <xdr:pic>
      <xdr:nvPicPr>
        <xdr:cNvPr id="22" name="Picture 11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76475" y="125215650"/>
          <a:ext cx="2638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669</xdr:row>
      <xdr:rowOff>95250</xdr:rowOff>
    </xdr:from>
    <xdr:to>
      <xdr:col>6</xdr:col>
      <xdr:colOff>447675</xdr:colOff>
      <xdr:row>671</xdr:row>
      <xdr:rowOff>76200</xdr:rowOff>
    </xdr:to>
    <xdr:pic>
      <xdr:nvPicPr>
        <xdr:cNvPr id="23" name="Picture 11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24400" y="12455842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176</xdr:row>
      <xdr:rowOff>28575</xdr:rowOff>
    </xdr:from>
    <xdr:to>
      <xdr:col>6</xdr:col>
      <xdr:colOff>752475</xdr:colOff>
      <xdr:row>192</xdr:row>
      <xdr:rowOff>85725</xdr:rowOff>
    </xdr:to>
    <xdr:pic>
      <xdr:nvPicPr>
        <xdr:cNvPr id="24" name="Picture 11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57325" y="33299400"/>
          <a:ext cx="44386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515</xdr:row>
      <xdr:rowOff>19050</xdr:rowOff>
    </xdr:from>
    <xdr:to>
      <xdr:col>4</xdr:col>
      <xdr:colOff>57150</xdr:colOff>
      <xdr:row>527</xdr:row>
      <xdr:rowOff>142875</xdr:rowOff>
    </xdr:to>
    <xdr:graphicFrame>
      <xdr:nvGraphicFramePr>
        <xdr:cNvPr id="25" name="グラフ 1111"/>
        <xdr:cNvGraphicFramePr/>
      </xdr:nvGraphicFramePr>
      <xdr:xfrm>
        <a:off x="209550" y="96726375"/>
        <a:ext cx="3238500" cy="2314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438150</xdr:colOff>
      <xdr:row>515</xdr:row>
      <xdr:rowOff>9525</xdr:rowOff>
    </xdr:from>
    <xdr:to>
      <xdr:col>8</xdr:col>
      <xdr:colOff>438150</xdr:colOff>
      <xdr:row>527</xdr:row>
      <xdr:rowOff>95250</xdr:rowOff>
    </xdr:to>
    <xdr:graphicFrame>
      <xdr:nvGraphicFramePr>
        <xdr:cNvPr id="26" name="グラフ 1112"/>
        <xdr:cNvGraphicFramePr/>
      </xdr:nvGraphicFramePr>
      <xdr:xfrm>
        <a:off x="3829050" y="96716850"/>
        <a:ext cx="3514725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0</xdr:col>
      <xdr:colOff>657225</xdr:colOff>
      <xdr:row>285</xdr:row>
      <xdr:rowOff>161925</xdr:rowOff>
    </xdr:from>
    <xdr:to>
      <xdr:col>8</xdr:col>
      <xdr:colOff>171450</xdr:colOff>
      <xdr:row>292</xdr:row>
      <xdr:rowOff>171450</xdr:rowOff>
    </xdr:to>
    <xdr:pic>
      <xdr:nvPicPr>
        <xdr:cNvPr id="27" name="Picture 11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7225" y="53825775"/>
          <a:ext cx="6419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274</xdr:row>
      <xdr:rowOff>47625</xdr:rowOff>
    </xdr:from>
    <xdr:to>
      <xdr:col>3</xdr:col>
      <xdr:colOff>66675</xdr:colOff>
      <xdr:row>276</xdr:row>
      <xdr:rowOff>95250</xdr:rowOff>
    </xdr:to>
    <xdr:pic>
      <xdr:nvPicPr>
        <xdr:cNvPr id="28" name="Picture 11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9725" y="51644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277</xdr:row>
      <xdr:rowOff>66675</xdr:rowOff>
    </xdr:from>
    <xdr:to>
      <xdr:col>3</xdr:col>
      <xdr:colOff>19050</xdr:colOff>
      <xdr:row>279</xdr:row>
      <xdr:rowOff>114300</xdr:rowOff>
    </xdr:to>
    <xdr:pic>
      <xdr:nvPicPr>
        <xdr:cNvPr id="29" name="Picture 1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00200" y="5223510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220</xdr:row>
      <xdr:rowOff>66675</xdr:rowOff>
    </xdr:from>
    <xdr:to>
      <xdr:col>6</xdr:col>
      <xdr:colOff>190500</xdr:colOff>
      <xdr:row>226</xdr:row>
      <xdr:rowOff>180975</xdr:rowOff>
    </xdr:to>
    <xdr:pic>
      <xdr:nvPicPr>
        <xdr:cNvPr id="30" name="Picture 11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0" y="41805225"/>
          <a:ext cx="4286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228</xdr:row>
      <xdr:rowOff>0</xdr:rowOff>
    </xdr:from>
    <xdr:to>
      <xdr:col>5</xdr:col>
      <xdr:colOff>666750</xdr:colOff>
      <xdr:row>232</xdr:row>
      <xdr:rowOff>76200</xdr:rowOff>
    </xdr:to>
    <xdr:pic>
      <xdr:nvPicPr>
        <xdr:cNvPr id="31" name="Picture 11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0" y="43253025"/>
          <a:ext cx="3962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360</xdr:row>
      <xdr:rowOff>66675</xdr:rowOff>
    </xdr:from>
    <xdr:to>
      <xdr:col>5</xdr:col>
      <xdr:colOff>657225</xdr:colOff>
      <xdr:row>363</xdr:row>
      <xdr:rowOff>9525</xdr:rowOff>
    </xdr:to>
    <xdr:pic>
      <xdr:nvPicPr>
        <xdr:cNvPr id="32" name="Picture 11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00325" y="67741800"/>
          <a:ext cx="2305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365</xdr:row>
      <xdr:rowOff>180975</xdr:rowOff>
    </xdr:from>
    <xdr:to>
      <xdr:col>7</xdr:col>
      <xdr:colOff>419100</xdr:colOff>
      <xdr:row>368</xdr:row>
      <xdr:rowOff>133350</xdr:rowOff>
    </xdr:to>
    <xdr:pic>
      <xdr:nvPicPr>
        <xdr:cNvPr id="33" name="Picture 112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24200" y="68789550"/>
          <a:ext cx="3305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368</xdr:row>
      <xdr:rowOff>180975</xdr:rowOff>
    </xdr:from>
    <xdr:to>
      <xdr:col>7</xdr:col>
      <xdr:colOff>571500</xdr:colOff>
      <xdr:row>372</xdr:row>
      <xdr:rowOff>85725</xdr:rowOff>
    </xdr:to>
    <xdr:pic>
      <xdr:nvPicPr>
        <xdr:cNvPr id="34" name="Picture 112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09950" y="69361050"/>
          <a:ext cx="3171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394</xdr:row>
      <xdr:rowOff>95250</xdr:rowOff>
    </xdr:from>
    <xdr:to>
      <xdr:col>5</xdr:col>
      <xdr:colOff>485775</xdr:colOff>
      <xdr:row>404</xdr:row>
      <xdr:rowOff>114300</xdr:rowOff>
    </xdr:to>
    <xdr:pic>
      <xdr:nvPicPr>
        <xdr:cNvPr id="35" name="Picture 11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85950" y="74009250"/>
          <a:ext cx="2847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405</xdr:row>
      <xdr:rowOff>152400</xdr:rowOff>
    </xdr:from>
    <xdr:to>
      <xdr:col>6</xdr:col>
      <xdr:colOff>542925</xdr:colOff>
      <xdr:row>407</xdr:row>
      <xdr:rowOff>85725</xdr:rowOff>
    </xdr:to>
    <xdr:pic>
      <xdr:nvPicPr>
        <xdr:cNvPr id="36" name="Picture 11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38475" y="76161900"/>
          <a:ext cx="2647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409</xdr:row>
      <xdr:rowOff>76200</xdr:rowOff>
    </xdr:from>
    <xdr:to>
      <xdr:col>8</xdr:col>
      <xdr:colOff>400050</xdr:colOff>
      <xdr:row>424</xdr:row>
      <xdr:rowOff>114300</xdr:rowOff>
    </xdr:to>
    <xdr:pic>
      <xdr:nvPicPr>
        <xdr:cNvPr id="37" name="Picture 11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47850" y="76828650"/>
          <a:ext cx="5457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426</xdr:row>
      <xdr:rowOff>57150</xdr:rowOff>
    </xdr:from>
    <xdr:to>
      <xdr:col>5</xdr:col>
      <xdr:colOff>819150</xdr:colOff>
      <xdr:row>429</xdr:row>
      <xdr:rowOff>76200</xdr:rowOff>
    </xdr:to>
    <xdr:pic>
      <xdr:nvPicPr>
        <xdr:cNvPr id="38" name="Picture 11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62150" y="80029050"/>
          <a:ext cx="3105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609</xdr:row>
      <xdr:rowOff>76200</xdr:rowOff>
    </xdr:from>
    <xdr:to>
      <xdr:col>5</xdr:col>
      <xdr:colOff>866775</xdr:colOff>
      <xdr:row>616</xdr:row>
      <xdr:rowOff>76200</xdr:rowOff>
    </xdr:to>
    <xdr:pic>
      <xdr:nvPicPr>
        <xdr:cNvPr id="39" name="Picture 11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66875" y="113595150"/>
          <a:ext cx="34480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13"/>
  <sheetViews>
    <sheetView showGridLines="0" tabSelected="1" zoomScalePageLayoutView="0" workbookViewId="0" topLeftCell="B38">
      <selection activeCell="E52" sqref="E52"/>
    </sheetView>
  </sheetViews>
  <sheetFormatPr defaultColWidth="8.796875" defaultRowHeight="14.25"/>
  <cols>
    <col min="1" max="46" width="8.8984375" style="119" customWidth="1"/>
    <col min="47" max="47" width="17.3984375" style="119" bestFit="1" customWidth="1"/>
    <col min="48" max="16384" width="8.8984375" style="119" customWidth="1"/>
  </cols>
  <sheetData>
    <row r="1" ht="15">
      <c r="B1" s="120" t="s">
        <v>612</v>
      </c>
    </row>
    <row r="2" spans="1:48" ht="15">
      <c r="A2" s="121" t="s">
        <v>16</v>
      </c>
      <c r="AT2" s="122" t="s">
        <v>86</v>
      </c>
      <c r="AU2" s="119" t="s">
        <v>87</v>
      </c>
      <c r="AV2" s="119">
        <v>0.5</v>
      </c>
    </row>
    <row r="3" spans="2:48" ht="15">
      <c r="B3" s="121" t="s">
        <v>17</v>
      </c>
      <c r="C3" s="121" t="s">
        <v>18</v>
      </c>
      <c r="D3" s="123" t="s">
        <v>155</v>
      </c>
      <c r="E3" s="111">
        <v>3</v>
      </c>
      <c r="F3" s="119" t="s">
        <v>54</v>
      </c>
      <c r="AT3" s="122" t="s">
        <v>88</v>
      </c>
      <c r="AU3" s="119" t="s">
        <v>89</v>
      </c>
      <c r="AV3" s="119">
        <f>0</f>
        <v>0</v>
      </c>
    </row>
    <row r="4" spans="3:48" ht="15">
      <c r="C4" s="121" t="s">
        <v>19</v>
      </c>
      <c r="D4" s="123" t="s">
        <v>156</v>
      </c>
      <c r="E4" s="111">
        <v>3</v>
      </c>
      <c r="F4" s="119" t="s">
        <v>54</v>
      </c>
      <c r="AU4" s="119" t="s">
        <v>90</v>
      </c>
      <c r="AV4" s="119">
        <f>AS25+AV2</f>
        <v>8.35</v>
      </c>
    </row>
    <row r="5" spans="2:7" ht="16.5">
      <c r="B5" s="121" t="s">
        <v>20</v>
      </c>
      <c r="C5" s="121" t="s">
        <v>21</v>
      </c>
      <c r="D5" s="123" t="s">
        <v>41</v>
      </c>
      <c r="E5" s="111">
        <v>0.35</v>
      </c>
      <c r="F5" s="119" t="s">
        <v>54</v>
      </c>
      <c r="G5" s="124">
        <f>IF(TYPE(MAX(K48:K50))=16,"部材厚不足","")</f>
      </c>
    </row>
    <row r="6" spans="3:47" ht="16.5">
      <c r="C6" s="121" t="s">
        <v>22</v>
      </c>
      <c r="D6" s="123" t="s">
        <v>42</v>
      </c>
      <c r="E6" s="111">
        <v>0.4</v>
      </c>
      <c r="F6" s="119" t="s">
        <v>54</v>
      </c>
      <c r="G6" s="124">
        <f>IF(TYPE(MAX(K51:K52))=16,"部材厚不足","")</f>
      </c>
      <c r="AT6" s="122" t="s">
        <v>82</v>
      </c>
      <c r="AU6" s="119">
        <v>20</v>
      </c>
    </row>
    <row r="7" spans="3:7" ht="16.5">
      <c r="C7" s="121" t="s">
        <v>23</v>
      </c>
      <c r="D7" s="123" t="s">
        <v>43</v>
      </c>
      <c r="E7" s="111">
        <v>0.45</v>
      </c>
      <c r="F7" s="119" t="s">
        <v>54</v>
      </c>
      <c r="G7" s="124">
        <f>IF(TYPE(MAX(K53:K54))=16,"部材厚不足","")</f>
      </c>
    </row>
    <row r="8" spans="2:53" ht="16.5">
      <c r="B8" s="122" t="s">
        <v>78</v>
      </c>
      <c r="C8" s="125" t="s">
        <v>22</v>
      </c>
      <c r="D8" s="126" t="s">
        <v>93</v>
      </c>
      <c r="E8" s="111">
        <v>0.2</v>
      </c>
      <c r="F8" s="119" t="s">
        <v>54</v>
      </c>
      <c r="G8" s="122"/>
      <c r="AP8" s="119" t="s">
        <v>85</v>
      </c>
      <c r="AQ8" s="127" t="s">
        <v>83</v>
      </c>
      <c r="AR8" s="127" t="s">
        <v>84</v>
      </c>
      <c r="AS8" s="127" t="s">
        <v>79</v>
      </c>
      <c r="AT8" s="127" t="s">
        <v>80</v>
      </c>
      <c r="AU8" s="127" t="s">
        <v>12</v>
      </c>
      <c r="AV8" s="127" t="s">
        <v>13</v>
      </c>
      <c r="AW8" s="128" t="s">
        <v>81</v>
      </c>
      <c r="AX8" s="128"/>
      <c r="AZ8" s="127" t="s">
        <v>12</v>
      </c>
      <c r="BA8" s="127" t="s">
        <v>13</v>
      </c>
    </row>
    <row r="9" spans="3:53" ht="16.5">
      <c r="C9" s="121"/>
      <c r="D9" s="126" t="s">
        <v>94</v>
      </c>
      <c r="E9" s="111">
        <v>0.2</v>
      </c>
      <c r="F9" s="119" t="s">
        <v>54</v>
      </c>
      <c r="AO9" s="119">
        <v>1</v>
      </c>
      <c r="AP9" s="119">
        <v>0</v>
      </c>
      <c r="AQ9" s="128">
        <f>E7</f>
        <v>0.45</v>
      </c>
      <c r="AR9" s="128"/>
      <c r="AS9" s="128"/>
      <c r="AT9" s="128"/>
      <c r="AW9" s="128"/>
      <c r="AX9" s="128"/>
      <c r="AZ9" s="128"/>
      <c r="BA9" s="128"/>
    </row>
    <row r="10" spans="3:53" ht="16.5">
      <c r="C10" s="125" t="s">
        <v>10</v>
      </c>
      <c r="D10" s="126" t="s">
        <v>95</v>
      </c>
      <c r="E10" s="111">
        <v>0.2</v>
      </c>
      <c r="F10" s="119" t="s">
        <v>54</v>
      </c>
      <c r="AO10" s="119">
        <v>2</v>
      </c>
      <c r="AP10" s="119">
        <f>-E3/2+E11</f>
        <v>-1.3</v>
      </c>
      <c r="AQ10" s="128">
        <f>AQ9</f>
        <v>0.45</v>
      </c>
      <c r="AR10" s="128"/>
      <c r="AS10" s="128"/>
      <c r="AT10" s="128"/>
      <c r="AW10" s="128"/>
      <c r="AX10" s="128"/>
      <c r="AZ10" s="128"/>
      <c r="BA10" s="128"/>
    </row>
    <row r="11" spans="3:53" ht="16.5">
      <c r="C11" s="121"/>
      <c r="D11" s="126" t="s">
        <v>96</v>
      </c>
      <c r="E11" s="111">
        <v>0.2</v>
      </c>
      <c r="F11" s="119" t="s">
        <v>54</v>
      </c>
      <c r="AO11" s="119">
        <v>3</v>
      </c>
      <c r="AP11" s="119">
        <f>-E3/2</f>
        <v>-1.5</v>
      </c>
      <c r="AQ11" s="128">
        <f>AQ10+E10</f>
        <v>0.65</v>
      </c>
      <c r="AR11" s="128"/>
      <c r="AS11" s="128"/>
      <c r="AT11" s="128"/>
      <c r="AW11" s="128"/>
      <c r="AX11" s="128"/>
      <c r="AZ11" s="128"/>
      <c r="BA11" s="128"/>
    </row>
    <row r="12" spans="2:53" ht="15">
      <c r="B12" s="121" t="s">
        <v>24</v>
      </c>
      <c r="D12" s="123" t="s">
        <v>11</v>
      </c>
      <c r="E12" s="111">
        <v>4</v>
      </c>
      <c r="F12" s="119" t="s">
        <v>54</v>
      </c>
      <c r="AO12" s="119">
        <v>4</v>
      </c>
      <c r="AP12" s="119">
        <f>AP11</f>
        <v>-1.5</v>
      </c>
      <c r="AQ12" s="129">
        <f>AQ10+E4-E8</f>
        <v>3.25</v>
      </c>
      <c r="AR12" s="128"/>
      <c r="AS12" s="128"/>
      <c r="AT12" s="128"/>
      <c r="AW12" s="128"/>
      <c r="AX12" s="128"/>
      <c r="AZ12" s="128"/>
      <c r="BA12" s="128"/>
    </row>
    <row r="13" spans="2:53" ht="16.5">
      <c r="B13" s="121" t="s">
        <v>25</v>
      </c>
      <c r="D13" s="123" t="s">
        <v>44</v>
      </c>
      <c r="E13" s="111">
        <v>0.2</v>
      </c>
      <c r="F13" s="119" t="s">
        <v>54</v>
      </c>
      <c r="AO13" s="119">
        <v>5</v>
      </c>
      <c r="AP13" s="130">
        <f>AP12+E9</f>
        <v>-1.3</v>
      </c>
      <c r="AQ13" s="128">
        <f>AQ9+E4</f>
        <v>3.45</v>
      </c>
      <c r="AR13" s="128"/>
      <c r="AS13" s="128"/>
      <c r="AT13" s="128"/>
      <c r="AW13" s="128"/>
      <c r="AX13" s="128"/>
      <c r="AZ13" s="128"/>
      <c r="BA13" s="128"/>
    </row>
    <row r="14" spans="1:53" ht="15">
      <c r="A14" s="121" t="s">
        <v>26</v>
      </c>
      <c r="AO14" s="119">
        <v>6</v>
      </c>
      <c r="AP14" s="119">
        <f>-AP13</f>
        <v>1.3</v>
      </c>
      <c r="AQ14" s="128">
        <f>AQ13</f>
        <v>3.45</v>
      </c>
      <c r="AR14" s="128"/>
      <c r="AS14" s="128"/>
      <c r="AT14" s="128"/>
      <c r="AW14" s="128"/>
      <c r="AX14" s="128"/>
      <c r="AZ14" s="128"/>
      <c r="BA14" s="128"/>
    </row>
    <row r="15" spans="2:53" ht="15">
      <c r="B15" s="121" t="s">
        <v>27</v>
      </c>
      <c r="E15" s="122"/>
      <c r="AO15" s="119">
        <v>7</v>
      </c>
      <c r="AP15" s="119">
        <f>-AP12</f>
        <v>1.5</v>
      </c>
      <c r="AQ15" s="128">
        <f>AQ12</f>
        <v>3.25</v>
      </c>
      <c r="AR15" s="128"/>
      <c r="AS15" s="128"/>
      <c r="AT15" s="128"/>
      <c r="AW15" s="128"/>
      <c r="AX15" s="128"/>
      <c r="AZ15" s="128"/>
      <c r="BA15" s="128"/>
    </row>
    <row r="16" spans="2:53" ht="16.5">
      <c r="B16" s="121" t="s">
        <v>28</v>
      </c>
      <c r="C16" s="125" t="s">
        <v>91</v>
      </c>
      <c r="D16" s="123" t="s">
        <v>168</v>
      </c>
      <c r="E16" s="116">
        <v>5</v>
      </c>
      <c r="F16" s="119" t="s">
        <v>55</v>
      </c>
      <c r="AO16" s="119">
        <v>8</v>
      </c>
      <c r="AP16" s="119">
        <f>-AP11</f>
        <v>1.5</v>
      </c>
      <c r="AQ16" s="128">
        <f>AQ11</f>
        <v>0.65</v>
      </c>
      <c r="AR16" s="128"/>
      <c r="AS16" s="128"/>
      <c r="AT16" s="128"/>
      <c r="AW16" s="128"/>
      <c r="AX16" s="128"/>
      <c r="AZ16" s="128"/>
      <c r="BA16" s="128"/>
    </row>
    <row r="17" spans="3:53" ht="16.5">
      <c r="C17" s="125" t="s">
        <v>92</v>
      </c>
      <c r="D17" s="123" t="s">
        <v>169</v>
      </c>
      <c r="E17" s="116">
        <v>5</v>
      </c>
      <c r="F17" s="119" t="s">
        <v>55</v>
      </c>
      <c r="AO17" s="119">
        <v>9</v>
      </c>
      <c r="AP17" s="119">
        <f>-AP10</f>
        <v>1.3</v>
      </c>
      <c r="AQ17" s="128">
        <f>AQ10</f>
        <v>0.45</v>
      </c>
      <c r="AR17" s="128"/>
      <c r="AS17" s="128"/>
      <c r="AT17" s="128"/>
      <c r="AW17" s="128"/>
      <c r="AX17" s="128"/>
      <c r="AZ17" s="128"/>
      <c r="BA17" s="128"/>
    </row>
    <row r="18" spans="3:53" ht="15">
      <c r="C18" s="121" t="s">
        <v>29</v>
      </c>
      <c r="D18" s="131" t="s">
        <v>45</v>
      </c>
      <c r="E18" s="116">
        <v>6</v>
      </c>
      <c r="F18" s="119" t="s">
        <v>54</v>
      </c>
      <c r="G18" s="122"/>
      <c r="AP18" s="119">
        <v>0</v>
      </c>
      <c r="AQ18" s="128">
        <f>AQ9</f>
        <v>0.45</v>
      </c>
      <c r="AR18" s="128"/>
      <c r="AS18" s="128"/>
      <c r="AT18" s="128"/>
      <c r="AW18" s="128"/>
      <c r="AX18" s="128"/>
      <c r="AZ18" s="128"/>
      <c r="BA18" s="128"/>
    </row>
    <row r="19" spans="3:53" ht="18">
      <c r="C19" s="125" t="s">
        <v>52</v>
      </c>
      <c r="D19" s="123" t="s">
        <v>53</v>
      </c>
      <c r="E19" s="116">
        <v>10</v>
      </c>
      <c r="F19" s="119" t="s">
        <v>56</v>
      </c>
      <c r="G19" s="122"/>
      <c r="AP19" s="119">
        <v>0</v>
      </c>
      <c r="AQ19" s="128"/>
      <c r="AR19" s="128">
        <v>0</v>
      </c>
      <c r="AS19" s="128"/>
      <c r="AT19" s="128"/>
      <c r="AW19" s="128"/>
      <c r="AX19" s="128"/>
      <c r="AZ19" s="128"/>
      <c r="BA19" s="128"/>
    </row>
    <row r="20" spans="3:53" ht="15">
      <c r="C20" s="121" t="s">
        <v>30</v>
      </c>
      <c r="D20" s="123" t="s">
        <v>46</v>
      </c>
      <c r="E20" s="116">
        <v>0.3</v>
      </c>
      <c r="G20" s="122"/>
      <c r="AP20" s="119">
        <f>-(E3/2+E5)</f>
        <v>-1.85</v>
      </c>
      <c r="AQ20" s="128"/>
      <c r="AR20" s="128">
        <v>0</v>
      </c>
      <c r="AS20" s="128"/>
      <c r="AT20" s="128"/>
      <c r="AW20" s="128"/>
      <c r="AX20" s="128"/>
      <c r="AZ20" s="128"/>
      <c r="BA20" s="128"/>
    </row>
    <row r="21" spans="2:53" ht="15">
      <c r="B21" s="121" t="s">
        <v>31</v>
      </c>
      <c r="C21" s="121" t="s">
        <v>32</v>
      </c>
      <c r="D21" s="123" t="s">
        <v>14</v>
      </c>
      <c r="E21" s="116">
        <v>0.2</v>
      </c>
      <c r="F21" s="119" t="s">
        <v>54</v>
      </c>
      <c r="AP21" s="119">
        <f>AP20</f>
        <v>-1.85</v>
      </c>
      <c r="AQ21" s="128"/>
      <c r="AR21" s="128">
        <f>E4+E6+E7</f>
        <v>3.85</v>
      </c>
      <c r="AS21" s="128"/>
      <c r="AT21" s="128"/>
      <c r="AW21" s="128"/>
      <c r="AX21" s="128"/>
      <c r="AZ21" s="128"/>
      <c r="BA21" s="128"/>
    </row>
    <row r="22" spans="3:53" ht="15">
      <c r="C22" s="121" t="s">
        <v>33</v>
      </c>
      <c r="D22" s="123" t="s">
        <v>15</v>
      </c>
      <c r="E22" s="117">
        <v>2.75</v>
      </c>
      <c r="F22" s="119" t="s">
        <v>54</v>
      </c>
      <c r="AP22" s="119">
        <f>-AP20</f>
        <v>1.85</v>
      </c>
      <c r="AQ22" s="128"/>
      <c r="AR22" s="128">
        <f>AR21</f>
        <v>3.85</v>
      </c>
      <c r="AS22" s="128"/>
      <c r="AT22" s="128"/>
      <c r="AW22" s="128"/>
      <c r="AX22" s="128"/>
      <c r="AZ22" s="128"/>
      <c r="BA22" s="128"/>
    </row>
    <row r="23" spans="1:53" ht="16.5">
      <c r="A23" s="125" t="s">
        <v>157</v>
      </c>
      <c r="C23" s="121"/>
      <c r="D23" s="132" t="s">
        <v>162</v>
      </c>
      <c r="E23" s="116">
        <v>0.5</v>
      </c>
      <c r="F23" s="122"/>
      <c r="H23" s="122"/>
      <c r="AP23" s="119">
        <f>AP22</f>
        <v>1.85</v>
      </c>
      <c r="AQ23" s="128"/>
      <c r="AR23" s="128">
        <v>0</v>
      </c>
      <c r="AS23" s="128"/>
      <c r="AT23" s="128"/>
      <c r="AW23" s="128"/>
      <c r="AX23" s="128"/>
      <c r="AZ23" s="128"/>
      <c r="BA23" s="128"/>
    </row>
    <row r="24" spans="1:53" ht="15">
      <c r="A24" s="125" t="s">
        <v>158</v>
      </c>
      <c r="D24" s="123"/>
      <c r="AP24" s="119">
        <v>0</v>
      </c>
      <c r="AQ24" s="128"/>
      <c r="AR24" s="128">
        <v>0</v>
      </c>
      <c r="AS24" s="128"/>
      <c r="AT24" s="128"/>
      <c r="AW24" s="128"/>
      <c r="AX24" s="128"/>
      <c r="AZ24" s="128"/>
      <c r="BA24" s="128"/>
    </row>
    <row r="25" spans="3:53" ht="18">
      <c r="C25" s="133" t="s">
        <v>591</v>
      </c>
      <c r="D25" s="123" t="s">
        <v>582</v>
      </c>
      <c r="E25" s="112">
        <v>0</v>
      </c>
      <c r="F25" s="119" t="s">
        <v>581</v>
      </c>
      <c r="AP25" s="119">
        <f>AP20*1.5</f>
        <v>-2.7750000000000004</v>
      </c>
      <c r="AQ25" s="128"/>
      <c r="AR25" s="128"/>
      <c r="AS25" s="128">
        <f>AR22+E12</f>
        <v>7.85</v>
      </c>
      <c r="AT25" s="128"/>
      <c r="AW25" s="128"/>
      <c r="AX25" s="128"/>
      <c r="AZ25" s="128"/>
      <c r="BA25" s="128"/>
    </row>
    <row r="26" spans="1:53" ht="15">
      <c r="A26" s="125" t="s">
        <v>159</v>
      </c>
      <c r="D26" s="123"/>
      <c r="AP26" s="119">
        <f>データ!F6+1</f>
        <v>7</v>
      </c>
      <c r="AQ26" s="128"/>
      <c r="AR26" s="128"/>
      <c r="AS26" s="128">
        <f>AS25</f>
        <v>7.85</v>
      </c>
      <c r="AT26" s="128"/>
      <c r="AW26" s="128"/>
      <c r="AX26" s="128"/>
      <c r="AZ26" s="128"/>
      <c r="BA26" s="128"/>
    </row>
    <row r="27" spans="2:53" ht="18">
      <c r="B27" s="121" t="s">
        <v>35</v>
      </c>
      <c r="D27" s="131" t="s">
        <v>48</v>
      </c>
      <c r="E27" s="112">
        <v>24.5</v>
      </c>
      <c r="F27" s="119" t="s">
        <v>57</v>
      </c>
      <c r="AP27" s="119">
        <f>AP25</f>
        <v>-2.7750000000000004</v>
      </c>
      <c r="AQ27" s="128"/>
      <c r="AR27" s="128"/>
      <c r="AS27" s="128"/>
      <c r="AT27" s="128">
        <f>AS25-E13</f>
        <v>7.6499999999999995</v>
      </c>
      <c r="AW27" s="128"/>
      <c r="AX27" s="128"/>
      <c r="AZ27" s="128"/>
      <c r="BA27" s="128"/>
    </row>
    <row r="28" spans="2:53" ht="18">
      <c r="B28" s="121" t="s">
        <v>36</v>
      </c>
      <c r="D28" s="131" t="s">
        <v>47</v>
      </c>
      <c r="E28" s="112">
        <v>18</v>
      </c>
      <c r="F28" s="119" t="s">
        <v>57</v>
      </c>
      <c r="G28" s="122"/>
      <c r="AP28" s="119">
        <f>AP26</f>
        <v>7</v>
      </c>
      <c r="AQ28" s="128"/>
      <c r="AR28" s="128"/>
      <c r="AS28" s="128"/>
      <c r="AT28" s="128">
        <f>AT27</f>
        <v>7.6499999999999995</v>
      </c>
      <c r="AW28" s="128"/>
      <c r="AX28" s="128"/>
      <c r="AZ28" s="128"/>
      <c r="BA28" s="128"/>
    </row>
    <row r="29" spans="2:53" ht="18">
      <c r="B29" s="121" t="s">
        <v>37</v>
      </c>
      <c r="D29" s="131" t="s">
        <v>49</v>
      </c>
      <c r="E29" s="112">
        <v>22.5</v>
      </c>
      <c r="F29" s="119" t="s">
        <v>57</v>
      </c>
      <c r="AP29" s="134">
        <f>$AV$3-$AV$2</f>
        <v>-0.5</v>
      </c>
      <c r="AQ29" s="135"/>
      <c r="AR29" s="135"/>
      <c r="AS29" s="135"/>
      <c r="AT29" s="128"/>
      <c r="AU29" s="119">
        <f>IF('T荷重'!$L$16=0,0,'入力'!AZ29)</f>
        <v>8.35</v>
      </c>
      <c r="AW29" s="128"/>
      <c r="AX29" s="128"/>
      <c r="AZ29" s="135">
        <f>$AV$4</f>
        <v>8.35</v>
      </c>
      <c r="BA29" s="128"/>
    </row>
    <row r="30" spans="1:53" ht="15">
      <c r="A30" s="125" t="s">
        <v>160</v>
      </c>
      <c r="AP30" s="136">
        <f aca="true" t="shared" si="0" ref="AP30:AP49">AP29+$AV$2/10</f>
        <v>-0.45</v>
      </c>
      <c r="AQ30" s="135"/>
      <c r="AR30" s="135"/>
      <c r="AS30" s="135"/>
      <c r="AT30" s="128"/>
      <c r="AU30" s="119">
        <f>IF('T荷重'!$L$16=0,0,'入力'!AZ30)</f>
        <v>8.567944947177033</v>
      </c>
      <c r="AW30" s="128"/>
      <c r="AX30" s="128"/>
      <c r="AZ30" s="135">
        <f aca="true" t="shared" si="1" ref="AZ30:AZ48">($AV$2^2-(AP30-$AV$3)^2)^0.5+$AV$4</f>
        <v>8.567944947177033</v>
      </c>
      <c r="BA30" s="128"/>
    </row>
    <row r="31" spans="2:53" ht="18">
      <c r="B31" s="121" t="s">
        <v>38</v>
      </c>
      <c r="D31" s="131" t="s">
        <v>50</v>
      </c>
      <c r="E31" s="112">
        <v>24</v>
      </c>
      <c r="F31" s="119" t="s">
        <v>627</v>
      </c>
      <c r="G31" s="122"/>
      <c r="AP31" s="136">
        <f t="shared" si="0"/>
        <v>-0.4</v>
      </c>
      <c r="AQ31" s="135"/>
      <c r="AR31" s="135"/>
      <c r="AS31" s="135"/>
      <c r="AT31" s="128"/>
      <c r="AU31" s="119">
        <f>IF('T荷重'!$L$16=0,0,'入力'!AZ31)</f>
        <v>8.65</v>
      </c>
      <c r="AW31" s="128"/>
      <c r="AX31" s="128"/>
      <c r="AZ31" s="135">
        <f t="shared" si="1"/>
        <v>8.65</v>
      </c>
      <c r="BA31" s="128"/>
    </row>
    <row r="32" spans="2:53" ht="15">
      <c r="B32" s="125" t="s">
        <v>97</v>
      </c>
      <c r="D32" s="131"/>
      <c r="E32" s="122"/>
      <c r="AP32" s="136">
        <f t="shared" si="0"/>
        <v>-0.35000000000000003</v>
      </c>
      <c r="AQ32" s="135"/>
      <c r="AR32" s="135"/>
      <c r="AS32" s="135"/>
      <c r="AT32" s="128"/>
      <c r="AU32" s="119">
        <f>IF('T荷重'!$L$16=0,0,'入力'!AZ32)</f>
        <v>8.707071421427143</v>
      </c>
      <c r="AW32" s="128"/>
      <c r="AX32" s="128"/>
      <c r="AZ32" s="135">
        <f t="shared" si="1"/>
        <v>8.707071421427143</v>
      </c>
      <c r="BA32" s="128"/>
    </row>
    <row r="33" spans="2:53" ht="15">
      <c r="B33" s="125" t="s">
        <v>98</v>
      </c>
      <c r="D33" s="131"/>
      <c r="E33" s="122"/>
      <c r="AP33" s="136">
        <f t="shared" si="0"/>
        <v>-0.30000000000000004</v>
      </c>
      <c r="AQ33" s="135"/>
      <c r="AR33" s="135"/>
      <c r="AS33" s="135"/>
      <c r="AT33" s="128"/>
      <c r="AU33" s="119">
        <f>IF('T荷重'!$L$16=0,0,'入力'!AZ33)</f>
        <v>8.75</v>
      </c>
      <c r="AW33" s="128"/>
      <c r="AX33" s="128"/>
      <c r="AZ33" s="135">
        <f t="shared" si="1"/>
        <v>8.75</v>
      </c>
      <c r="BA33" s="128"/>
    </row>
    <row r="34" spans="2:53" ht="15">
      <c r="B34" s="121"/>
      <c r="D34" s="137"/>
      <c r="E34" s="138"/>
      <c r="F34" s="138"/>
      <c r="G34" s="122"/>
      <c r="AP34" s="136">
        <f t="shared" si="0"/>
        <v>-0.25000000000000006</v>
      </c>
      <c r="AQ34" s="135"/>
      <c r="AR34" s="135"/>
      <c r="AS34" s="135"/>
      <c r="AT34" s="128"/>
      <c r="AU34" s="119">
        <f>IF('T荷重'!$L$16=0,0,'入力'!AZ34)</f>
        <v>8.783012701892218</v>
      </c>
      <c r="AW34" s="128"/>
      <c r="AX34" s="128"/>
      <c r="AZ34" s="135">
        <f t="shared" si="1"/>
        <v>8.783012701892218</v>
      </c>
      <c r="BA34" s="128"/>
    </row>
    <row r="35" spans="1:53" ht="15">
      <c r="A35" s="139"/>
      <c r="B35" s="140"/>
      <c r="C35" s="141" t="s">
        <v>59</v>
      </c>
      <c r="D35" s="141" t="s">
        <v>60</v>
      </c>
      <c r="E35" s="142" t="s">
        <v>61</v>
      </c>
      <c r="AP35" s="136">
        <f t="shared" si="0"/>
        <v>-0.20000000000000007</v>
      </c>
      <c r="AQ35" s="135"/>
      <c r="AR35" s="135"/>
      <c r="AS35" s="135"/>
      <c r="AT35" s="128"/>
      <c r="AU35" s="119">
        <f>IF('T荷重'!$L$16=0,0,'入力'!AZ35)</f>
        <v>8.808257569495584</v>
      </c>
      <c r="AW35" s="128"/>
      <c r="AX35" s="128"/>
      <c r="AZ35" s="135">
        <f t="shared" si="1"/>
        <v>8.808257569495584</v>
      </c>
      <c r="BA35" s="128"/>
    </row>
    <row r="36" spans="1:53" ht="15">
      <c r="A36" s="143"/>
      <c r="B36" s="144"/>
      <c r="C36" s="145" t="s">
        <v>66</v>
      </c>
      <c r="D36" s="146" t="s">
        <v>64</v>
      </c>
      <c r="E36" s="145" t="s">
        <v>65</v>
      </c>
      <c r="AP36" s="136">
        <f t="shared" si="0"/>
        <v>-0.15000000000000008</v>
      </c>
      <c r="AQ36" s="135"/>
      <c r="AR36" s="135"/>
      <c r="AS36" s="135"/>
      <c r="AT36" s="128"/>
      <c r="AU36" s="119">
        <f>IF('T荷重'!$L$16=0,0,'入力'!AZ36)</f>
        <v>8.826969600708473</v>
      </c>
      <c r="AW36" s="128"/>
      <c r="AX36" s="128"/>
      <c r="AZ36" s="135">
        <f t="shared" si="1"/>
        <v>8.826969600708473</v>
      </c>
      <c r="BA36" s="128"/>
    </row>
    <row r="37" spans="1:53" ht="15">
      <c r="A37" s="147"/>
      <c r="B37" s="148" t="s">
        <v>604</v>
      </c>
      <c r="C37" s="118">
        <v>16</v>
      </c>
      <c r="D37" s="118">
        <v>125</v>
      </c>
      <c r="E37" s="118">
        <v>100</v>
      </c>
      <c r="G37" s="122"/>
      <c r="AP37" s="136">
        <f t="shared" si="0"/>
        <v>-0.10000000000000007</v>
      </c>
      <c r="AQ37" s="135"/>
      <c r="AR37" s="135"/>
      <c r="AS37" s="135"/>
      <c r="AT37" s="128"/>
      <c r="AU37" s="119">
        <f>IF('T荷重'!$L$16=0,0,'入力'!AZ37)</f>
        <v>8.839897948556635</v>
      </c>
      <c r="AW37" s="128"/>
      <c r="AX37" s="128"/>
      <c r="AZ37" s="135">
        <f t="shared" si="1"/>
        <v>8.839897948556635</v>
      </c>
      <c r="BA37" s="128"/>
    </row>
    <row r="38" spans="1:53" ht="15">
      <c r="A38" s="149" t="s">
        <v>9</v>
      </c>
      <c r="B38" s="150" t="s">
        <v>605</v>
      </c>
      <c r="C38" s="118">
        <v>13</v>
      </c>
      <c r="D38" s="118">
        <v>250</v>
      </c>
      <c r="E38" s="118">
        <v>100</v>
      </c>
      <c r="G38" s="122"/>
      <c r="AP38" s="136">
        <f t="shared" si="0"/>
        <v>-0.05000000000000007</v>
      </c>
      <c r="AQ38" s="135"/>
      <c r="AR38" s="135"/>
      <c r="AS38" s="135"/>
      <c r="AT38" s="128"/>
      <c r="AU38" s="119">
        <f>IF('T荷重'!$L$16=0,0,'入力'!AZ38)</f>
        <v>8.84749371855331</v>
      </c>
      <c r="AW38" s="128"/>
      <c r="AX38" s="128"/>
      <c r="AZ38" s="135">
        <f t="shared" si="1"/>
        <v>8.84749371855331</v>
      </c>
      <c r="BA38" s="128"/>
    </row>
    <row r="39" spans="1:53" ht="15">
      <c r="A39" s="146"/>
      <c r="B39" s="151" t="s">
        <v>606</v>
      </c>
      <c r="C39" s="118">
        <v>19</v>
      </c>
      <c r="D39" s="118">
        <v>125</v>
      </c>
      <c r="E39" s="152">
        <f>E37</f>
        <v>100</v>
      </c>
      <c r="G39" s="122"/>
      <c r="AP39" s="136">
        <f t="shared" si="0"/>
        <v>-6.938893903907228E-17</v>
      </c>
      <c r="AQ39" s="135"/>
      <c r="AR39" s="135"/>
      <c r="AS39" s="135"/>
      <c r="AT39" s="128"/>
      <c r="AU39" s="119">
        <f>IF('T荷重'!$L$16=0,0,'入力'!AZ39)</f>
        <v>8.85</v>
      </c>
      <c r="AW39" s="128"/>
      <c r="AX39" s="128"/>
      <c r="AZ39" s="135">
        <f t="shared" si="1"/>
        <v>8.85</v>
      </c>
      <c r="BA39" s="128"/>
    </row>
    <row r="40" spans="1:53" ht="15">
      <c r="A40" s="149" t="s">
        <v>22</v>
      </c>
      <c r="B40" s="148" t="s">
        <v>608</v>
      </c>
      <c r="C40" s="152">
        <f>C39</f>
        <v>19</v>
      </c>
      <c r="D40" s="152">
        <f>D39</f>
        <v>125</v>
      </c>
      <c r="E40" s="152">
        <f>E39</f>
        <v>100</v>
      </c>
      <c r="AP40" s="136">
        <f t="shared" si="0"/>
        <v>0.04999999999999993</v>
      </c>
      <c r="AQ40" s="135"/>
      <c r="AR40" s="135"/>
      <c r="AS40" s="135"/>
      <c r="AT40" s="128"/>
      <c r="AU40" s="119">
        <f>IF('T荷重'!$L$16=0,0,'入力'!AZ40)</f>
        <v>8.84749371855331</v>
      </c>
      <c r="AW40" s="128"/>
      <c r="AX40" s="128"/>
      <c r="AZ40" s="135">
        <f t="shared" si="1"/>
        <v>8.84749371855331</v>
      </c>
      <c r="BA40" s="128"/>
    </row>
    <row r="41" spans="1:53" ht="15">
      <c r="A41" s="146"/>
      <c r="B41" s="151" t="s">
        <v>601</v>
      </c>
      <c r="C41" s="118">
        <v>19</v>
      </c>
      <c r="D41" s="118">
        <v>125</v>
      </c>
      <c r="E41" s="152">
        <f>E38</f>
        <v>100</v>
      </c>
      <c r="AP41" s="136">
        <f t="shared" si="0"/>
        <v>0.09999999999999994</v>
      </c>
      <c r="AQ41" s="135"/>
      <c r="AR41" s="135"/>
      <c r="AS41" s="135"/>
      <c r="AT41" s="128"/>
      <c r="AU41" s="119">
        <f>IF('T荷重'!$L$16=0,0,'入力'!AZ41)</f>
        <v>8.839897948556635</v>
      </c>
      <c r="AW41" s="128"/>
      <c r="AX41" s="128"/>
      <c r="AZ41" s="135">
        <f t="shared" si="1"/>
        <v>8.839897948556635</v>
      </c>
      <c r="BA41" s="128"/>
    </row>
    <row r="42" spans="1:53" ht="15">
      <c r="A42" s="149" t="s">
        <v>10</v>
      </c>
      <c r="B42" s="148" t="s">
        <v>601</v>
      </c>
      <c r="C42" s="118">
        <v>19</v>
      </c>
      <c r="D42" s="118">
        <v>125</v>
      </c>
      <c r="E42" s="118">
        <v>100</v>
      </c>
      <c r="AP42" s="136">
        <f t="shared" si="0"/>
        <v>0.14999999999999994</v>
      </c>
      <c r="AQ42" s="135"/>
      <c r="AR42" s="135"/>
      <c r="AS42" s="135"/>
      <c r="AT42" s="128"/>
      <c r="AU42" s="119">
        <f>IF('T荷重'!$L$16=0,0,'入力'!AZ42)</f>
        <v>8.826969600708473</v>
      </c>
      <c r="AW42" s="128"/>
      <c r="AX42" s="128"/>
      <c r="AZ42" s="135">
        <f t="shared" si="1"/>
        <v>8.826969600708473</v>
      </c>
      <c r="BA42" s="128"/>
    </row>
    <row r="43" spans="1:53" ht="15">
      <c r="A43" s="146"/>
      <c r="B43" s="151" t="s">
        <v>608</v>
      </c>
      <c r="C43" s="152">
        <f>C37</f>
        <v>16</v>
      </c>
      <c r="D43" s="152">
        <f>D37</f>
        <v>125</v>
      </c>
      <c r="E43" s="118">
        <v>110</v>
      </c>
      <c r="AP43" s="136">
        <f t="shared" si="0"/>
        <v>0.19999999999999996</v>
      </c>
      <c r="AQ43" s="135"/>
      <c r="AR43" s="135"/>
      <c r="AS43" s="135"/>
      <c r="AT43" s="128"/>
      <c r="AU43" s="119">
        <f>IF('T荷重'!$L$16=0,0,'入力'!AZ43)</f>
        <v>8.808257569495584</v>
      </c>
      <c r="AW43" s="128"/>
      <c r="AX43" s="128"/>
      <c r="AZ43" s="135">
        <f t="shared" si="1"/>
        <v>8.808257569495584</v>
      </c>
      <c r="BA43" s="128"/>
    </row>
    <row r="44" spans="1:53" ht="15">
      <c r="A44" s="153"/>
      <c r="B44" s="154"/>
      <c r="C44" s="153"/>
      <c r="D44" s="153"/>
      <c r="E44" s="155"/>
      <c r="AP44" s="136">
        <f>AP43+$AV$2/10</f>
        <v>0.24999999999999994</v>
      </c>
      <c r="AQ44" s="135"/>
      <c r="AR44" s="135"/>
      <c r="AS44" s="135"/>
      <c r="AT44" s="128"/>
      <c r="AU44" s="119">
        <f>IF('T荷重'!$L$16=0,0,'入力'!AZ44)</f>
        <v>8.783012701892218</v>
      </c>
      <c r="AW44" s="128"/>
      <c r="AX44" s="128"/>
      <c r="AY44" s="128"/>
      <c r="AZ44" s="135">
        <f t="shared" si="1"/>
        <v>8.783012701892218</v>
      </c>
      <c r="BA44" s="128"/>
    </row>
    <row r="45" spans="1:53" ht="15">
      <c r="A45" s="125" t="s">
        <v>161</v>
      </c>
      <c r="D45" s="123"/>
      <c r="G45" s="156" t="s">
        <v>600</v>
      </c>
      <c r="AP45" s="136">
        <f t="shared" si="0"/>
        <v>0.29999999999999993</v>
      </c>
      <c r="AQ45" s="135"/>
      <c r="AR45" s="135"/>
      <c r="AS45" s="135"/>
      <c r="AT45" s="128"/>
      <c r="AU45" s="119">
        <f>IF('T荷重'!$L$16=0,0,'入力'!AZ45)</f>
        <v>8.75</v>
      </c>
      <c r="AW45" s="128"/>
      <c r="AX45" s="128"/>
      <c r="AY45" s="128"/>
      <c r="AZ45" s="135">
        <f t="shared" si="1"/>
        <v>8.75</v>
      </c>
      <c r="BA45" s="128"/>
    </row>
    <row r="46" spans="2:53" ht="18">
      <c r="B46" s="121" t="s">
        <v>39</v>
      </c>
      <c r="D46" s="123"/>
      <c r="E46" s="122"/>
      <c r="G46" s="280" t="s">
        <v>602</v>
      </c>
      <c r="H46" s="279"/>
      <c r="I46" s="141" t="s">
        <v>429</v>
      </c>
      <c r="J46" s="157" t="s">
        <v>430</v>
      </c>
      <c r="K46" s="158" t="s">
        <v>424</v>
      </c>
      <c r="L46" s="158" t="s">
        <v>445</v>
      </c>
      <c r="M46" s="278" t="s">
        <v>452</v>
      </c>
      <c r="N46" s="279"/>
      <c r="O46" s="141" t="s">
        <v>615</v>
      </c>
      <c r="AP46" s="136">
        <f t="shared" si="0"/>
        <v>0.3499999999999999</v>
      </c>
      <c r="AQ46" s="135"/>
      <c r="AR46" s="135"/>
      <c r="AS46" s="135"/>
      <c r="AT46" s="128"/>
      <c r="AU46" s="119">
        <f>IF('T荷重'!$L$16=0,0,'入力'!AZ46)</f>
        <v>8.707071421427143</v>
      </c>
      <c r="AW46" s="128"/>
      <c r="AX46" s="128"/>
      <c r="AY46" s="128"/>
      <c r="AZ46" s="135">
        <f t="shared" si="1"/>
        <v>8.707071421427143</v>
      </c>
      <c r="BA46" s="128"/>
    </row>
    <row r="47" spans="2:53" ht="18">
      <c r="B47" s="133" t="s">
        <v>165</v>
      </c>
      <c r="C47" s="112">
        <v>1</v>
      </c>
      <c r="D47" s="159" t="s">
        <v>166</v>
      </c>
      <c r="E47" s="122"/>
      <c r="G47" s="279"/>
      <c r="H47" s="279"/>
      <c r="I47" s="146" t="s">
        <v>435</v>
      </c>
      <c r="J47" s="146" t="s">
        <v>435</v>
      </c>
      <c r="K47" s="146" t="s">
        <v>514</v>
      </c>
      <c r="L47" s="146" t="s">
        <v>514</v>
      </c>
      <c r="M47" s="115" t="s">
        <v>269</v>
      </c>
      <c r="N47" s="152" t="s">
        <v>609</v>
      </c>
      <c r="O47" s="146" t="s">
        <v>581</v>
      </c>
      <c r="AP47" s="136">
        <f t="shared" si="0"/>
        <v>0.3999999999999999</v>
      </c>
      <c r="AQ47" s="135"/>
      <c r="AR47" s="135"/>
      <c r="AS47" s="135"/>
      <c r="AT47" s="128"/>
      <c r="AU47" s="119">
        <f>IF('T荷重'!$L$16=0,0,'入力'!AZ47)</f>
        <v>8.65</v>
      </c>
      <c r="AW47" s="128"/>
      <c r="AX47" s="128"/>
      <c r="AY47" s="128"/>
      <c r="AZ47" s="135">
        <f t="shared" si="1"/>
        <v>8.65</v>
      </c>
      <c r="BA47" s="128"/>
    </row>
    <row r="48" spans="2:53" ht="18">
      <c r="B48" s="121" t="s">
        <v>40</v>
      </c>
      <c r="D48" s="123" t="s">
        <v>51</v>
      </c>
      <c r="E48" s="112">
        <v>300</v>
      </c>
      <c r="F48" s="119" t="s">
        <v>56</v>
      </c>
      <c r="G48" s="280" t="s">
        <v>603</v>
      </c>
      <c r="H48" s="148" t="s">
        <v>604</v>
      </c>
      <c r="I48" s="157" t="str">
        <f>IF($E$12&lt;4,'T荷重'!F699,'等分布'!F587)</f>
        <v>D22</v>
      </c>
      <c r="J48" s="157">
        <f>IF($E$12&lt;4,'T荷重'!G699,'等分布'!G587)</f>
        <v>250</v>
      </c>
      <c r="K48" s="160">
        <f>IF($E$12&lt;4,MAX('T荷重'!H$742,'T荷重'!H$750),MAX('等分布'!H$623,'等分布'!H$631))</f>
        <v>6.874310094385236</v>
      </c>
      <c r="L48" s="160">
        <f>IF($E$12&lt;4,MAX('T荷重'!I$742,'T荷重'!I$750),MAX('等分布'!I$623,'等分布'!I$631))</f>
        <v>130.93148685593295</v>
      </c>
      <c r="M48" s="161">
        <f>IF($E$12&lt;4,MAX('T荷重'!F769,'T荷重'!F774),MAX('等分布'!F649,'等分布'!F654))</f>
        <v>0.3973172281275864</v>
      </c>
      <c r="N48" s="161">
        <f>IF($E$12&lt;4,MAX('T荷重'!H769,'T荷重'!H774),MAX('等分布'!H649,'等分布'!H654))</f>
        <v>0.2636672281275864</v>
      </c>
      <c r="O48" s="283" t="s">
        <v>616</v>
      </c>
      <c r="AP48" s="136">
        <f t="shared" si="0"/>
        <v>0.4499999999999999</v>
      </c>
      <c r="AQ48" s="135"/>
      <c r="AR48" s="135"/>
      <c r="AS48" s="135"/>
      <c r="AT48" s="128"/>
      <c r="AU48" s="119">
        <f>IF('T荷重'!$L$16=0,0,'入力'!AZ48)</f>
        <v>8.567944947177034</v>
      </c>
      <c r="AW48" s="128"/>
      <c r="AX48" s="128"/>
      <c r="AY48" s="128"/>
      <c r="AZ48" s="135">
        <f t="shared" si="1"/>
        <v>8.567944947177034</v>
      </c>
      <c r="BA48" s="128"/>
    </row>
    <row r="49" spans="7:53" ht="15">
      <c r="G49" s="279"/>
      <c r="H49" s="150" t="s">
        <v>605</v>
      </c>
      <c r="I49" s="162" t="str">
        <f>IF($E$12&lt;4,'T荷重'!F700,'等分布'!F588)</f>
        <v>D13</v>
      </c>
      <c r="J49" s="162">
        <f>IF($E$12&lt;4,'T荷重'!G700,'等分布'!G588)</f>
        <v>250</v>
      </c>
      <c r="K49" s="163">
        <f>IF($E$12&lt;4,MAX('T荷重'!H$743,'T荷重'!H$749),MAX('等分布'!H$624,'等分布'!H$630))</f>
        <v>0</v>
      </c>
      <c r="L49" s="163">
        <f>IF($E$12&lt;4,MAX('T荷重'!I$743,'T荷重'!I$749),MAX('等分布'!I$624,'等分布'!I$630))</f>
        <v>0</v>
      </c>
      <c r="M49" s="164">
        <v>0</v>
      </c>
      <c r="N49" s="164">
        <v>0</v>
      </c>
      <c r="O49" s="284"/>
      <c r="AP49" s="136">
        <f t="shared" si="0"/>
        <v>0.4999999999999999</v>
      </c>
      <c r="AQ49" s="135"/>
      <c r="AR49" s="135"/>
      <c r="AS49" s="135"/>
      <c r="AT49" s="128"/>
      <c r="AU49" s="119">
        <f>IF('T荷重'!$L$16=0,0,'入力'!AZ49)</f>
        <v>8.35</v>
      </c>
      <c r="AW49" s="128"/>
      <c r="AX49" s="128"/>
      <c r="AY49" s="128"/>
      <c r="AZ49" s="135">
        <f>$AV$4</f>
        <v>8.35</v>
      </c>
      <c r="BA49" s="128"/>
    </row>
    <row r="50" spans="7:53" ht="15">
      <c r="G50" s="279"/>
      <c r="H50" s="151" t="s">
        <v>606</v>
      </c>
      <c r="I50" s="146" t="str">
        <f>IF($E$12&lt;4,'T荷重'!F701,'等分布'!F589)</f>
        <v>D22</v>
      </c>
      <c r="J50" s="146">
        <f>IF($E$12&lt;4,'T荷重'!G701,'等分布'!G589)</f>
        <v>250</v>
      </c>
      <c r="K50" s="165">
        <f>IF($E$12&lt;4,MAX('T荷重'!H$744,'T荷重'!H$748),MAX('等分布'!H$625,'等分布'!H$629))</f>
        <v>7.410832979620654</v>
      </c>
      <c r="L50" s="165">
        <f>IF($E$12&lt;4,MAX('T荷重'!I$743,'T荷重'!I$749),MAX('等分布'!I$624,'等分布'!I$630))</f>
        <v>0</v>
      </c>
      <c r="M50" s="166">
        <f>IF($E$12&lt;4,MAX('T荷重'!F770,'T荷重'!F773),MAX('等分布'!F650,'等分布'!F653))</f>
        <v>0.3973172281275864</v>
      </c>
      <c r="N50" s="166">
        <f>IF($E$12&lt;4,MAX('T荷重'!H770,'T荷重'!H773),MAX('等分布'!H650,'等分布'!H653))</f>
        <v>0.2568590218724138</v>
      </c>
      <c r="O50" s="285"/>
      <c r="AP50" s="136">
        <f aca="true" t="shared" si="2" ref="AP50:AP57">AP49-$AV$2/10</f>
        <v>0.4499999999999999</v>
      </c>
      <c r="AQ50" s="135"/>
      <c r="AR50" s="135"/>
      <c r="AS50" s="135"/>
      <c r="AT50" s="128"/>
      <c r="AU50" s="119">
        <f>IF('T荷重'!$L$16=0,0,'入力'!AZ50)</f>
        <v>8.132055052822965</v>
      </c>
      <c r="AW50" s="128"/>
      <c r="AX50" s="128"/>
      <c r="AY50" s="128"/>
      <c r="AZ50" s="167">
        <f aca="true" t="shared" si="3" ref="AY50:AZ69">$AV$4-($AV$2^2-(AP50-$AV$3)^2)^0.5</f>
        <v>8.132055052822965</v>
      </c>
      <c r="BA50" s="128"/>
    </row>
    <row r="51" spans="7:53" ht="15">
      <c r="G51" s="280" t="s">
        <v>607</v>
      </c>
      <c r="H51" s="148" t="s">
        <v>608</v>
      </c>
      <c r="I51" s="157" t="str">
        <f>IF($E$12&lt;4,'T荷重'!F702,'等分布'!F590)</f>
        <v>D22</v>
      </c>
      <c r="J51" s="157">
        <f>IF($E$12&lt;4,'T荷重'!G702,'等分布'!G590)</f>
        <v>250</v>
      </c>
      <c r="K51" s="160">
        <f>IF($E$12&lt;4,MAX('T荷重'!H$745,'T荷重'!H$747),MAX('等分布'!H$626,'等分布'!H$628))</f>
        <v>5.550616511638511</v>
      </c>
      <c r="L51" s="160">
        <f>IF($E$12&lt;4,MAX('T荷重'!I$745,'T荷重'!I$747),MAX('等分布'!I$626,'等分布'!I$628))</f>
        <v>138.11776185572975</v>
      </c>
      <c r="M51" s="161">
        <f>IF($E$12&lt;4,MAX('T荷重'!F771,'T荷重'!F772),MAX('等分布'!F651,'等分布'!F652))</f>
        <v>0.48843</v>
      </c>
      <c r="N51" s="161">
        <f>IF($E$12&lt;4,MAX('T荷重'!H771,'T荷重'!H772),MAX('等分布'!H651,'等分布'!H652))</f>
        <v>0.34263000000000005</v>
      </c>
      <c r="O51" s="283" t="s">
        <v>617</v>
      </c>
      <c r="AP51" s="136">
        <f t="shared" si="2"/>
        <v>0.3999999999999999</v>
      </c>
      <c r="AQ51" s="135"/>
      <c r="AR51" s="135"/>
      <c r="AS51" s="135"/>
      <c r="AT51" s="128"/>
      <c r="AU51" s="119">
        <f>IF('T荷重'!$L$16=0,0,'入力'!AZ51)</f>
        <v>8.049999999999999</v>
      </c>
      <c r="AW51" s="128"/>
      <c r="AX51" s="128"/>
      <c r="AY51" s="128"/>
      <c r="AZ51" s="167">
        <f t="shared" si="3"/>
        <v>8.049999999999999</v>
      </c>
      <c r="BA51" s="128"/>
    </row>
    <row r="52" spans="7:53" ht="15">
      <c r="G52" s="279"/>
      <c r="H52" s="151" t="s">
        <v>601</v>
      </c>
      <c r="I52" s="146" t="str">
        <f>IF($E$12&lt;4,'T荷重'!F703,'等分布'!F591)</f>
        <v>D16</v>
      </c>
      <c r="J52" s="146">
        <f>IF($E$12&lt;4,'T荷重'!G703,'等分布'!G591)</f>
        <v>250</v>
      </c>
      <c r="K52" s="165">
        <f>IF($E$12&lt;4,'T荷重'!H$746,'等分布'!H$627)</f>
        <v>4.793775826366062</v>
      </c>
      <c r="L52" s="165">
        <f>IF($E$12&lt;4,'T荷重'!I$746,'等分布'!I$627)</f>
        <v>158.06610680024576</v>
      </c>
      <c r="M52" s="166">
        <v>0</v>
      </c>
      <c r="N52" s="166">
        <v>0</v>
      </c>
      <c r="O52" s="285"/>
      <c r="AP52" s="136">
        <f t="shared" si="2"/>
        <v>0.3499999999999999</v>
      </c>
      <c r="AQ52" s="135"/>
      <c r="AR52" s="135"/>
      <c r="AS52" s="135"/>
      <c r="AT52" s="128"/>
      <c r="AU52" s="119">
        <f>IF('T荷重'!$L$16=0,0,'入力'!AZ52)</f>
        <v>7.992928578572857</v>
      </c>
      <c r="AW52" s="128"/>
      <c r="AX52" s="128"/>
      <c r="AY52" s="128"/>
      <c r="AZ52" s="167">
        <f t="shared" si="3"/>
        <v>7.992928578572857</v>
      </c>
      <c r="BA52" s="128"/>
    </row>
    <row r="53" spans="7:53" ht="15">
      <c r="G53" s="280" t="s">
        <v>10</v>
      </c>
      <c r="H53" s="148" t="s">
        <v>601</v>
      </c>
      <c r="I53" s="157" t="str">
        <f>IF($E$12&lt;4,'T荷重'!F704,'等分布'!F592)</f>
        <v>D22</v>
      </c>
      <c r="J53" s="157">
        <f>IF($E$12&lt;4,'T荷重'!G704,'等分布'!G592)</f>
        <v>250</v>
      </c>
      <c r="K53" s="160">
        <f>IF($E$12&lt;4,'T荷重'!H$752,'等分布'!H$633)</f>
        <v>5.084173300485655</v>
      </c>
      <c r="L53" s="160">
        <f>IF($E$12&lt;4,'T荷重'!I$752,'等分布'!I$633)</f>
        <v>139.23573592918845</v>
      </c>
      <c r="M53" s="161">
        <v>0</v>
      </c>
      <c r="N53" s="161">
        <v>0</v>
      </c>
      <c r="O53" s="286">
        <f>IF($E$12&lt;4,'T荷重'!G799,'等分布'!G674)</f>
        <v>136.42402985074628</v>
      </c>
      <c r="AP53" s="136">
        <f t="shared" si="2"/>
        <v>0.29999999999999993</v>
      </c>
      <c r="AQ53" s="135"/>
      <c r="AR53" s="135"/>
      <c r="AS53" s="135"/>
      <c r="AT53" s="128"/>
      <c r="AU53" s="119">
        <f>IF('T荷重'!$L$16=0,0,'入力'!AZ53)</f>
        <v>7.949999999999999</v>
      </c>
      <c r="AW53" s="128"/>
      <c r="AX53" s="128"/>
      <c r="AY53" s="128"/>
      <c r="AZ53" s="167">
        <f t="shared" si="3"/>
        <v>7.949999999999999</v>
      </c>
      <c r="BA53" s="128"/>
    </row>
    <row r="54" spans="7:53" ht="13.5">
      <c r="G54" s="279"/>
      <c r="H54" s="151" t="s">
        <v>608</v>
      </c>
      <c r="I54" s="146" t="str">
        <f>IF($E$12&lt;4,'T荷重'!F705,'等分布'!F593)</f>
        <v>D22</v>
      </c>
      <c r="J54" s="146">
        <f>IF($E$12&lt;4,'T荷重'!G705,'等分布'!G593)</f>
        <v>250</v>
      </c>
      <c r="K54" s="165">
        <f>IF($E$12&lt;4,MAX('T荷重'!H$751,'T荷重'!H$753),MAX('等分布'!H$632,'等分布'!H$634))</f>
        <v>4.204983664453346</v>
      </c>
      <c r="L54" s="165">
        <f>IF($E$12&lt;4,MAX('T荷重'!I$751,'T荷重'!I$753),MAX('等分布'!I$632,'等分布'!I$634))</f>
        <v>107.04713817667938</v>
      </c>
      <c r="M54" s="166">
        <f>IF($E$12&lt;4,MAX('T荷重'!F775,'T荷重'!F776),MAX('等分布'!F655,'等分布'!F656))</f>
        <v>0.5349970588235295</v>
      </c>
      <c r="N54" s="166">
        <f>IF($E$12&lt;4,MAX('T荷重'!H775,'T荷重'!H776),MAX('等分布'!H655,'等分布'!H656))</f>
        <v>0.31141619841966645</v>
      </c>
      <c r="O54" s="285"/>
      <c r="AP54" s="136">
        <f t="shared" si="2"/>
        <v>0.24999999999999994</v>
      </c>
      <c r="AQ54" s="135"/>
      <c r="AR54" s="135"/>
      <c r="AS54" s="135"/>
      <c r="AT54" s="128"/>
      <c r="AU54" s="119">
        <f>IF('T荷重'!$L$16=0,0,'入力'!AZ54)</f>
        <v>7.91698729810778</v>
      </c>
      <c r="AW54" s="128"/>
      <c r="AX54" s="128"/>
      <c r="AY54" s="128"/>
      <c r="AZ54" s="167">
        <f t="shared" si="3"/>
        <v>7.91698729810778</v>
      </c>
      <c r="BA54" s="128"/>
    </row>
    <row r="55" spans="7:53" ht="13.5">
      <c r="G55" s="287" t="s">
        <v>614</v>
      </c>
      <c r="H55" s="288"/>
      <c r="I55" s="115" t="s">
        <v>610</v>
      </c>
      <c r="J55" s="115" t="s">
        <v>465</v>
      </c>
      <c r="K55" s="152">
        <f>'T荷重'!H755</f>
        <v>8</v>
      </c>
      <c r="L55" s="152">
        <f>'T荷重'!I755</f>
        <v>160</v>
      </c>
      <c r="M55" s="152">
        <f>'T荷重'!F778</f>
        <v>0.78</v>
      </c>
      <c r="N55" s="152">
        <f>'T荷重'!H778</f>
        <v>0.39</v>
      </c>
      <c r="O55" s="146">
        <f>'等分布'!D676</f>
        <v>200</v>
      </c>
      <c r="AP55" s="136">
        <f t="shared" si="2"/>
        <v>0.19999999999999996</v>
      </c>
      <c r="AQ55" s="135"/>
      <c r="AR55" s="135"/>
      <c r="AS55" s="135"/>
      <c r="AT55" s="128"/>
      <c r="AU55" s="119">
        <f>IF('T荷重'!$L$16=0,0,'入力'!AZ55)</f>
        <v>7.891742430504416</v>
      </c>
      <c r="AW55" s="128"/>
      <c r="AX55" s="128"/>
      <c r="AY55" s="128"/>
      <c r="AZ55" s="167">
        <f t="shared" si="3"/>
        <v>7.891742430504416</v>
      </c>
      <c r="BA55" s="128"/>
    </row>
    <row r="56" spans="7:53" ht="13.5">
      <c r="G56" s="281" t="s">
        <v>613</v>
      </c>
      <c r="H56" s="282"/>
      <c r="I56" s="115" t="s">
        <v>610</v>
      </c>
      <c r="J56" s="115" t="s">
        <v>465</v>
      </c>
      <c r="K56" s="168" t="str">
        <f>IF(MAX(K48:K54)&gt;K55,"OUT","SAFE")</f>
        <v>SAFE</v>
      </c>
      <c r="L56" s="168" t="str">
        <f>IF(MAX(L48:L54)&gt;L55,"OUT","SAFE")</f>
        <v>SAFE</v>
      </c>
      <c r="M56" s="168" t="str">
        <f>IF(MAX(M48:M54)&gt;M55,"OUT","SAFE")</f>
        <v>SAFE</v>
      </c>
      <c r="N56" s="168" t="str">
        <f>IF(MAX(N48:N54)&gt;N55,"OUT","SAFE")</f>
        <v>SAFE</v>
      </c>
      <c r="O56" s="168" t="str">
        <f>IF(O53&gt;O55,"OUT","SAFE")</f>
        <v>SAFE</v>
      </c>
      <c r="AP56" s="136">
        <f t="shared" si="2"/>
        <v>0.14999999999999997</v>
      </c>
      <c r="AQ56" s="135"/>
      <c r="AR56" s="135"/>
      <c r="AS56" s="135"/>
      <c r="AT56" s="128"/>
      <c r="AU56" s="119">
        <f>IF('T荷重'!$L$16=0,0,'入力'!AZ56)</f>
        <v>7.873030399291527</v>
      </c>
      <c r="AW56" s="128"/>
      <c r="AX56" s="128"/>
      <c r="AZ56" s="167">
        <f t="shared" si="3"/>
        <v>7.873030399291527</v>
      </c>
      <c r="BA56" s="128"/>
    </row>
    <row r="57" spans="8:53" ht="13.5">
      <c r="H57" s="126"/>
      <c r="K57" s="128"/>
      <c r="AP57" s="136">
        <f t="shared" si="2"/>
        <v>0.09999999999999996</v>
      </c>
      <c r="AQ57" s="135"/>
      <c r="AR57" s="135"/>
      <c r="AS57" s="135"/>
      <c r="AT57" s="128"/>
      <c r="AU57" s="119">
        <f>IF('T荷重'!$L$16=0,0,'入力'!AZ57)</f>
        <v>7.860102051443364</v>
      </c>
      <c r="AW57" s="128"/>
      <c r="AX57" s="128"/>
      <c r="AZ57" s="167">
        <f t="shared" si="3"/>
        <v>7.860102051443364</v>
      </c>
      <c r="BA57" s="128"/>
    </row>
    <row r="58" spans="3:52" ht="13.5">
      <c r="C58" s="273"/>
      <c r="D58" s="273"/>
      <c r="E58" s="273"/>
      <c r="F58" s="273"/>
      <c r="G58" s="273"/>
      <c r="H58" s="273"/>
      <c r="I58" s="273"/>
      <c r="J58" s="273"/>
      <c r="AO58" s="136">
        <f>AP57-$AV$2/10</f>
        <v>0.04999999999999996</v>
      </c>
      <c r="AP58" s="135"/>
      <c r="AQ58" s="135"/>
      <c r="AR58" s="135"/>
      <c r="AS58" s="128"/>
      <c r="AT58" s="119">
        <f>IF('T荷重'!$L$16=0,0,'入力'!AY58)</f>
        <v>7.85250628144669</v>
      </c>
      <c r="AV58" s="128"/>
      <c r="AW58" s="128"/>
      <c r="AY58" s="167">
        <f t="shared" si="3"/>
        <v>7.85250628144669</v>
      </c>
      <c r="AZ58" s="128"/>
    </row>
    <row r="59" spans="3:52" ht="13.5">
      <c r="C59" s="274"/>
      <c r="D59" s="275"/>
      <c r="E59" s="273"/>
      <c r="F59" s="273"/>
      <c r="G59" s="273"/>
      <c r="H59" s="273"/>
      <c r="I59" s="273"/>
      <c r="J59" s="273"/>
      <c r="AO59" s="136">
        <f aca="true" t="shared" si="4" ref="AO59:AO64">AO58-$AV$2/10</f>
        <v>0</v>
      </c>
      <c r="AP59" s="135"/>
      <c r="AQ59" s="135"/>
      <c r="AR59" s="135"/>
      <c r="AS59" s="128"/>
      <c r="AT59" s="119">
        <f>IF('T荷重'!$L$16=0,0,'入力'!AY59)</f>
        <v>7.85</v>
      </c>
      <c r="AV59" s="128"/>
      <c r="AW59" s="128"/>
      <c r="AY59" s="167">
        <f t="shared" si="3"/>
        <v>7.85</v>
      </c>
      <c r="AZ59" s="128"/>
    </row>
    <row r="60" spans="3:52" ht="13.5">
      <c r="C60" s="273"/>
      <c r="D60" s="273"/>
      <c r="E60" s="273"/>
      <c r="F60" s="273"/>
      <c r="G60" s="273"/>
      <c r="H60" s="273"/>
      <c r="I60" s="273"/>
      <c r="J60" s="273"/>
      <c r="AO60" s="136">
        <f t="shared" si="4"/>
        <v>-0.05</v>
      </c>
      <c r="AP60" s="135"/>
      <c r="AQ60" s="135"/>
      <c r="AR60" s="135"/>
      <c r="AS60" s="128"/>
      <c r="AT60" s="119">
        <f>IF('T荷重'!$L$16=0,0,'入力'!AY60)</f>
        <v>7.85250628144669</v>
      </c>
      <c r="AV60" s="128"/>
      <c r="AW60" s="128"/>
      <c r="AY60" s="167">
        <f t="shared" si="3"/>
        <v>7.85250628144669</v>
      </c>
      <c r="AZ60" s="128"/>
    </row>
    <row r="61" spans="3:52" ht="13.5">
      <c r="C61" s="273"/>
      <c r="D61" s="273"/>
      <c r="E61" s="273"/>
      <c r="F61" s="273"/>
      <c r="G61" s="273"/>
      <c r="H61" s="273"/>
      <c r="I61" s="273"/>
      <c r="J61" s="273"/>
      <c r="AO61" s="136">
        <f t="shared" si="4"/>
        <v>-0.1</v>
      </c>
      <c r="AP61" s="135"/>
      <c r="AQ61" s="135"/>
      <c r="AR61" s="135"/>
      <c r="AS61" s="128"/>
      <c r="AT61" s="119">
        <f>IF('T荷重'!$L$16=0,0,'入力'!AY61)</f>
        <v>7.860102051443364</v>
      </c>
      <c r="AV61" s="128"/>
      <c r="AW61" s="128"/>
      <c r="AY61" s="167">
        <f t="shared" si="3"/>
        <v>7.860102051443364</v>
      </c>
      <c r="AZ61" s="128"/>
    </row>
    <row r="62" spans="3:52" ht="13.5">
      <c r="C62" s="273"/>
      <c r="D62" s="275"/>
      <c r="E62" s="273"/>
      <c r="F62" s="273"/>
      <c r="G62" s="273"/>
      <c r="H62" s="273"/>
      <c r="I62" s="273"/>
      <c r="J62" s="273"/>
      <c r="AO62" s="136">
        <f t="shared" si="4"/>
        <v>-0.15000000000000002</v>
      </c>
      <c r="AP62" s="135"/>
      <c r="AQ62" s="135"/>
      <c r="AR62" s="135"/>
      <c r="AS62" s="128"/>
      <c r="AT62" s="119">
        <f>IF('T荷重'!$L$16=0,0,'入力'!AY62)</f>
        <v>7.873030399291527</v>
      </c>
      <c r="AV62" s="128"/>
      <c r="AW62" s="128"/>
      <c r="AY62" s="167">
        <f t="shared" si="3"/>
        <v>7.873030399291527</v>
      </c>
      <c r="AZ62" s="128"/>
    </row>
    <row r="63" spans="3:52" ht="16.5">
      <c r="C63" s="276"/>
      <c r="D63" s="277"/>
      <c r="E63" s="273"/>
      <c r="F63" s="273"/>
      <c r="G63" s="273"/>
      <c r="H63" s="273"/>
      <c r="I63" s="273"/>
      <c r="J63" s="273"/>
      <c r="AO63" s="136">
        <f t="shared" si="4"/>
        <v>-0.2</v>
      </c>
      <c r="AP63" s="135"/>
      <c r="AQ63" s="135"/>
      <c r="AR63" s="135"/>
      <c r="AS63" s="128"/>
      <c r="AT63" s="119">
        <f>IF('T荷重'!$L$16=0,0,'入力'!AY63)</f>
        <v>7.891742430504416</v>
      </c>
      <c r="AV63" s="128"/>
      <c r="AW63" s="128"/>
      <c r="AY63" s="167">
        <f t="shared" si="3"/>
        <v>7.891742430504416</v>
      </c>
      <c r="AZ63" s="128"/>
    </row>
    <row r="64" spans="3:52" ht="16.5">
      <c r="C64" s="276"/>
      <c r="D64" s="277"/>
      <c r="E64" s="273"/>
      <c r="F64" s="273"/>
      <c r="G64" s="273"/>
      <c r="H64" s="273"/>
      <c r="I64" s="273"/>
      <c r="J64" s="273"/>
      <c r="AO64" s="136">
        <f t="shared" si="4"/>
        <v>-0.25</v>
      </c>
      <c r="AP64" s="135"/>
      <c r="AQ64" s="135"/>
      <c r="AR64" s="135"/>
      <c r="AS64" s="128"/>
      <c r="AT64" s="119">
        <f>IF('T荷重'!$L$16=0,0,'入力'!AY64)</f>
        <v>7.91698729810778</v>
      </c>
      <c r="AV64" s="128"/>
      <c r="AW64" s="128"/>
      <c r="AY64" s="167">
        <f t="shared" si="3"/>
        <v>7.91698729810778</v>
      </c>
      <c r="AZ64" s="128"/>
    </row>
    <row r="65" spans="42:53" ht="13.5">
      <c r="AP65" s="136">
        <f>AO64-$AV$2/10</f>
        <v>-0.3</v>
      </c>
      <c r="AQ65" s="135"/>
      <c r="AR65" s="135"/>
      <c r="AS65" s="135"/>
      <c r="AT65" s="128"/>
      <c r="AU65" s="119">
        <f>IF('T荷重'!$L$16=0,0,'入力'!AZ65)</f>
        <v>7.949999999999999</v>
      </c>
      <c r="AW65" s="128"/>
      <c r="AX65" s="128"/>
      <c r="AZ65" s="167">
        <f t="shared" si="3"/>
        <v>7.949999999999999</v>
      </c>
      <c r="BA65" s="128"/>
    </row>
    <row r="66" spans="42:53" ht="13.5">
      <c r="AP66" s="136">
        <f>AP65-$AV$2/10</f>
        <v>-0.35</v>
      </c>
      <c r="AQ66" s="135"/>
      <c r="AR66" s="135"/>
      <c r="AS66" s="135"/>
      <c r="AT66" s="128"/>
      <c r="AU66" s="119">
        <f>IF('T荷重'!$L$16=0,0,'入力'!AZ66)</f>
        <v>7.992928578572857</v>
      </c>
      <c r="AW66" s="128"/>
      <c r="AX66" s="128"/>
      <c r="AZ66" s="167">
        <f t="shared" si="3"/>
        <v>7.992928578572857</v>
      </c>
      <c r="BA66" s="128"/>
    </row>
    <row r="67" spans="42:53" ht="13.5">
      <c r="AP67" s="136">
        <f>AP66-$AV$2/10</f>
        <v>-0.39999999999999997</v>
      </c>
      <c r="AQ67" s="135"/>
      <c r="AR67" s="135"/>
      <c r="AS67" s="135"/>
      <c r="AT67" s="128"/>
      <c r="AU67" s="119">
        <f>IF('T荷重'!$L$16=0,0,'入力'!AZ67)</f>
        <v>8.049999999999999</v>
      </c>
      <c r="AW67" s="128"/>
      <c r="AX67" s="128"/>
      <c r="AZ67" s="167">
        <f t="shared" si="3"/>
        <v>8.049999999999999</v>
      </c>
      <c r="BA67" s="128"/>
    </row>
    <row r="68" spans="42:53" ht="13.5">
      <c r="AP68" s="136">
        <f>AP67-$AV$2/10</f>
        <v>-0.44999999999999996</v>
      </c>
      <c r="AQ68" s="135"/>
      <c r="AR68" s="135"/>
      <c r="AS68" s="135"/>
      <c r="AT68" s="128"/>
      <c r="AU68" s="119">
        <f>IF('T荷重'!$L$16=0,0,'入力'!AZ68)</f>
        <v>8.132055052822967</v>
      </c>
      <c r="AW68" s="128"/>
      <c r="AX68" s="128"/>
      <c r="AZ68" s="167">
        <f t="shared" si="3"/>
        <v>8.132055052822967</v>
      </c>
      <c r="BA68" s="128"/>
    </row>
    <row r="69" spans="42:53" ht="13.5">
      <c r="AP69" s="136">
        <f>AP68-$AV$2/10</f>
        <v>-0.49999999999999994</v>
      </c>
      <c r="AQ69" s="135"/>
      <c r="AR69" s="135"/>
      <c r="AS69" s="135"/>
      <c r="AT69" s="128"/>
      <c r="AU69" s="119">
        <f>IF('T荷重'!$L$16=0,0,'入力'!AZ69)</f>
        <v>8.349999992549419</v>
      </c>
      <c r="AW69" s="128"/>
      <c r="AX69" s="128"/>
      <c r="AZ69" s="167">
        <f t="shared" si="3"/>
        <v>8.349999992549419</v>
      </c>
      <c r="BA69" s="128"/>
    </row>
    <row r="70" spans="42:53" ht="13.5">
      <c r="AP70" s="119">
        <f>AP29+データ!$F$6</f>
        <v>5.5</v>
      </c>
      <c r="AQ70" s="128"/>
      <c r="AR70" s="128"/>
      <c r="AS70" s="128"/>
      <c r="AT70" s="128"/>
      <c r="AV70" s="128">
        <f>IF('T荷重'!$L$17=0,0,'入力'!BA70)</f>
        <v>8.35</v>
      </c>
      <c r="AX70" s="128"/>
      <c r="AZ70" s="128"/>
      <c r="BA70" s="128">
        <f aca="true" t="shared" si="5" ref="BA70:BA110">AZ29</f>
        <v>8.35</v>
      </c>
    </row>
    <row r="71" spans="42:53" ht="13.5">
      <c r="AP71" s="119">
        <f>AP30+データ!$F$6</f>
        <v>5.55</v>
      </c>
      <c r="AQ71" s="128"/>
      <c r="AR71" s="128"/>
      <c r="AS71" s="128"/>
      <c r="AT71" s="128"/>
      <c r="AV71" s="128">
        <f>IF('T荷重'!$L$17=0,0,'入力'!BA71)</f>
        <v>8.567944947177033</v>
      </c>
      <c r="AX71" s="128"/>
      <c r="AZ71" s="128"/>
      <c r="BA71" s="128">
        <f t="shared" si="5"/>
        <v>8.567944947177033</v>
      </c>
    </row>
    <row r="72" spans="42:53" ht="13.5">
      <c r="AP72" s="119">
        <f>AP31+データ!$F$6</f>
        <v>5.6</v>
      </c>
      <c r="AQ72" s="128"/>
      <c r="AR72" s="128"/>
      <c r="AS72" s="128"/>
      <c r="AT72" s="128"/>
      <c r="AV72" s="128">
        <f>IF('T荷重'!$L$17=0,0,'入力'!BA72)</f>
        <v>8.65</v>
      </c>
      <c r="AX72" s="128"/>
      <c r="AZ72" s="128"/>
      <c r="BA72" s="128">
        <f t="shared" si="5"/>
        <v>8.65</v>
      </c>
    </row>
    <row r="73" spans="42:53" ht="13.5">
      <c r="AP73" s="119">
        <f>AP32+データ!$F$6</f>
        <v>5.65</v>
      </c>
      <c r="AQ73" s="128"/>
      <c r="AR73" s="128"/>
      <c r="AS73" s="128"/>
      <c r="AT73" s="128"/>
      <c r="AV73" s="128">
        <f>IF('T荷重'!$L$17=0,0,'入力'!BA73)</f>
        <v>8.707071421427143</v>
      </c>
      <c r="AX73" s="128"/>
      <c r="AZ73" s="128"/>
      <c r="BA73" s="128">
        <f t="shared" si="5"/>
        <v>8.707071421427143</v>
      </c>
    </row>
    <row r="74" spans="42:53" ht="13.5">
      <c r="AP74" s="119">
        <f>AP33+データ!$F$6</f>
        <v>5.7</v>
      </c>
      <c r="AQ74" s="128"/>
      <c r="AR74" s="128"/>
      <c r="AS74" s="128"/>
      <c r="AT74" s="128"/>
      <c r="AV74" s="128">
        <f>IF('T荷重'!$L$17=0,0,'入力'!BA74)</f>
        <v>8.75</v>
      </c>
      <c r="AX74" s="128"/>
      <c r="AZ74" s="128"/>
      <c r="BA74" s="128">
        <f t="shared" si="5"/>
        <v>8.75</v>
      </c>
    </row>
    <row r="75" spans="42:53" ht="13.5">
      <c r="AP75" s="119">
        <f>AP34+データ!$F$6</f>
        <v>5.75</v>
      </c>
      <c r="AQ75" s="128"/>
      <c r="AR75" s="128"/>
      <c r="AS75" s="128"/>
      <c r="AT75" s="128"/>
      <c r="AV75" s="128">
        <f>IF('T荷重'!$L$17=0,0,'入力'!BA75)</f>
        <v>8.783012701892218</v>
      </c>
      <c r="AX75" s="128"/>
      <c r="AZ75" s="128"/>
      <c r="BA75" s="128">
        <f t="shared" si="5"/>
        <v>8.783012701892218</v>
      </c>
    </row>
    <row r="76" spans="42:53" ht="13.5">
      <c r="AP76" s="119">
        <f>AP35+データ!$F$6</f>
        <v>5.8</v>
      </c>
      <c r="AQ76" s="128"/>
      <c r="AR76" s="128"/>
      <c r="AS76" s="128"/>
      <c r="AT76" s="128"/>
      <c r="AV76" s="128">
        <f>IF('T荷重'!$L$17=0,0,'入力'!BA76)</f>
        <v>8.808257569495584</v>
      </c>
      <c r="AX76" s="128"/>
      <c r="AZ76" s="128"/>
      <c r="BA76" s="128">
        <f t="shared" si="5"/>
        <v>8.808257569495584</v>
      </c>
    </row>
    <row r="77" spans="42:53" ht="13.5">
      <c r="AP77" s="119">
        <f>AP36+データ!$F$6</f>
        <v>5.85</v>
      </c>
      <c r="AQ77" s="128"/>
      <c r="AR77" s="128"/>
      <c r="AS77" s="128"/>
      <c r="AT77" s="128"/>
      <c r="AV77" s="128">
        <f>IF('T荷重'!$L$17=0,0,'入力'!BA77)</f>
        <v>8.826969600708473</v>
      </c>
      <c r="AX77" s="128"/>
      <c r="AZ77" s="128"/>
      <c r="BA77" s="128">
        <f t="shared" si="5"/>
        <v>8.826969600708473</v>
      </c>
    </row>
    <row r="78" spans="42:53" ht="13.5">
      <c r="AP78" s="119">
        <f>AP37+データ!$F$6</f>
        <v>5.9</v>
      </c>
      <c r="AQ78" s="128"/>
      <c r="AR78" s="128"/>
      <c r="AS78" s="128"/>
      <c r="AT78" s="128"/>
      <c r="AV78" s="128">
        <f>IF('T荷重'!$L$17=0,0,'入力'!BA78)</f>
        <v>8.839897948556635</v>
      </c>
      <c r="AX78" s="128"/>
      <c r="AZ78" s="128"/>
      <c r="BA78" s="128">
        <f t="shared" si="5"/>
        <v>8.839897948556635</v>
      </c>
    </row>
    <row r="79" spans="42:53" ht="13.5">
      <c r="AP79" s="119">
        <f>AP38+データ!$F$6</f>
        <v>5.95</v>
      </c>
      <c r="AQ79" s="128"/>
      <c r="AR79" s="128"/>
      <c r="AS79" s="128"/>
      <c r="AT79" s="128"/>
      <c r="AV79" s="128">
        <f>IF('T荷重'!$L$17=0,0,'入力'!BA79)</f>
        <v>8.84749371855331</v>
      </c>
      <c r="AX79" s="128"/>
      <c r="AZ79" s="128"/>
      <c r="BA79" s="128">
        <f t="shared" si="5"/>
        <v>8.84749371855331</v>
      </c>
    </row>
    <row r="80" spans="42:53" ht="13.5">
      <c r="AP80" s="119">
        <f>AP39+データ!$F$6</f>
        <v>6</v>
      </c>
      <c r="AQ80" s="128"/>
      <c r="AR80" s="128"/>
      <c r="AS80" s="128"/>
      <c r="AT80" s="128"/>
      <c r="AV80" s="128">
        <f>IF('T荷重'!$L$17=0,0,'入力'!BA80)</f>
        <v>8.85</v>
      </c>
      <c r="AX80" s="128"/>
      <c r="AZ80" s="128"/>
      <c r="BA80" s="128">
        <f t="shared" si="5"/>
        <v>8.85</v>
      </c>
    </row>
    <row r="81" spans="42:53" ht="13.5">
      <c r="AP81" s="119">
        <f>AP40+データ!$F$6</f>
        <v>6.05</v>
      </c>
      <c r="AQ81" s="128"/>
      <c r="AR81" s="128"/>
      <c r="AS81" s="128"/>
      <c r="AT81" s="128"/>
      <c r="AV81" s="128">
        <f>IF('T荷重'!$L$17=0,0,'入力'!BA81)</f>
        <v>8.84749371855331</v>
      </c>
      <c r="AX81" s="128"/>
      <c r="AZ81" s="128"/>
      <c r="BA81" s="128">
        <f t="shared" si="5"/>
        <v>8.84749371855331</v>
      </c>
    </row>
    <row r="82" spans="42:53" ht="13.5">
      <c r="AP82" s="119">
        <f>AP41+データ!$F$6</f>
        <v>6.1</v>
      </c>
      <c r="AQ82" s="128"/>
      <c r="AR82" s="128"/>
      <c r="AS82" s="128"/>
      <c r="AT82" s="128"/>
      <c r="AV82" s="128">
        <f>IF('T荷重'!$L$17=0,0,'入力'!BA82)</f>
        <v>8.839897948556635</v>
      </c>
      <c r="AX82" s="128"/>
      <c r="AZ82" s="128"/>
      <c r="BA82" s="128">
        <f t="shared" si="5"/>
        <v>8.839897948556635</v>
      </c>
    </row>
    <row r="83" spans="42:53" ht="13.5">
      <c r="AP83" s="119">
        <f>AP42+データ!$F$6</f>
        <v>6.15</v>
      </c>
      <c r="AQ83" s="128"/>
      <c r="AR83" s="128"/>
      <c r="AS83" s="128"/>
      <c r="AT83" s="128"/>
      <c r="AV83" s="128">
        <f>IF('T荷重'!$L$17=0,0,'入力'!BA83)</f>
        <v>8.826969600708473</v>
      </c>
      <c r="AX83" s="128"/>
      <c r="AZ83" s="128"/>
      <c r="BA83" s="128">
        <f t="shared" si="5"/>
        <v>8.826969600708473</v>
      </c>
    </row>
    <row r="84" spans="42:53" ht="13.5">
      <c r="AP84" s="119">
        <f>AP43+データ!$F$6</f>
        <v>6.2</v>
      </c>
      <c r="AQ84" s="128"/>
      <c r="AR84" s="128"/>
      <c r="AS84" s="128"/>
      <c r="AT84" s="128"/>
      <c r="AV84" s="128">
        <f>IF('T荷重'!$L$17=0,0,'入力'!BA84)</f>
        <v>8.808257569495584</v>
      </c>
      <c r="AX84" s="128"/>
      <c r="AZ84" s="128"/>
      <c r="BA84" s="128">
        <f t="shared" si="5"/>
        <v>8.808257569495584</v>
      </c>
    </row>
    <row r="85" spans="42:53" ht="13.5">
      <c r="AP85" s="119">
        <f>AP44+データ!$F$6</f>
        <v>6.25</v>
      </c>
      <c r="AQ85" s="128"/>
      <c r="AR85" s="128"/>
      <c r="AS85" s="128"/>
      <c r="AT85" s="128"/>
      <c r="AV85" s="128">
        <f>IF('T荷重'!$L$17=0,0,'入力'!BA85)</f>
        <v>8.783012701892218</v>
      </c>
      <c r="AX85" s="128"/>
      <c r="AZ85" s="128"/>
      <c r="BA85" s="128">
        <f aca="true" t="shared" si="6" ref="BA85:BA96">AZ44</f>
        <v>8.783012701892218</v>
      </c>
    </row>
    <row r="86" spans="42:53" ht="13.5">
      <c r="AP86" s="119">
        <f>AP45+データ!$F$6</f>
        <v>6.3</v>
      </c>
      <c r="AQ86" s="128"/>
      <c r="AR86" s="128"/>
      <c r="AS86" s="128"/>
      <c r="AT86" s="128"/>
      <c r="AV86" s="128">
        <f>IF('T荷重'!$L$17=0,0,'入力'!BA86)</f>
        <v>8.75</v>
      </c>
      <c r="AX86" s="128"/>
      <c r="AZ86" s="128"/>
      <c r="BA86" s="128">
        <f t="shared" si="6"/>
        <v>8.75</v>
      </c>
    </row>
    <row r="87" spans="42:53" ht="13.5">
      <c r="AP87" s="119">
        <f>AP46+データ!$F$6</f>
        <v>6.35</v>
      </c>
      <c r="AQ87" s="128"/>
      <c r="AR87" s="128"/>
      <c r="AS87" s="128"/>
      <c r="AT87" s="128"/>
      <c r="AV87" s="128">
        <f>IF('T荷重'!$L$17=0,0,'入力'!BA87)</f>
        <v>8.707071421427143</v>
      </c>
      <c r="AX87" s="128"/>
      <c r="AZ87" s="128"/>
      <c r="BA87" s="128">
        <f t="shared" si="6"/>
        <v>8.707071421427143</v>
      </c>
    </row>
    <row r="88" spans="42:53" ht="13.5">
      <c r="AP88" s="119">
        <f>AP47+データ!$F$6</f>
        <v>6.4</v>
      </c>
      <c r="AQ88" s="128"/>
      <c r="AR88" s="128"/>
      <c r="AS88" s="128"/>
      <c r="AT88" s="128"/>
      <c r="AV88" s="128">
        <f>IF('T荷重'!$L$17=0,0,'入力'!BA88)</f>
        <v>8.65</v>
      </c>
      <c r="AX88" s="128"/>
      <c r="AZ88" s="128"/>
      <c r="BA88" s="128">
        <f t="shared" si="6"/>
        <v>8.65</v>
      </c>
    </row>
    <row r="89" spans="42:53" ht="13.5">
      <c r="AP89" s="119">
        <f>AP48+データ!$F$6</f>
        <v>6.45</v>
      </c>
      <c r="AQ89" s="128"/>
      <c r="AR89" s="128"/>
      <c r="AS89" s="128"/>
      <c r="AT89" s="128"/>
      <c r="AV89" s="128">
        <f>IF('T荷重'!$L$17=0,0,'入力'!BA89)</f>
        <v>8.567944947177034</v>
      </c>
      <c r="AX89" s="128"/>
      <c r="AZ89" s="128"/>
      <c r="BA89" s="128">
        <f t="shared" si="6"/>
        <v>8.567944947177034</v>
      </c>
    </row>
    <row r="90" spans="42:53" ht="13.5">
      <c r="AP90" s="119">
        <f>AP49+データ!$F$6</f>
        <v>6.5</v>
      </c>
      <c r="AQ90" s="128"/>
      <c r="AR90" s="128"/>
      <c r="AS90" s="128"/>
      <c r="AT90" s="128"/>
      <c r="AV90" s="128">
        <f>IF('T荷重'!$L$17=0,0,'入力'!BA90)</f>
        <v>8.35</v>
      </c>
      <c r="AX90" s="128"/>
      <c r="AZ90" s="128"/>
      <c r="BA90" s="128">
        <f t="shared" si="6"/>
        <v>8.35</v>
      </c>
    </row>
    <row r="91" spans="42:53" ht="13.5">
      <c r="AP91" s="119">
        <f>AP50+データ!$F$6</f>
        <v>6.45</v>
      </c>
      <c r="AQ91" s="128"/>
      <c r="AR91" s="128"/>
      <c r="AS91" s="128"/>
      <c r="AT91" s="128"/>
      <c r="AV91" s="128">
        <f>IF('T荷重'!$L$17=0,0,'入力'!BA91)</f>
        <v>8.132055052822965</v>
      </c>
      <c r="AX91" s="128"/>
      <c r="AZ91" s="128"/>
      <c r="BA91" s="128">
        <f t="shared" si="6"/>
        <v>8.132055052822965</v>
      </c>
    </row>
    <row r="92" spans="42:53" ht="13.5">
      <c r="AP92" s="119">
        <f>AP51+データ!$F$6</f>
        <v>6.4</v>
      </c>
      <c r="AQ92" s="128"/>
      <c r="AR92" s="128"/>
      <c r="AS92" s="128"/>
      <c r="AT92" s="128"/>
      <c r="AV92" s="128">
        <f>IF('T荷重'!$L$17=0,0,'入力'!BA92)</f>
        <v>8.049999999999999</v>
      </c>
      <c r="AX92" s="128"/>
      <c r="AZ92" s="128"/>
      <c r="BA92" s="128">
        <f t="shared" si="6"/>
        <v>8.049999999999999</v>
      </c>
    </row>
    <row r="93" spans="42:53" ht="13.5">
      <c r="AP93" s="119">
        <f>AP52+データ!$F$6</f>
        <v>6.35</v>
      </c>
      <c r="AQ93" s="128"/>
      <c r="AR93" s="128"/>
      <c r="AS93" s="128"/>
      <c r="AT93" s="128"/>
      <c r="AV93" s="128">
        <f>IF('T荷重'!$L$17=0,0,'入力'!BA93)</f>
        <v>7.992928578572857</v>
      </c>
      <c r="AX93" s="128"/>
      <c r="AZ93" s="128"/>
      <c r="BA93" s="128">
        <f t="shared" si="6"/>
        <v>7.992928578572857</v>
      </c>
    </row>
    <row r="94" spans="42:53" ht="13.5">
      <c r="AP94" s="119">
        <f>AP53+データ!$F$6</f>
        <v>6.3</v>
      </c>
      <c r="AQ94" s="128"/>
      <c r="AR94" s="128"/>
      <c r="AS94" s="128"/>
      <c r="AT94" s="128"/>
      <c r="AV94" s="128">
        <f>IF('T荷重'!$L$17=0,0,'入力'!BA94)</f>
        <v>7.949999999999999</v>
      </c>
      <c r="AX94" s="128"/>
      <c r="AZ94" s="128"/>
      <c r="BA94" s="128">
        <f t="shared" si="6"/>
        <v>7.949999999999999</v>
      </c>
    </row>
    <row r="95" spans="42:53" ht="13.5">
      <c r="AP95" s="119">
        <f>AP54+データ!$F$6</f>
        <v>6.25</v>
      </c>
      <c r="AQ95" s="128"/>
      <c r="AR95" s="128"/>
      <c r="AS95" s="128"/>
      <c r="AT95" s="128"/>
      <c r="AV95" s="128">
        <f>IF('T荷重'!$L$17=0,0,'入力'!BA95)</f>
        <v>7.91698729810778</v>
      </c>
      <c r="AX95" s="128"/>
      <c r="AZ95" s="128"/>
      <c r="BA95" s="128">
        <f t="shared" si="6"/>
        <v>7.91698729810778</v>
      </c>
    </row>
    <row r="96" spans="42:53" ht="13.5">
      <c r="AP96" s="119">
        <f>AP55+データ!$F$6</f>
        <v>6.2</v>
      </c>
      <c r="AQ96" s="128"/>
      <c r="AR96" s="128"/>
      <c r="AS96" s="128"/>
      <c r="AT96" s="128"/>
      <c r="AV96" s="128">
        <f>IF('T荷重'!$L$17=0,0,'入力'!BA96)</f>
        <v>7.891742430504416</v>
      </c>
      <c r="AX96" s="128"/>
      <c r="AZ96" s="128"/>
      <c r="BA96" s="128">
        <f t="shared" si="6"/>
        <v>7.891742430504416</v>
      </c>
    </row>
    <row r="97" spans="42:53" ht="13.5">
      <c r="AP97" s="119">
        <f>AP56+データ!$F$6</f>
        <v>6.15</v>
      </c>
      <c r="AQ97" s="128"/>
      <c r="AR97" s="128"/>
      <c r="AS97" s="128"/>
      <c r="AT97" s="128"/>
      <c r="AV97" s="128">
        <f>IF('T荷重'!$L$17=0,0,'入力'!BA97)</f>
        <v>7.873030399291527</v>
      </c>
      <c r="AX97" s="128"/>
      <c r="AZ97" s="128"/>
      <c r="BA97" s="128">
        <f t="shared" si="5"/>
        <v>7.873030399291527</v>
      </c>
    </row>
    <row r="98" spans="42:53" ht="13.5">
      <c r="AP98" s="119">
        <f>AP57+データ!$F$6</f>
        <v>6.1</v>
      </c>
      <c r="AQ98" s="128"/>
      <c r="AR98" s="128"/>
      <c r="AS98" s="128"/>
      <c r="AT98" s="128"/>
      <c r="AV98" s="128">
        <f>IF('T荷重'!$L$17=0,0,'入力'!BA98)</f>
        <v>7.860102051443364</v>
      </c>
      <c r="AX98" s="128"/>
      <c r="AZ98" s="128"/>
      <c r="BA98" s="128">
        <f t="shared" si="5"/>
        <v>7.860102051443364</v>
      </c>
    </row>
    <row r="99" spans="42:53" ht="13.5">
      <c r="AP99" s="119">
        <f>AO58+データ!$F$6</f>
        <v>6.05</v>
      </c>
      <c r="AQ99" s="128"/>
      <c r="AR99" s="128"/>
      <c r="AS99" s="128"/>
      <c r="AT99" s="128"/>
      <c r="AV99" s="128">
        <f>IF('T荷重'!$L$17=0,0,'入力'!BA99)</f>
        <v>7.85250628144669</v>
      </c>
      <c r="AX99" s="128"/>
      <c r="AZ99" s="128"/>
      <c r="BA99" s="128">
        <f aca="true" t="shared" si="7" ref="BA99:BA105">AY58</f>
        <v>7.85250628144669</v>
      </c>
    </row>
    <row r="100" spans="42:53" ht="13.5">
      <c r="AP100" s="119">
        <f>AO59+データ!$F$6</f>
        <v>6</v>
      </c>
      <c r="AQ100" s="128"/>
      <c r="AR100" s="128"/>
      <c r="AS100" s="128"/>
      <c r="AT100" s="128"/>
      <c r="AV100" s="128">
        <f>IF('T荷重'!$L$17=0,0,'入力'!BA100)</f>
        <v>7.85</v>
      </c>
      <c r="AX100" s="128"/>
      <c r="AZ100" s="128"/>
      <c r="BA100" s="128">
        <f t="shared" si="7"/>
        <v>7.85</v>
      </c>
    </row>
    <row r="101" spans="42:53" ht="13.5">
      <c r="AP101" s="119">
        <f>AO60+データ!$F$6</f>
        <v>5.95</v>
      </c>
      <c r="AQ101" s="128"/>
      <c r="AR101" s="128"/>
      <c r="AS101" s="128"/>
      <c r="AT101" s="128"/>
      <c r="AV101" s="128">
        <f>IF('T荷重'!$L$17=0,0,'入力'!BA101)</f>
        <v>7.85250628144669</v>
      </c>
      <c r="AX101" s="128"/>
      <c r="AZ101" s="128"/>
      <c r="BA101" s="128">
        <f t="shared" si="7"/>
        <v>7.85250628144669</v>
      </c>
    </row>
    <row r="102" spans="42:53" ht="13.5">
      <c r="AP102" s="119">
        <f>AO61+データ!$F$6</f>
        <v>5.9</v>
      </c>
      <c r="AQ102" s="128"/>
      <c r="AR102" s="128"/>
      <c r="AS102" s="128"/>
      <c r="AT102" s="128"/>
      <c r="AV102" s="128">
        <f>IF('T荷重'!$L$17=0,0,'入力'!BA102)</f>
        <v>7.860102051443364</v>
      </c>
      <c r="AX102" s="128"/>
      <c r="AZ102" s="128"/>
      <c r="BA102" s="128">
        <f t="shared" si="7"/>
        <v>7.860102051443364</v>
      </c>
    </row>
    <row r="103" spans="42:53" ht="13.5">
      <c r="AP103" s="119">
        <f>AO62+データ!$F$6</f>
        <v>5.85</v>
      </c>
      <c r="AQ103" s="128"/>
      <c r="AR103" s="128"/>
      <c r="AS103" s="128"/>
      <c r="AT103" s="128"/>
      <c r="AV103" s="128">
        <f>IF('T荷重'!$L$17=0,0,'入力'!BA103)</f>
        <v>7.873030399291527</v>
      </c>
      <c r="AX103" s="128"/>
      <c r="AZ103" s="128"/>
      <c r="BA103" s="128">
        <f t="shared" si="7"/>
        <v>7.873030399291527</v>
      </c>
    </row>
    <row r="104" spans="42:53" ht="13.5">
      <c r="AP104" s="119">
        <f>AO63+データ!$F$6</f>
        <v>5.8</v>
      </c>
      <c r="AQ104" s="128"/>
      <c r="AR104" s="128"/>
      <c r="AS104" s="128"/>
      <c r="AT104" s="128"/>
      <c r="AV104" s="128">
        <f>IF('T荷重'!$L$17=0,0,'入力'!BA104)</f>
        <v>7.891742430504416</v>
      </c>
      <c r="AX104" s="128"/>
      <c r="AZ104" s="128"/>
      <c r="BA104" s="128">
        <f t="shared" si="7"/>
        <v>7.891742430504416</v>
      </c>
    </row>
    <row r="105" spans="42:53" ht="13.5">
      <c r="AP105" s="119">
        <f>AO64+データ!$F$6</f>
        <v>5.75</v>
      </c>
      <c r="AQ105" s="128"/>
      <c r="AR105" s="128"/>
      <c r="AS105" s="128"/>
      <c r="AT105" s="128"/>
      <c r="AV105" s="128">
        <f>IF('T荷重'!$L$17=0,0,'入力'!BA105)</f>
        <v>7.91698729810778</v>
      </c>
      <c r="AX105" s="128"/>
      <c r="AZ105" s="128"/>
      <c r="BA105" s="128">
        <f t="shared" si="7"/>
        <v>7.91698729810778</v>
      </c>
    </row>
    <row r="106" spans="42:53" ht="13.5">
      <c r="AP106" s="119">
        <f>AP65+データ!$F$6</f>
        <v>5.7</v>
      </c>
      <c r="AQ106" s="128"/>
      <c r="AR106" s="128"/>
      <c r="AS106" s="128"/>
      <c r="AT106" s="128"/>
      <c r="AV106" s="128">
        <f>IF('T荷重'!$L$17=0,0,'入力'!BA106)</f>
        <v>7.949999999999999</v>
      </c>
      <c r="AX106" s="128"/>
      <c r="AZ106" s="128"/>
      <c r="BA106" s="128">
        <f t="shared" si="5"/>
        <v>7.949999999999999</v>
      </c>
    </row>
    <row r="107" spans="42:53" ht="13.5">
      <c r="AP107" s="119">
        <f>AP66+データ!$F$6</f>
        <v>5.65</v>
      </c>
      <c r="AQ107" s="128"/>
      <c r="AR107" s="128"/>
      <c r="AS107" s="128"/>
      <c r="AT107" s="128"/>
      <c r="AV107" s="128">
        <f>IF('T荷重'!$L$17=0,0,'入力'!BA107)</f>
        <v>7.992928578572857</v>
      </c>
      <c r="AX107" s="128"/>
      <c r="AZ107" s="128"/>
      <c r="BA107" s="128">
        <f t="shared" si="5"/>
        <v>7.992928578572857</v>
      </c>
    </row>
    <row r="108" spans="42:53" ht="13.5">
      <c r="AP108" s="119">
        <f>AP67+データ!$F$6</f>
        <v>5.6</v>
      </c>
      <c r="AQ108" s="128"/>
      <c r="AR108" s="128"/>
      <c r="AS108" s="128"/>
      <c r="AT108" s="128"/>
      <c r="AV108" s="128">
        <f>IF('T荷重'!$L$17=0,0,'入力'!BA108)</f>
        <v>8.049999999999999</v>
      </c>
      <c r="AX108" s="128"/>
      <c r="AZ108" s="128"/>
      <c r="BA108" s="128">
        <f t="shared" si="5"/>
        <v>8.049999999999999</v>
      </c>
    </row>
    <row r="109" spans="42:53" ht="13.5">
      <c r="AP109" s="119">
        <f>AP68+データ!$F$6</f>
        <v>5.55</v>
      </c>
      <c r="AQ109" s="128"/>
      <c r="AR109" s="128"/>
      <c r="AS109" s="128"/>
      <c r="AT109" s="128"/>
      <c r="AV109" s="128">
        <f>IF('T荷重'!$L$17=0,0,'入力'!BA109)</f>
        <v>8.132055052822967</v>
      </c>
      <c r="AX109" s="128"/>
      <c r="AZ109" s="128"/>
      <c r="BA109" s="128">
        <f t="shared" si="5"/>
        <v>8.132055052822967</v>
      </c>
    </row>
    <row r="110" spans="42:53" ht="13.5">
      <c r="AP110" s="119">
        <f>AP69+データ!$F$6</f>
        <v>5.5</v>
      </c>
      <c r="AQ110" s="128"/>
      <c r="AR110" s="128"/>
      <c r="AS110" s="128"/>
      <c r="AT110" s="128"/>
      <c r="AV110" s="128">
        <f>IF('T荷重'!$L$17=0,0,'入力'!BA110)</f>
        <v>8.349999992549419</v>
      </c>
      <c r="AX110" s="128"/>
      <c r="AZ110" s="128"/>
      <c r="BA110" s="128">
        <f t="shared" si="5"/>
        <v>8.349999992549419</v>
      </c>
    </row>
    <row r="111" spans="42:53" ht="13.5">
      <c r="AP111" s="119">
        <f>AP11</f>
        <v>-1.5</v>
      </c>
      <c r="AQ111" s="128"/>
      <c r="AR111" s="128"/>
      <c r="AS111" s="128"/>
      <c r="AT111" s="128"/>
      <c r="AW111" s="128">
        <f>IF(E25=0,0,MIN(0.5*(AQ9+AQ13),MAX((E25/AU6+AQ9),AQ11)))</f>
        <v>0</v>
      </c>
      <c r="AX111" s="128"/>
      <c r="AZ111" s="128"/>
      <c r="BA111" s="128"/>
    </row>
    <row r="112" spans="42:53" ht="13.5">
      <c r="AP112" s="119">
        <f>AP15</f>
        <v>1.5</v>
      </c>
      <c r="AQ112" s="128"/>
      <c r="AR112" s="128"/>
      <c r="AS112" s="128"/>
      <c r="AT112" s="128"/>
      <c r="AW112" s="128">
        <f>AW111</f>
        <v>0</v>
      </c>
      <c r="AX112" s="128"/>
      <c r="AZ112" s="128"/>
      <c r="BA112" s="128"/>
    </row>
    <row r="113" spans="43:50" ht="13.5">
      <c r="AQ113" s="128"/>
      <c r="AR113" s="128"/>
      <c r="AS113" s="128"/>
      <c r="AT113" s="128"/>
      <c r="AU113" s="128"/>
      <c r="AV113" s="128"/>
      <c r="AW113" s="128"/>
      <c r="AX113" s="128"/>
    </row>
  </sheetData>
  <sheetProtection sheet="1"/>
  <mergeCells count="10">
    <mergeCell ref="M46:N46"/>
    <mergeCell ref="G46:H47"/>
    <mergeCell ref="G56:H56"/>
    <mergeCell ref="O48:O50"/>
    <mergeCell ref="O51:O52"/>
    <mergeCell ref="O53:O54"/>
    <mergeCell ref="G55:H55"/>
    <mergeCell ref="G48:G50"/>
    <mergeCell ref="G51:G52"/>
    <mergeCell ref="G53:G54"/>
  </mergeCells>
  <conditionalFormatting sqref="K48:K54">
    <cfRule type="cellIs" priority="1" dxfId="7" operator="greaterThan" stopIfTrue="1">
      <formula>$K$55</formula>
    </cfRule>
  </conditionalFormatting>
  <conditionalFormatting sqref="L48:L54">
    <cfRule type="cellIs" priority="2" dxfId="7" operator="greaterThan" stopIfTrue="1">
      <formula>$L$55</formula>
    </cfRule>
  </conditionalFormatting>
  <conditionalFormatting sqref="M48:M54">
    <cfRule type="cellIs" priority="3" dxfId="7" operator="greaterThan" stopIfTrue="1">
      <formula>$M$55</formula>
    </cfRule>
  </conditionalFormatting>
  <conditionalFormatting sqref="N48:N54">
    <cfRule type="cellIs" priority="4" dxfId="7" operator="greaterThan" stopIfTrue="1">
      <formula>$N$55</formula>
    </cfRule>
  </conditionalFormatting>
  <conditionalFormatting sqref="O53:O54">
    <cfRule type="cellIs" priority="5" dxfId="7" operator="greaterThan" stopIfTrue="1">
      <formula>$O$55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1013"/>
  <sheetViews>
    <sheetView zoomScale="75" zoomScaleNormal="75" zoomScalePageLayoutView="0" workbookViewId="0" topLeftCell="A1">
      <selection activeCell="F18" sqref="F18"/>
    </sheetView>
  </sheetViews>
  <sheetFormatPr defaultColWidth="8.796875" defaultRowHeight="14.25"/>
  <cols>
    <col min="1" max="5" width="8.8984375" style="176" customWidth="1"/>
    <col min="6" max="6" width="9.3984375" style="176" bestFit="1" customWidth="1"/>
    <col min="7" max="7" width="9.09765625" style="176" bestFit="1" customWidth="1"/>
    <col min="8" max="8" width="9.3984375" style="176" bestFit="1" customWidth="1"/>
    <col min="9" max="9" width="10.8984375" style="176" bestFit="1" customWidth="1"/>
    <col min="10" max="14" width="8.8984375" style="176" customWidth="1"/>
    <col min="15" max="15" width="9.8984375" style="176" bestFit="1" customWidth="1"/>
    <col min="16" max="16" width="9.3984375" style="176" bestFit="1" customWidth="1"/>
    <col min="17" max="66" width="8.8984375" style="176" customWidth="1"/>
    <col min="67" max="67" width="12.296875" style="176" bestFit="1" customWidth="1"/>
    <col min="68" max="70" width="8.8984375" style="176" customWidth="1"/>
    <col min="71" max="71" width="12.296875" style="176" bestFit="1" customWidth="1"/>
    <col min="72" max="16384" width="8.8984375" style="176" customWidth="1"/>
  </cols>
  <sheetData>
    <row r="1" s="174" customFormat="1" ht="12.75">
      <c r="A1" s="174" t="s">
        <v>172</v>
      </c>
    </row>
    <row r="3" spans="1:13" s="174" customFormat="1" ht="12.75">
      <c r="A3" s="174" t="s">
        <v>628</v>
      </c>
      <c r="K3" s="262" t="s">
        <v>868</v>
      </c>
      <c r="L3" s="199">
        <f>'入力'!E3</f>
        <v>3</v>
      </c>
      <c r="M3" s="176" t="s">
        <v>882</v>
      </c>
    </row>
    <row r="4" spans="1:13" ht="12.75">
      <c r="A4" s="174"/>
      <c r="B4" s="174" t="s">
        <v>629</v>
      </c>
      <c r="C4" s="174" t="s">
        <v>18</v>
      </c>
      <c r="D4" s="176" t="str">
        <f>K3&amp;L3&amp;M3</f>
        <v>B=3(m)</v>
      </c>
      <c r="K4" s="262" t="s">
        <v>869</v>
      </c>
      <c r="L4" s="199">
        <f>'入力'!E4</f>
        <v>3</v>
      </c>
      <c r="M4" s="176" t="s">
        <v>882</v>
      </c>
    </row>
    <row r="5" spans="3:13" ht="15">
      <c r="C5" s="176" t="s">
        <v>19</v>
      </c>
      <c r="D5" s="176" t="str">
        <f aca="true" t="shared" si="0" ref="D5:D14">K4&amp;L4&amp;M4</f>
        <v>H=3(m)</v>
      </c>
      <c r="K5" s="262" t="s">
        <v>870</v>
      </c>
      <c r="L5" s="199">
        <f>'入力'!E5</f>
        <v>0.35</v>
      </c>
      <c r="M5" s="176" t="s">
        <v>882</v>
      </c>
    </row>
    <row r="6" spans="2:13" ht="15">
      <c r="B6" s="176" t="s">
        <v>20</v>
      </c>
      <c r="C6" s="176" t="s">
        <v>21</v>
      </c>
      <c r="D6" s="176" t="str">
        <f t="shared" si="0"/>
        <v>t1=0.35(m)</v>
      </c>
      <c r="K6" s="262" t="s">
        <v>871</v>
      </c>
      <c r="L6" s="199">
        <f>'入力'!E6</f>
        <v>0.4</v>
      </c>
      <c r="M6" s="176" t="s">
        <v>882</v>
      </c>
    </row>
    <row r="7" spans="3:13" ht="15">
      <c r="C7" s="176" t="s">
        <v>22</v>
      </c>
      <c r="D7" s="176" t="str">
        <f t="shared" si="0"/>
        <v>t2=0.4(m)</v>
      </c>
      <c r="K7" s="262" t="s">
        <v>872</v>
      </c>
      <c r="L7" s="199">
        <f>'入力'!E7</f>
        <v>0.45</v>
      </c>
      <c r="M7" s="176" t="s">
        <v>882</v>
      </c>
    </row>
    <row r="8" spans="3:13" ht="15">
      <c r="C8" s="176" t="s">
        <v>23</v>
      </c>
      <c r="D8" s="176" t="str">
        <f t="shared" si="0"/>
        <v>t3=0.45(m)</v>
      </c>
      <c r="K8" s="263" t="s">
        <v>873</v>
      </c>
      <c r="L8" s="199">
        <f>'入力'!E8</f>
        <v>0.2</v>
      </c>
      <c r="M8" s="176" t="s">
        <v>882</v>
      </c>
    </row>
    <row r="9" spans="2:13" ht="15">
      <c r="B9" s="176" t="s">
        <v>121</v>
      </c>
      <c r="C9" s="176" t="s">
        <v>22</v>
      </c>
      <c r="D9" s="176" t="str">
        <f t="shared" si="0"/>
        <v>高さhho=0.2(m)</v>
      </c>
      <c r="K9" s="263" t="s">
        <v>874</v>
      </c>
      <c r="L9" s="199">
        <f>'入力'!E9</f>
        <v>0.2</v>
      </c>
      <c r="M9" s="176" t="s">
        <v>882</v>
      </c>
    </row>
    <row r="10" spans="4:13" ht="15">
      <c r="D10" s="176" t="str">
        <f t="shared" si="0"/>
        <v>幅　hbo=0.2(m)</v>
      </c>
      <c r="K10" s="263" t="s">
        <v>875</v>
      </c>
      <c r="L10" s="199">
        <f>'入力'!E10</f>
        <v>0.2</v>
      </c>
      <c r="M10" s="176" t="s">
        <v>882</v>
      </c>
    </row>
    <row r="11" spans="3:13" ht="15">
      <c r="C11" s="176" t="s">
        <v>124</v>
      </c>
      <c r="D11" s="176" t="str">
        <f t="shared" si="0"/>
        <v>高さhhu=0.2(m)</v>
      </c>
      <c r="K11" s="263" t="s">
        <v>876</v>
      </c>
      <c r="L11" s="199">
        <f>'入力'!E11</f>
        <v>0.2</v>
      </c>
      <c r="M11" s="176" t="s">
        <v>882</v>
      </c>
    </row>
    <row r="12" spans="11:13" ht="12.75">
      <c r="K12" s="262" t="s">
        <v>11</v>
      </c>
      <c r="L12" s="199">
        <f>'入力'!E12</f>
        <v>4</v>
      </c>
      <c r="M12" s="176" t="s">
        <v>882</v>
      </c>
    </row>
    <row r="13" spans="2:13" ht="15">
      <c r="B13" s="176" t="s">
        <v>630</v>
      </c>
      <c r="D13" s="176" t="str">
        <f t="shared" si="0"/>
        <v>h=4(m)</v>
      </c>
      <c r="K13" s="262" t="s">
        <v>877</v>
      </c>
      <c r="L13" s="199">
        <f>'入力'!E13</f>
        <v>0.2</v>
      </c>
      <c r="M13" s="176" t="s">
        <v>882</v>
      </c>
    </row>
    <row r="14" spans="2:12" ht="12.75">
      <c r="B14" s="176" t="s">
        <v>25</v>
      </c>
      <c r="D14" s="176" t="str">
        <f t="shared" si="0"/>
        <v>tp=0.2(m)</v>
      </c>
      <c r="K14" s="262"/>
      <c r="L14" s="199"/>
    </row>
    <row r="15" spans="11:12" ht="12.75">
      <c r="K15" s="262"/>
      <c r="L15" s="205"/>
    </row>
    <row r="16" spans="1:13" ht="15">
      <c r="A16" s="176" t="s">
        <v>26</v>
      </c>
      <c r="K16" s="262" t="s">
        <v>878</v>
      </c>
      <c r="L16" s="205">
        <f>データ!D6</f>
        <v>100</v>
      </c>
      <c r="M16" s="176" t="s">
        <v>883</v>
      </c>
    </row>
    <row r="17" spans="2:13" ht="15">
      <c r="B17" s="176" t="s">
        <v>175</v>
      </c>
      <c r="C17" s="177" t="s">
        <v>631</v>
      </c>
      <c r="D17" s="176" t="str">
        <f aca="true" t="shared" si="1" ref="D17:D23">K16&amp;L16&amp;M16</f>
        <v>T1=100(kN)</v>
      </c>
      <c r="K17" s="262" t="s">
        <v>879</v>
      </c>
      <c r="L17" s="205">
        <f>データ!E6</f>
        <v>25</v>
      </c>
      <c r="M17" s="176" t="s">
        <v>883</v>
      </c>
    </row>
    <row r="18" spans="3:13" ht="12.75">
      <c r="C18" s="177" t="s">
        <v>632</v>
      </c>
      <c r="D18" s="176" t="str">
        <f t="shared" si="1"/>
        <v>T2=25(kN)</v>
      </c>
      <c r="K18" s="262" t="s">
        <v>880</v>
      </c>
      <c r="L18" s="205">
        <f>データ!F6</f>
        <v>6</v>
      </c>
      <c r="M18" s="176" t="s">
        <v>882</v>
      </c>
    </row>
    <row r="19" spans="3:13" ht="15">
      <c r="C19" s="177" t="s">
        <v>633</v>
      </c>
      <c r="D19" s="176" t="str">
        <f t="shared" si="1"/>
        <v>λ=6(m)</v>
      </c>
      <c r="K19" s="262" t="s">
        <v>881</v>
      </c>
      <c r="L19" s="205">
        <f>データ!J6</f>
        <v>10</v>
      </c>
      <c r="M19" s="114" t="s">
        <v>884</v>
      </c>
    </row>
    <row r="20" spans="3:12" ht="12.75">
      <c r="C20" s="177" t="s">
        <v>133</v>
      </c>
      <c r="D20" s="176" t="str">
        <f t="shared" si="1"/>
        <v>ps=10(kN/m2)</v>
      </c>
      <c r="K20" s="262" t="s">
        <v>46</v>
      </c>
      <c r="L20" s="205">
        <f>データ!G6</f>
        <v>0</v>
      </c>
    </row>
    <row r="21" spans="3:13" ht="12.75">
      <c r="C21" s="177" t="s">
        <v>136</v>
      </c>
      <c r="D21" s="176" t="str">
        <f t="shared" si="1"/>
        <v>I=0</v>
      </c>
      <c r="K21" s="262" t="s">
        <v>14</v>
      </c>
      <c r="L21" s="205">
        <f>データ!H6</f>
        <v>0.2</v>
      </c>
      <c r="M21" s="176" t="s">
        <v>882</v>
      </c>
    </row>
    <row r="22" spans="2:13" ht="12.75">
      <c r="B22" s="176" t="s">
        <v>31</v>
      </c>
      <c r="C22" s="177" t="s">
        <v>634</v>
      </c>
      <c r="D22" s="176" t="str">
        <f t="shared" si="1"/>
        <v>a=0.2(m)</v>
      </c>
      <c r="K22" s="262" t="s">
        <v>15</v>
      </c>
      <c r="L22" s="205">
        <f>データ!I6</f>
        <v>2.75</v>
      </c>
      <c r="M22" s="176" t="s">
        <v>882</v>
      </c>
    </row>
    <row r="23" spans="3:4" ht="12.75">
      <c r="C23" s="177" t="s">
        <v>33</v>
      </c>
      <c r="D23" s="176" t="str">
        <f t="shared" si="1"/>
        <v>b=2.75(m)</v>
      </c>
    </row>
    <row r="24" ht="12.7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spans="3:4" ht="14.25">
      <c r="C44" s="176" t="s">
        <v>178</v>
      </c>
      <c r="D44" s="10"/>
    </row>
    <row r="45" ht="14.25">
      <c r="D45" s="10"/>
    </row>
    <row r="46" spans="1:4" ht="14.25">
      <c r="A46" s="176" t="s">
        <v>179</v>
      </c>
      <c r="D46" s="10"/>
    </row>
    <row r="47" spans="3:13" ht="15">
      <c r="C47" s="176" t="s">
        <v>34</v>
      </c>
      <c r="D47" s="176" t="str">
        <f>K47&amp;L47&amp;M47</f>
        <v>pin=0(kN/m2)</v>
      </c>
      <c r="K47" s="10" t="s">
        <v>635</v>
      </c>
      <c r="L47" s="176">
        <f>'入力'!E25</f>
        <v>0</v>
      </c>
      <c r="M47" s="114" t="s">
        <v>884</v>
      </c>
    </row>
    <row r="48" ht="12.75">
      <c r="K48" s="10"/>
    </row>
    <row r="49" spans="1:11" ht="12.75">
      <c r="A49" s="176" t="s">
        <v>637</v>
      </c>
      <c r="K49" s="10"/>
    </row>
    <row r="50" spans="2:13" ht="15">
      <c r="B50" s="176" t="s">
        <v>35</v>
      </c>
      <c r="D50" s="176" t="str">
        <f>K50&amp;L50&amp;M50</f>
        <v>γc=24.5(kN/m3)</v>
      </c>
      <c r="K50" s="10" t="s">
        <v>638</v>
      </c>
      <c r="L50" s="176">
        <f>'入力'!E27</f>
        <v>24.5</v>
      </c>
      <c r="M50" s="114" t="s">
        <v>885</v>
      </c>
    </row>
    <row r="51" spans="2:13" ht="15">
      <c r="B51" s="176" t="s">
        <v>36</v>
      </c>
      <c r="D51" s="176" t="str">
        <f>K51&amp;L51&amp;M51</f>
        <v>γ=18(kN/m3)</v>
      </c>
      <c r="K51" s="10" t="s">
        <v>639</v>
      </c>
      <c r="L51" s="176">
        <f>'入力'!E28</f>
        <v>18</v>
      </c>
      <c r="M51" s="114" t="s">
        <v>885</v>
      </c>
    </row>
    <row r="52" spans="2:13" ht="15">
      <c r="B52" s="176" t="s">
        <v>37</v>
      </c>
      <c r="D52" s="176" t="str">
        <f>K52&amp;L52&amp;M52</f>
        <v>γp=22.5(kN/m3)</v>
      </c>
      <c r="K52" s="10" t="s">
        <v>640</v>
      </c>
      <c r="L52" s="176">
        <f>'入力'!E29</f>
        <v>22.5</v>
      </c>
      <c r="M52" s="114" t="s">
        <v>885</v>
      </c>
    </row>
    <row r="53" ht="12.75">
      <c r="K53" s="10"/>
    </row>
    <row r="54" spans="1:12" ht="15">
      <c r="A54" s="176" t="s">
        <v>641</v>
      </c>
      <c r="D54" s="176" t="str">
        <f>K54&amp;L54&amp;M54</f>
        <v>k0=0.5</v>
      </c>
      <c r="K54" s="10" t="s">
        <v>642</v>
      </c>
      <c r="L54" s="176">
        <f>'入力'!E23</f>
        <v>0.5</v>
      </c>
    </row>
    <row r="55" ht="12.75">
      <c r="D55" s="10"/>
    </row>
    <row r="56" ht="12.75">
      <c r="A56" s="176" t="s">
        <v>270</v>
      </c>
    </row>
    <row r="57" ht="12.75">
      <c r="B57" s="176" t="s">
        <v>147</v>
      </c>
    </row>
    <row r="58" spans="3:13" ht="15">
      <c r="C58" s="176" t="s">
        <v>181</v>
      </c>
      <c r="F58" s="176" t="str">
        <f>K58&amp;L58&amp;M58</f>
        <v>σck=24(N/mm2)</v>
      </c>
      <c r="K58" s="10" t="s">
        <v>643</v>
      </c>
      <c r="L58" s="176">
        <f>'入力'!E31</f>
        <v>24</v>
      </c>
      <c r="M58" s="114" t="s">
        <v>886</v>
      </c>
    </row>
    <row r="59" spans="3:13" ht="15">
      <c r="C59" s="176" t="s">
        <v>183</v>
      </c>
      <c r="F59" s="176" t="str">
        <f>K59&amp;L59&amp;M59</f>
        <v>σca=8(N/mm2)</v>
      </c>
      <c r="K59" s="10" t="s">
        <v>644</v>
      </c>
      <c r="L59" s="176">
        <f>L58/3</f>
        <v>8</v>
      </c>
      <c r="M59" s="114" t="s">
        <v>886</v>
      </c>
    </row>
    <row r="60" spans="3:13" ht="15">
      <c r="C60" s="178" t="s">
        <v>151</v>
      </c>
      <c r="F60" s="176" t="str">
        <f>K60&amp;L60&amp;M60</f>
        <v>τca=0.39(N/mm2)</v>
      </c>
      <c r="K60" s="10" t="s">
        <v>646</v>
      </c>
      <c r="L60" s="176">
        <f>0.15+L58/100</f>
        <v>0.39</v>
      </c>
      <c r="M60" s="114" t="s">
        <v>886</v>
      </c>
    </row>
    <row r="61" spans="2:4" ht="12.75">
      <c r="B61" s="176" t="s">
        <v>186</v>
      </c>
      <c r="D61" s="178"/>
    </row>
    <row r="62" spans="3:6" ht="12.75">
      <c r="C62" s="176" t="s">
        <v>187</v>
      </c>
      <c r="E62" s="10"/>
      <c r="F62" s="176" t="str">
        <f>データ!C12</f>
        <v>SD295A</v>
      </c>
    </row>
    <row r="63" spans="3:13" ht="15">
      <c r="C63" s="176" t="s">
        <v>188</v>
      </c>
      <c r="F63" s="176" t="str">
        <f>K63&amp;L63&amp;M63</f>
        <v>σsa=160N/mm2</v>
      </c>
      <c r="K63" s="10" t="s">
        <v>647</v>
      </c>
      <c r="L63" s="176">
        <v>160</v>
      </c>
      <c r="M63" s="176" t="s">
        <v>645</v>
      </c>
    </row>
    <row r="64" ht="12.75">
      <c r="D64" s="10"/>
    </row>
    <row r="65" spans="1:4" ht="12.75">
      <c r="A65" s="176" t="s">
        <v>276</v>
      </c>
      <c r="D65" s="10"/>
    </row>
    <row r="66" spans="2:13" ht="15">
      <c r="B66" s="176" t="s">
        <v>190</v>
      </c>
      <c r="D66" s="176" t="str">
        <f>K66&amp;L66&amp;M66</f>
        <v>qa=200kN/m2</v>
      </c>
      <c r="K66" s="10" t="s">
        <v>648</v>
      </c>
      <c r="L66" s="176">
        <f>データ!E34</f>
        <v>200</v>
      </c>
      <c r="M66" s="176" t="s">
        <v>649</v>
      </c>
    </row>
    <row r="67" ht="12.75">
      <c r="D67" s="10"/>
    </row>
    <row r="68" ht="12.75">
      <c r="D68" s="10"/>
    </row>
    <row r="69" ht="12.75">
      <c r="A69" s="176" t="s">
        <v>277</v>
      </c>
    </row>
    <row r="70" spans="2:7" ht="12.75">
      <c r="B70" s="316"/>
      <c r="C70" s="317"/>
      <c r="D70" s="179" t="s">
        <v>278</v>
      </c>
      <c r="E70" s="179" t="s">
        <v>650</v>
      </c>
      <c r="F70" s="172" t="s">
        <v>61</v>
      </c>
      <c r="G70" s="180" t="s">
        <v>279</v>
      </c>
    </row>
    <row r="71" spans="2:7" ht="12.75">
      <c r="B71" s="318"/>
      <c r="C71" s="319"/>
      <c r="D71" s="181" t="s">
        <v>651</v>
      </c>
      <c r="E71" s="182" t="s">
        <v>281</v>
      </c>
      <c r="F71" s="181" t="s">
        <v>652</v>
      </c>
      <c r="G71" s="181" t="s">
        <v>653</v>
      </c>
    </row>
    <row r="72" spans="2:7" ht="12.75">
      <c r="B72" s="307" t="s">
        <v>284</v>
      </c>
      <c r="C72" s="179" t="s">
        <v>654</v>
      </c>
      <c r="D72" s="179" t="str">
        <f>F699</f>
        <v>D22</v>
      </c>
      <c r="E72" s="179" t="str">
        <f>G699</f>
        <v>@250</v>
      </c>
      <c r="F72" s="179">
        <f>データ!D19</f>
        <v>100</v>
      </c>
      <c r="G72" s="179">
        <f>$L$5*1000-F72</f>
        <v>250</v>
      </c>
    </row>
    <row r="73" spans="2:7" ht="12.75">
      <c r="B73" s="321"/>
      <c r="C73" s="183" t="s">
        <v>285</v>
      </c>
      <c r="D73" s="183" t="str">
        <f aca="true" t="shared" si="2" ref="D73:D78">F700</f>
        <v>D13</v>
      </c>
      <c r="E73" s="183" t="str">
        <f aca="true" t="shared" si="3" ref="E73:E78">G700</f>
        <v>@250</v>
      </c>
      <c r="F73" s="183">
        <f>データ!E19</f>
        <v>100</v>
      </c>
      <c r="G73" s="183">
        <f>$L$5*1000-F73</f>
        <v>250</v>
      </c>
    </row>
    <row r="74" spans="2:7" ht="12.75">
      <c r="B74" s="308"/>
      <c r="C74" s="182" t="s">
        <v>655</v>
      </c>
      <c r="D74" s="182" t="str">
        <f t="shared" si="2"/>
        <v>D22</v>
      </c>
      <c r="E74" s="182" t="str">
        <f t="shared" si="3"/>
        <v>@250</v>
      </c>
      <c r="F74" s="182">
        <f>データ!F19</f>
        <v>100</v>
      </c>
      <c r="G74" s="183">
        <f>$L$5*1000-F74</f>
        <v>250</v>
      </c>
    </row>
    <row r="75" spans="2:7" ht="12.75">
      <c r="B75" s="307" t="s">
        <v>656</v>
      </c>
      <c r="C75" s="179" t="s">
        <v>657</v>
      </c>
      <c r="D75" s="179" t="str">
        <f t="shared" si="2"/>
        <v>D22</v>
      </c>
      <c r="E75" s="179" t="str">
        <f t="shared" si="3"/>
        <v>@250</v>
      </c>
      <c r="F75" s="179">
        <f>データ!G19</f>
        <v>100</v>
      </c>
      <c r="G75" s="179">
        <f>$L$6*1000-F75</f>
        <v>300</v>
      </c>
    </row>
    <row r="76" spans="2:7" ht="12.75">
      <c r="B76" s="308"/>
      <c r="C76" s="182" t="s">
        <v>286</v>
      </c>
      <c r="D76" s="182" t="str">
        <f t="shared" si="2"/>
        <v>D25</v>
      </c>
      <c r="E76" s="182" t="str">
        <f t="shared" si="3"/>
        <v>@250</v>
      </c>
      <c r="F76" s="182">
        <f>データ!H19</f>
        <v>100</v>
      </c>
      <c r="G76" s="182">
        <f>$L$6*1000-F76</f>
        <v>300</v>
      </c>
    </row>
    <row r="77" spans="2:7" ht="12.75">
      <c r="B77" s="307" t="s">
        <v>10</v>
      </c>
      <c r="C77" s="179" t="s">
        <v>287</v>
      </c>
      <c r="D77" s="179" t="str">
        <f t="shared" si="2"/>
        <v>D25</v>
      </c>
      <c r="E77" s="179" t="str">
        <f t="shared" si="3"/>
        <v>@250</v>
      </c>
      <c r="F77" s="179">
        <f>データ!I19</f>
        <v>100</v>
      </c>
      <c r="G77" s="179">
        <f>$L$7*1000-F77</f>
        <v>350</v>
      </c>
    </row>
    <row r="78" spans="2:7" ht="12.75">
      <c r="B78" s="308"/>
      <c r="C78" s="182" t="s">
        <v>286</v>
      </c>
      <c r="D78" s="182" t="str">
        <f t="shared" si="2"/>
        <v>D22</v>
      </c>
      <c r="E78" s="182" t="str">
        <f t="shared" si="3"/>
        <v>@250</v>
      </c>
      <c r="F78" s="182">
        <f>データ!J19</f>
        <v>110</v>
      </c>
      <c r="G78" s="182">
        <f>$L$7*1000-F78</f>
        <v>340</v>
      </c>
    </row>
    <row r="80" spans="1:3" ht="12.75">
      <c r="A80" s="176" t="s">
        <v>658</v>
      </c>
      <c r="C80" s="176" t="s">
        <v>659</v>
      </c>
    </row>
    <row r="82" ht="12.75">
      <c r="A82" s="176" t="s">
        <v>660</v>
      </c>
    </row>
    <row r="84" ht="12.75">
      <c r="A84" s="176" t="s">
        <v>191</v>
      </c>
    </row>
    <row r="85" ht="12.75">
      <c r="B85" s="176" t="s">
        <v>661</v>
      </c>
    </row>
    <row r="86" ht="12.75">
      <c r="B86" s="176" t="s">
        <v>193</v>
      </c>
    </row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>
      <c r="B108" s="184" t="s">
        <v>662</v>
      </c>
    </row>
    <row r="109" spans="3:16" ht="15">
      <c r="C109" s="176" t="str">
        <f>K109&amp;L109&amp;M109</f>
        <v>γc=24.5(kN/m3)</v>
      </c>
      <c r="F109" s="176" t="str">
        <f>N109&amp;O109&amp;P109</f>
        <v>B0=3.35(m)</v>
      </c>
      <c r="K109" s="10" t="s">
        <v>663</v>
      </c>
      <c r="L109" s="176">
        <f>'入力'!E27</f>
        <v>24.5</v>
      </c>
      <c r="M109" s="114" t="s">
        <v>885</v>
      </c>
      <c r="N109" s="10" t="s">
        <v>664</v>
      </c>
      <c r="O109" s="185">
        <f>L3+L5</f>
        <v>3.35</v>
      </c>
      <c r="P109" s="176" t="s">
        <v>882</v>
      </c>
    </row>
    <row r="110" spans="3:16" ht="15">
      <c r="C110" s="176" t="str">
        <f>K110&amp;L110&amp;M110</f>
        <v>t1=0.35(m)</v>
      </c>
      <c r="F110" s="176" t="str">
        <f>N110&amp;O110&amp;P110</f>
        <v>t2=0.4(m)</v>
      </c>
      <c r="K110" s="10" t="s">
        <v>665</v>
      </c>
      <c r="L110" s="186">
        <f>'入力'!E5</f>
        <v>0.35</v>
      </c>
      <c r="M110" s="176" t="s">
        <v>882</v>
      </c>
      <c r="N110" s="10" t="s">
        <v>666</v>
      </c>
      <c r="O110" s="186">
        <f>'入力'!E6</f>
        <v>0.4</v>
      </c>
      <c r="P110" s="176" t="s">
        <v>882</v>
      </c>
    </row>
    <row r="111" spans="3:16" ht="15">
      <c r="C111" s="176" t="str">
        <f>K111&amp;L111&amp;M111</f>
        <v>hho=0.2(m)</v>
      </c>
      <c r="F111" s="176" t="str">
        <f>N111&amp;O111&amp;P111</f>
        <v>hbo=0.2(m)</v>
      </c>
      <c r="K111" s="10" t="s">
        <v>667</v>
      </c>
      <c r="L111" s="186">
        <f>'入力'!E8</f>
        <v>0.2</v>
      </c>
      <c r="M111" s="176" t="s">
        <v>882</v>
      </c>
      <c r="N111" s="10" t="s">
        <v>668</v>
      </c>
      <c r="O111" s="186">
        <f>'入力'!E9</f>
        <v>0.2</v>
      </c>
      <c r="P111" s="176" t="s">
        <v>882</v>
      </c>
    </row>
    <row r="112" ht="14.25"/>
    <row r="113" spans="5:12" ht="14.25">
      <c r="E113" s="184"/>
      <c r="F113" s="289" t="str">
        <f>"="&amp;ROUND(K113,2)&amp;L113</f>
        <v>=11.12(kN/m2)</v>
      </c>
      <c r="G113" s="290"/>
      <c r="K113" s="175">
        <f>L109/O109*((O109+L110)*O110+L111*O111)</f>
        <v>11.116417910447764</v>
      </c>
      <c r="L113" s="114" t="s">
        <v>884</v>
      </c>
    </row>
    <row r="114" spans="6:7" ht="14.25">
      <c r="F114" s="291"/>
      <c r="G114" s="290"/>
    </row>
    <row r="115" ht="14.25">
      <c r="B115" s="184" t="s">
        <v>670</v>
      </c>
    </row>
    <row r="116" spans="3:5" ht="12.75">
      <c r="C116" s="264" t="s">
        <v>908</v>
      </c>
      <c r="D116" s="175">
        <f>'入力'!E4</f>
        <v>3</v>
      </c>
      <c r="E116" s="176" t="s">
        <v>132</v>
      </c>
    </row>
    <row r="117" ht="14.25"/>
    <row r="118" spans="4:6" ht="14.25">
      <c r="D118" s="184" t="s">
        <v>201</v>
      </c>
      <c r="E118" s="175">
        <f>D116*L110*L109</f>
        <v>25.724999999999994</v>
      </c>
      <c r="F118" s="176" t="s">
        <v>890</v>
      </c>
    </row>
    <row r="119" ht="14.25"/>
    <row r="120" ht="14.25">
      <c r="B120" s="176" t="s">
        <v>671</v>
      </c>
    </row>
    <row r="121" spans="4:6" ht="14.25">
      <c r="D121" s="184" t="s">
        <v>201</v>
      </c>
      <c r="E121" s="175">
        <f>K113+2*E118/O109</f>
        <v>26.474626865671638</v>
      </c>
      <c r="F121" s="114" t="s">
        <v>891</v>
      </c>
    </row>
    <row r="122" ht="14.25"/>
    <row r="123" ht="14.25">
      <c r="A123" s="176" t="s">
        <v>205</v>
      </c>
    </row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1" spans="2:13" ht="15">
      <c r="B141" s="176" t="s">
        <v>672</v>
      </c>
      <c r="E141" s="176" t="str">
        <f>K141&amp;L141&amp;M141</f>
        <v>γ=18(kN/m3)</v>
      </c>
      <c r="K141" s="262" t="s">
        <v>887</v>
      </c>
      <c r="L141" s="176">
        <f>'入力'!E28</f>
        <v>18</v>
      </c>
      <c r="M141" s="114" t="s">
        <v>885</v>
      </c>
    </row>
    <row r="142" spans="2:13" ht="15">
      <c r="B142" s="176" t="s">
        <v>209</v>
      </c>
      <c r="E142" s="176" t="str">
        <f>K142&amp;L142&amp;M142</f>
        <v>γp=22.5(kN/m3)</v>
      </c>
      <c r="K142" s="262" t="s">
        <v>888</v>
      </c>
      <c r="L142" s="176">
        <f>'入力'!E29</f>
        <v>22.5</v>
      </c>
      <c r="M142" s="114" t="s">
        <v>885</v>
      </c>
    </row>
    <row r="143" spans="2:13" ht="12.75">
      <c r="B143" s="176" t="s">
        <v>211</v>
      </c>
      <c r="E143" s="176" t="str">
        <f>K143&amp;L143&amp;M143</f>
        <v>h=4(m)</v>
      </c>
      <c r="K143" s="262" t="s">
        <v>11</v>
      </c>
      <c r="L143" s="175">
        <f>'入力'!E12</f>
        <v>4</v>
      </c>
      <c r="M143" s="176" t="s">
        <v>889</v>
      </c>
    </row>
    <row r="144" spans="2:13" ht="15">
      <c r="B144" s="176" t="s">
        <v>212</v>
      </c>
      <c r="E144" s="176" t="str">
        <f>K144&amp;L144&amp;M144</f>
        <v>tp=0.2(m)</v>
      </c>
      <c r="K144" s="262" t="s">
        <v>877</v>
      </c>
      <c r="L144" s="175">
        <f>'入力'!E13</f>
        <v>0.2</v>
      </c>
      <c r="M144" s="176" t="s">
        <v>889</v>
      </c>
    </row>
    <row r="146" ht="12.75">
      <c r="A146" s="176" t="s">
        <v>673</v>
      </c>
    </row>
    <row r="147" ht="12.75">
      <c r="B147" s="176" t="s">
        <v>213</v>
      </c>
    </row>
    <row r="148" spans="2:9" ht="12.75">
      <c r="B148" s="292" t="s">
        <v>674</v>
      </c>
      <c r="C148" s="293"/>
      <c r="D148" s="293"/>
      <c r="E148" s="293"/>
      <c r="F148" s="293"/>
      <c r="G148" s="293"/>
      <c r="H148" s="292" t="s">
        <v>213</v>
      </c>
      <c r="I148" s="293"/>
    </row>
    <row r="149" spans="2:9" ht="13.5">
      <c r="B149" s="301" t="s">
        <v>675</v>
      </c>
      <c r="C149" s="302"/>
      <c r="D149" s="302"/>
      <c r="E149" s="302"/>
      <c r="F149" s="302"/>
      <c r="G149" s="303"/>
      <c r="H149" s="169" t="s">
        <v>990</v>
      </c>
      <c r="I149" s="191">
        <v>1</v>
      </c>
    </row>
    <row r="150" spans="2:9" ht="13.5">
      <c r="B150" s="309" t="s">
        <v>676</v>
      </c>
      <c r="C150" s="310"/>
      <c r="D150" s="310"/>
      <c r="E150" s="310"/>
      <c r="F150" s="310"/>
      <c r="G150" s="310"/>
      <c r="H150" s="169" t="s">
        <v>991</v>
      </c>
      <c r="I150" s="191">
        <v>1.2</v>
      </c>
    </row>
    <row r="151" spans="2:9" ht="19.5" customHeight="1">
      <c r="B151" s="310"/>
      <c r="C151" s="310"/>
      <c r="D151" s="310"/>
      <c r="E151" s="310"/>
      <c r="F151" s="310"/>
      <c r="G151" s="310"/>
      <c r="H151" s="169" t="s">
        <v>992</v>
      </c>
      <c r="I151" s="191">
        <v>1.35</v>
      </c>
    </row>
    <row r="152" spans="2:9" ht="13.5">
      <c r="B152" s="311" t="s">
        <v>677</v>
      </c>
      <c r="C152" s="311"/>
      <c r="D152" s="311"/>
      <c r="E152" s="311"/>
      <c r="F152" s="311"/>
      <c r="G152" s="311"/>
      <c r="H152" s="169" t="s">
        <v>993</v>
      </c>
      <c r="I152" s="191">
        <v>1.5</v>
      </c>
    </row>
    <row r="153" spans="2:9" ht="31.5" customHeight="1">
      <c r="B153" s="312"/>
      <c r="C153" s="312"/>
      <c r="D153" s="312"/>
      <c r="E153" s="312"/>
      <c r="F153" s="312"/>
      <c r="G153" s="312"/>
      <c r="H153" s="169" t="s">
        <v>994</v>
      </c>
      <c r="I153" s="191">
        <v>1.6</v>
      </c>
    </row>
    <row r="154" spans="2:9" ht="33" customHeight="1">
      <c r="B154" s="313" t="s">
        <v>678</v>
      </c>
      <c r="C154" s="313"/>
      <c r="D154" s="313"/>
      <c r="E154" s="313"/>
      <c r="F154" s="313"/>
      <c r="G154" s="313"/>
      <c r="H154" s="300">
        <v>1</v>
      </c>
      <c r="I154" s="300"/>
    </row>
    <row r="155" spans="3:6" ht="13.5">
      <c r="C155" s="51" t="s">
        <v>996</v>
      </c>
      <c r="D155" s="51" t="s">
        <v>997</v>
      </c>
      <c r="E155" s="7">
        <f>L3+2*L5</f>
        <v>3.7</v>
      </c>
      <c r="F155" s="7" t="s">
        <v>54</v>
      </c>
    </row>
    <row r="156" spans="3:5" ht="12.75">
      <c r="C156" s="184" t="s">
        <v>679</v>
      </c>
      <c r="D156" s="264" t="s">
        <v>898</v>
      </c>
      <c r="E156" s="175">
        <f>ROUND(L12/E155,2)</f>
        <v>1.08</v>
      </c>
    </row>
    <row r="157" spans="3:5" ht="12.75">
      <c r="C157" s="184" t="s">
        <v>680</v>
      </c>
      <c r="D157" s="184" t="s">
        <v>681</v>
      </c>
      <c r="E157" s="192">
        <f>IF('入力'!C47=2,1,IF(E156&lt;1,1,IF(E156&lt;2,1.2,IF(E156,1.35,IF(E156&lt;4,1.5,1.6)))))</f>
        <v>1.2</v>
      </c>
    </row>
    <row r="159" spans="2:12" ht="14.25">
      <c r="B159" s="176" t="s">
        <v>217</v>
      </c>
      <c r="F159" s="184"/>
      <c r="G159" s="176" t="str">
        <f>"="&amp;K159&amp;L159</f>
        <v>=87.48(kN/m2)</v>
      </c>
      <c r="K159" s="175">
        <f>E157*(L141*L143-(L141-L142)*L144)</f>
        <v>87.48</v>
      </c>
      <c r="L159" s="114" t="s">
        <v>884</v>
      </c>
    </row>
    <row r="160" ht="14.25"/>
    <row r="161" ht="12.75">
      <c r="A161" s="176" t="s">
        <v>682</v>
      </c>
    </row>
    <row r="162" spans="2:5" ht="15">
      <c r="B162" s="176" t="s">
        <v>219</v>
      </c>
      <c r="D162" s="10" t="s">
        <v>683</v>
      </c>
      <c r="E162" s="176">
        <f>'入力'!E23</f>
        <v>0.5</v>
      </c>
    </row>
    <row r="163" ht="12.75">
      <c r="B163" s="176" t="s">
        <v>221</v>
      </c>
    </row>
    <row r="164" spans="3:12" ht="14.25">
      <c r="C164" s="10" t="s">
        <v>222</v>
      </c>
      <c r="D164" s="176">
        <f>L143+L6/2</f>
        <v>4.2</v>
      </c>
      <c r="E164" s="176" t="s">
        <v>223</v>
      </c>
      <c r="G164" s="184"/>
      <c r="H164" s="176" t="str">
        <f>K164&amp;L164</f>
        <v>38.25(kN/m2)</v>
      </c>
      <c r="K164" s="175">
        <f>$E$162*($L$141*D164-($L$141-$L$142)*$L$144)</f>
        <v>38.25000000000001</v>
      </c>
      <c r="L164" s="114" t="s">
        <v>884</v>
      </c>
    </row>
    <row r="165" ht="14.25">
      <c r="K165" s="175"/>
    </row>
    <row r="166" spans="3:12" ht="14.25">
      <c r="C166" s="10" t="s">
        <v>222</v>
      </c>
      <c r="D166" s="176">
        <f>L143+L6+L4+L7/2</f>
        <v>7.625</v>
      </c>
      <c r="E166" s="176" t="s">
        <v>223</v>
      </c>
      <c r="G166" s="184"/>
      <c r="H166" s="176" t="str">
        <f>K166&amp;L166</f>
        <v>69.075(kN/m2)</v>
      </c>
      <c r="K166" s="175">
        <f>$E$162*($L$141*D166-($L$141-$L$142)*$L$144)</f>
        <v>69.075</v>
      </c>
      <c r="L166" s="114" t="s">
        <v>884</v>
      </c>
    </row>
    <row r="167" ht="14.25"/>
    <row r="169" ht="12.75">
      <c r="A169" s="176" t="s">
        <v>685</v>
      </c>
    </row>
    <row r="170" spans="3:5" ht="15">
      <c r="C170" s="193" t="s">
        <v>686</v>
      </c>
      <c r="D170" s="175">
        <f>K159</f>
        <v>87.48</v>
      </c>
      <c r="E170" s="114" t="s">
        <v>891</v>
      </c>
    </row>
    <row r="173" ht="14.25">
      <c r="A173" s="176" t="s">
        <v>227</v>
      </c>
    </row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2.75">
      <c r="D192" s="176" t="s">
        <v>687</v>
      </c>
    </row>
    <row r="194" ht="12.75">
      <c r="A194" s="176" t="s">
        <v>688</v>
      </c>
    </row>
    <row r="195" spans="2:12" ht="12.75">
      <c r="B195" s="178" t="s">
        <v>228</v>
      </c>
      <c r="D195" s="176" t="str">
        <f>K195&amp;L195</f>
        <v>I=0</v>
      </c>
      <c r="K195" s="264" t="s">
        <v>894</v>
      </c>
      <c r="L195" s="176">
        <f>L20</f>
        <v>0</v>
      </c>
    </row>
    <row r="196" spans="2:13" ht="15">
      <c r="B196" s="178" t="s">
        <v>229</v>
      </c>
      <c r="D196" s="176" t="str">
        <f>K196&amp;L196&amp;M196</f>
        <v>T1=100(kN)</v>
      </c>
      <c r="K196" s="264" t="s">
        <v>895</v>
      </c>
      <c r="L196" s="176">
        <f>データ!D6</f>
        <v>100</v>
      </c>
      <c r="M196" s="176" t="s">
        <v>897</v>
      </c>
    </row>
    <row r="197" spans="2:13" ht="15">
      <c r="B197" s="178" t="s">
        <v>230</v>
      </c>
      <c r="D197" s="176" t="str">
        <f>K197&amp;L197&amp;M197</f>
        <v>T2=25(kN)</v>
      </c>
      <c r="K197" s="264" t="s">
        <v>896</v>
      </c>
      <c r="L197" s="176">
        <f>データ!E6</f>
        <v>25</v>
      </c>
      <c r="M197" s="176" t="s">
        <v>897</v>
      </c>
    </row>
    <row r="198" spans="2:13" ht="12.75">
      <c r="B198" s="176" t="s">
        <v>31</v>
      </c>
      <c r="C198" s="176" t="s">
        <v>634</v>
      </c>
      <c r="D198" s="176" t="str">
        <f>K198&amp;L198&amp;M198</f>
        <v>a=0.2(m)</v>
      </c>
      <c r="K198" s="264" t="s">
        <v>892</v>
      </c>
      <c r="L198" s="176">
        <f>データ!H6</f>
        <v>0.2</v>
      </c>
      <c r="M198" s="176" t="s">
        <v>889</v>
      </c>
    </row>
    <row r="199" spans="3:13" ht="12.75">
      <c r="C199" s="176" t="s">
        <v>33</v>
      </c>
      <c r="D199" s="176" t="str">
        <f>K199&amp;L199&amp;M199</f>
        <v>b=2.75(m)</v>
      </c>
      <c r="K199" s="264" t="s">
        <v>893</v>
      </c>
      <c r="L199" s="176">
        <f>データ!I6</f>
        <v>2.75</v>
      </c>
      <c r="M199" s="176" t="s">
        <v>889</v>
      </c>
    </row>
    <row r="201" ht="18" customHeight="1">
      <c r="B201" s="176" t="s">
        <v>689</v>
      </c>
    </row>
    <row r="202" spans="3:12" ht="14.25">
      <c r="C202" s="176" t="s">
        <v>231</v>
      </c>
      <c r="E202" s="184"/>
      <c r="F202" s="176" t="str">
        <f>"="&amp;K202&amp;L202</f>
        <v>=72.73(kN/m)</v>
      </c>
      <c r="K202" s="175">
        <f>ROUND(2*L196/L199*(1+L195),2)</f>
        <v>72.73</v>
      </c>
      <c r="L202" s="176" t="s">
        <v>890</v>
      </c>
    </row>
    <row r="203" ht="18.75" customHeight="1"/>
    <row r="204" spans="3:12" ht="14.25">
      <c r="C204" s="176" t="s">
        <v>232</v>
      </c>
      <c r="E204" s="184"/>
      <c r="F204" s="176" t="str">
        <f>"="&amp;K204&amp;L204</f>
        <v>=18.18(kN/m)</v>
      </c>
      <c r="K204" s="175">
        <f>ROUND(2*L197/L199*(1+L195),2)</f>
        <v>18.18</v>
      </c>
      <c r="L204" s="176" t="s">
        <v>890</v>
      </c>
    </row>
    <row r="205" ht="14.25"/>
    <row r="207" spans="2:5" ht="12.75">
      <c r="B207" s="176" t="s">
        <v>233</v>
      </c>
      <c r="D207" s="184" t="s">
        <v>690</v>
      </c>
      <c r="E207" s="176">
        <f>IF(L143&gt;1,0.9,IF(L3&lt;4,0.9,1))</f>
        <v>0.9</v>
      </c>
    </row>
    <row r="208" spans="3:9" ht="15.75" customHeight="1">
      <c r="C208" s="297" t="s">
        <v>691</v>
      </c>
      <c r="D208" s="298"/>
      <c r="E208" s="298"/>
      <c r="F208" s="298"/>
      <c r="G208" s="299"/>
      <c r="H208" s="292" t="s">
        <v>692</v>
      </c>
      <c r="I208" s="293"/>
    </row>
    <row r="209" spans="3:9" ht="12.75">
      <c r="C209" s="295" t="s">
        <v>693</v>
      </c>
      <c r="D209" s="296"/>
      <c r="E209" s="296"/>
      <c r="F209" s="296"/>
      <c r="G209" s="296"/>
      <c r="H209" s="294">
        <v>1</v>
      </c>
      <c r="I209" s="294"/>
    </row>
    <row r="210" spans="3:9" ht="12.75">
      <c r="C210" s="295" t="s">
        <v>694</v>
      </c>
      <c r="D210" s="296"/>
      <c r="E210" s="296"/>
      <c r="F210" s="296"/>
      <c r="G210" s="296"/>
      <c r="H210" s="294">
        <v>0.9</v>
      </c>
      <c r="I210" s="294"/>
    </row>
    <row r="212" ht="12.75">
      <c r="B212" s="176" t="s">
        <v>695</v>
      </c>
    </row>
    <row r="213" spans="3:12" ht="15">
      <c r="C213" s="176" t="s">
        <v>235</v>
      </c>
      <c r="D213" s="176" t="str">
        <f>"Pvl1=Pl1*β/(2h+a)="&amp;K213&amp;L213</f>
        <v>Pvl1=Pl1*β/(2h+a)=7.98(kN/m2)</v>
      </c>
      <c r="E213" s="184"/>
      <c r="K213" s="175">
        <f>ROUND(K202*E$207/(2*L$143+L$198),2)</f>
        <v>7.98</v>
      </c>
      <c r="L213" s="114" t="s">
        <v>884</v>
      </c>
    </row>
    <row r="215" spans="3:12" ht="15">
      <c r="C215" s="176" t="s">
        <v>236</v>
      </c>
      <c r="D215" s="176" t="str">
        <f>"Pvl2=Pl2/(2h+a)="&amp;K215&amp;L215</f>
        <v>Pvl2=Pl2/(2h+a)=2.22(kN/m2)</v>
      </c>
      <c r="E215" s="184"/>
      <c r="K215" s="175">
        <f>ROUND(K204/(2*L$143+L$198),2)</f>
        <v>2.22</v>
      </c>
      <c r="L215" s="114" t="s">
        <v>884</v>
      </c>
    </row>
    <row r="219" ht="12.75">
      <c r="B219" s="176" t="s">
        <v>696</v>
      </c>
    </row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spans="3:8" ht="12.75">
      <c r="C229" s="264" t="s">
        <v>11</v>
      </c>
      <c r="D229" s="175">
        <f>L143</f>
        <v>4</v>
      </c>
      <c r="E229" s="176" t="s">
        <v>484</v>
      </c>
      <c r="F229" s="184" t="s">
        <v>697</v>
      </c>
      <c r="G229" s="175">
        <f>データ!F6</f>
        <v>6</v>
      </c>
      <c r="H229" s="176" t="s">
        <v>484</v>
      </c>
    </row>
    <row r="230" spans="3:5" ht="14.25">
      <c r="C230" s="264" t="s">
        <v>903</v>
      </c>
      <c r="D230" s="195">
        <f>O109</f>
        <v>3.35</v>
      </c>
      <c r="E230" s="176" t="s">
        <v>484</v>
      </c>
    </row>
    <row r="231" spans="3:9" ht="14.25">
      <c r="C231" s="184" t="s">
        <v>218</v>
      </c>
      <c r="D231" s="176">
        <f>G229-0.5*(L198+D230)</f>
        <v>4.225</v>
      </c>
      <c r="E231" s="176" t="s">
        <v>484</v>
      </c>
      <c r="F231" s="176" t="str">
        <f>IF(D231&gt;=D229,"&gt;","&lt;")</f>
        <v>&gt;</v>
      </c>
      <c r="G231" s="264" t="s">
        <v>11</v>
      </c>
      <c r="H231" s="175">
        <f>D229</f>
        <v>4</v>
      </c>
      <c r="I231" s="176" t="s">
        <v>484</v>
      </c>
    </row>
    <row r="232" spans="3:6" ht="14.25">
      <c r="C232" s="176" t="s">
        <v>237</v>
      </c>
      <c r="D232" s="264" t="s">
        <v>904</v>
      </c>
      <c r="E232" s="176">
        <f>MIN(D230,L198+2*D229)</f>
        <v>3.35</v>
      </c>
      <c r="F232" s="176" t="s">
        <v>240</v>
      </c>
    </row>
    <row r="233" spans="3:6" ht="15">
      <c r="C233" s="176" t="s">
        <v>238</v>
      </c>
      <c r="D233" s="264" t="s">
        <v>905</v>
      </c>
      <c r="E233" s="176">
        <f>IF(D229&lt;=D231,0,D229-D231)</f>
        <v>0</v>
      </c>
      <c r="F233" s="176" t="s">
        <v>241</v>
      </c>
    </row>
    <row r="235" ht="12.75">
      <c r="A235" s="176" t="s">
        <v>698</v>
      </c>
    </row>
    <row r="236" spans="3:6" ht="15">
      <c r="C236" s="184" t="s">
        <v>699</v>
      </c>
      <c r="D236" s="264" t="s">
        <v>881</v>
      </c>
      <c r="E236" s="176">
        <f>L19</f>
        <v>10</v>
      </c>
      <c r="F236" s="176" t="s">
        <v>700</v>
      </c>
    </row>
    <row r="237" spans="3:5" ht="15">
      <c r="C237" s="184" t="s">
        <v>701</v>
      </c>
      <c r="D237" s="264" t="s">
        <v>906</v>
      </c>
      <c r="E237" s="176">
        <f>'入力'!E23</f>
        <v>0.5</v>
      </c>
    </row>
    <row r="238" spans="3:7" ht="15">
      <c r="C238" s="176" t="s">
        <v>244</v>
      </c>
      <c r="D238" s="184"/>
      <c r="E238" s="264" t="s">
        <v>907</v>
      </c>
      <c r="F238" s="175">
        <f>E236*E237</f>
        <v>5</v>
      </c>
      <c r="G238" s="176" t="s">
        <v>684</v>
      </c>
    </row>
    <row r="240" ht="12.75">
      <c r="A240" s="176" t="s">
        <v>702</v>
      </c>
    </row>
    <row r="242" ht="14.25"/>
    <row r="243" spans="6:7" ht="14.25">
      <c r="F243" s="175">
        <f>($K$213*$E$232+$K$215*$E$233)/$D$230+3*($D$230-$E$233)*$K$215*E$233/$D$230^2</f>
        <v>7.9799999999999995</v>
      </c>
      <c r="G243" s="176" t="s">
        <v>669</v>
      </c>
    </row>
    <row r="244" ht="14.25"/>
    <row r="245" ht="14.25"/>
    <row r="246" spans="6:7" ht="14.25">
      <c r="F246" s="175">
        <f>($K$213*$E$232+$K$215*$E$233)/$D$230-3*($D$230-$E$233)*$K$215*E$233/$D$230^2</f>
        <v>7.9799999999999995</v>
      </c>
      <c r="G246" s="176" t="s">
        <v>669</v>
      </c>
    </row>
    <row r="247" ht="14.25"/>
    <row r="248" ht="14.25"/>
    <row r="249" ht="12.75">
      <c r="A249" s="176" t="s">
        <v>703</v>
      </c>
    </row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2.75">
      <c r="A272" s="176" t="s">
        <v>488</v>
      </c>
    </row>
    <row r="273" spans="1:9" ht="15">
      <c r="A273" s="187" t="s">
        <v>245</v>
      </c>
      <c r="B273" s="187" t="s">
        <v>246</v>
      </c>
      <c r="C273" s="196" t="s">
        <v>704</v>
      </c>
      <c r="D273" s="196" t="s">
        <v>705</v>
      </c>
      <c r="E273" s="196" t="s">
        <v>706</v>
      </c>
      <c r="F273" s="196" t="s">
        <v>707</v>
      </c>
      <c r="G273" s="196" t="s">
        <v>708</v>
      </c>
      <c r="H273" s="196" t="s">
        <v>709</v>
      </c>
      <c r="I273" s="196" t="s">
        <v>710</v>
      </c>
    </row>
    <row r="274" spans="1:9" ht="12.75">
      <c r="A274" s="304" t="s">
        <v>711</v>
      </c>
      <c r="B274" s="197" t="s">
        <v>254</v>
      </c>
      <c r="C274" s="198">
        <f>L4+L6/2+L7/2</f>
        <v>3.4250000000000003</v>
      </c>
      <c r="D274" s="198">
        <v>0</v>
      </c>
      <c r="E274" s="198">
        <f>C274</f>
        <v>3.4250000000000003</v>
      </c>
      <c r="F274" s="198">
        <f>K166</f>
        <v>69.075</v>
      </c>
      <c r="G274" s="198">
        <f>K164</f>
        <v>38.25000000000001</v>
      </c>
      <c r="H274" s="199">
        <f>1/C274^2*(F274*(C274^2/2*(E274^2-D274^2)-2/3*C274*(E274^3-D274^3)+1/4*(E274^4-D274^4))+(F274-G274)/(D274-E274)*(1/5*(E274^5-D274^5)-1/4*(2*C274+D274)*(E274^4-D274^4)+1/3*(C274^2+2*C274*D274)*(E274^3-D274^3)-0.5*C274^2*D274*(E274^2-D274^2)))</f>
        <v>55.47119296875015</v>
      </c>
      <c r="I274" s="200">
        <f>1/C274^2*(F274*(C274/3*(E274^3-D274^3)-1/4*(E274^4-D274^4))+(F274-G274)/(D274-E274)*(1/4*(C274+D274)*(E274^4-D274^4)-1/5*(E274^5-D274^5)-1/3*C274*D274*(E274^3-D274^3)))</f>
        <v>49.444584375000034</v>
      </c>
    </row>
    <row r="275" spans="1:9" ht="12.75">
      <c r="A275" s="305"/>
      <c r="B275" s="201" t="s">
        <v>255</v>
      </c>
      <c r="C275" s="202">
        <f>C274</f>
        <v>3.4250000000000003</v>
      </c>
      <c r="D275" s="202">
        <f>D274</f>
        <v>0</v>
      </c>
      <c r="E275" s="202">
        <f>E274</f>
        <v>3.4250000000000003</v>
      </c>
      <c r="F275" s="202">
        <v>0</v>
      </c>
      <c r="G275" s="202">
        <v>0</v>
      </c>
      <c r="H275" s="199">
        <f>1/C275^2*(F275*(C275^2/2*(E275^2-D275^2)-2/3*C275*(E275^3-D275^3)+1/4*(E275^4-D275^4))+(F275-G275)/(D275-E275)*(1/5*(E275^5-D275^5)-1/4*(2*C275+D275)*(E275^4-D275^4)+1/3*(C275^2+2*C275*D275)*(E275^3-D275^3)-0.5*C275^2*D275*(E275^2-D275^2)))</f>
        <v>0</v>
      </c>
      <c r="I275" s="203">
        <f aca="true" t="shared" si="4" ref="I275:I287">1/C275^2*(F275*(C275/3*(E275^3-D275^3)-1/4*(E275^4-D275^4))+(F275-G275)/(D275-E275)*(1/4*(C275+D275)*(E275^4-D275^4)-1/5*(E275^5-D275^5)-1/3*C275*D275*(E275^3-D275^3)))</f>
        <v>0</v>
      </c>
    </row>
    <row r="276" spans="1:9" ht="12.75">
      <c r="A276" s="306"/>
      <c r="B276" s="187" t="s">
        <v>256</v>
      </c>
      <c r="C276" s="204" t="s">
        <v>428</v>
      </c>
      <c r="D276" s="204" t="s">
        <v>428</v>
      </c>
      <c r="E276" s="204" t="s">
        <v>428</v>
      </c>
      <c r="F276" s="204">
        <f>SUM(F274:F275)</f>
        <v>69.075</v>
      </c>
      <c r="G276" s="204">
        <f>SUM(G274:G275)</f>
        <v>38.25000000000001</v>
      </c>
      <c r="H276" s="191">
        <f>SUM(H274:H275)</f>
        <v>55.47119296875015</v>
      </c>
      <c r="I276" s="191">
        <f>SUM(I274:I275)</f>
        <v>49.444584375000034</v>
      </c>
    </row>
    <row r="277" spans="1:9" ht="12.75">
      <c r="A277" s="183"/>
      <c r="B277" s="197" t="s">
        <v>712</v>
      </c>
      <c r="C277" s="198">
        <f>L3+L5</f>
        <v>3.35</v>
      </c>
      <c r="D277" s="198">
        <f>0</f>
        <v>0</v>
      </c>
      <c r="E277" s="198">
        <f>C277</f>
        <v>3.35</v>
      </c>
      <c r="F277" s="198">
        <f>K113</f>
        <v>11.116417910447764</v>
      </c>
      <c r="G277" s="198">
        <f>F277</f>
        <v>11.116417910447764</v>
      </c>
      <c r="H277" s="199">
        <f>1/C277^2*(F277*(C277^2/2*(E277^2-D277^2)-2/3*C277*(E277^3-D277^3)+1/4*(E277^4-D277^4))+(F277-G277)/(D277-E277)*(1/5*(E277^5-D277^5)-1/4*(2*C277+D277)*(E277^4-D277^4)+1/3*(C277^2+2*C277*D277)*(E277^3-D277^3)-0.5*C277^2*D277*(E277^2-D277^2)))</f>
        <v>10.39616666666666</v>
      </c>
      <c r="I277" s="200">
        <f t="shared" si="4"/>
        <v>10.396166666666675</v>
      </c>
    </row>
    <row r="278" spans="1:9" ht="12.75">
      <c r="A278" s="183" t="s">
        <v>22</v>
      </c>
      <c r="B278" s="197" t="s">
        <v>257</v>
      </c>
      <c r="C278" s="198">
        <f>C277</f>
        <v>3.35</v>
      </c>
      <c r="D278" s="198">
        <v>0</v>
      </c>
      <c r="E278" s="198">
        <f>C278</f>
        <v>3.35</v>
      </c>
      <c r="F278" s="198">
        <f>K159</f>
        <v>87.48</v>
      </c>
      <c r="G278" s="198">
        <f>F278</f>
        <v>87.48</v>
      </c>
      <c r="H278" s="199">
        <f>1/C278^2*(F278*(C278^2/2*(E278^2-D278^2)-2/3*C278*(E278^3-D278^3)+1/4*(E278^4-D278^4))+(F278-G278)/(D278-E278)*(1/5*(E278^5-D278^5)-1/4*(2*C278+D278)*(E278^4-D278^4)+1/3*(C278^2+2*C278*D278)*(E278^3-D278^3)-0.5*C278^2*D278*(E278^2-D278^2)))</f>
        <v>81.81202499999993</v>
      </c>
      <c r="I278" s="200">
        <f t="shared" si="4"/>
        <v>81.81202500000005</v>
      </c>
    </row>
    <row r="279" spans="1:9" ht="12.75">
      <c r="A279" s="183" t="s">
        <v>491</v>
      </c>
      <c r="B279" s="197" t="s">
        <v>258</v>
      </c>
      <c r="C279" s="198">
        <f>C278</f>
        <v>3.35</v>
      </c>
      <c r="D279" s="198">
        <f>(O109-E232)/2</f>
        <v>0</v>
      </c>
      <c r="E279" s="198">
        <f>D279+E232</f>
        <v>3.35</v>
      </c>
      <c r="F279" s="198">
        <f>K213</f>
        <v>7.98</v>
      </c>
      <c r="G279" s="198">
        <f>F279</f>
        <v>7.98</v>
      </c>
      <c r="H279" s="199">
        <f>1/C279^2*(F279*(C279^2/2*(E279^2-D279^2)-2/3*C279*(E279^3-D279^3)+1/4*(E279^4-D279^4))+(F279-G279)/(D279-E279)*(1/5*(E279^5-D279^5)-1/4*(2*C279+D279)*(E279^4-D279^4)+1/3*(C279^2+2*C279*D279)*(E279^3-D279^3)-0.5*C279^2*D279*(E279^2-D279^2)))</f>
        <v>7.462962499999994</v>
      </c>
      <c r="I279" s="200">
        <f t="shared" si="4"/>
        <v>7.462962500000005</v>
      </c>
    </row>
    <row r="280" spans="1:9" ht="12.75">
      <c r="A280" s="183"/>
      <c r="B280" s="201" t="s">
        <v>259</v>
      </c>
      <c r="C280" s="202">
        <f>C279</f>
        <v>3.35</v>
      </c>
      <c r="D280" s="202">
        <f>C280-E233</f>
        <v>3.35</v>
      </c>
      <c r="E280" s="202">
        <f>C280</f>
        <v>3.35</v>
      </c>
      <c r="F280" s="202">
        <f>IF(D280=E280,0,K215)</f>
        <v>0</v>
      </c>
      <c r="G280" s="202">
        <f>IF(D280=E280,0,F280)</f>
        <v>0</v>
      </c>
      <c r="H280" s="199">
        <f>IF(F280=0,0,1/C280^2*(F280*(C280^2/2*(E280^2-D280^2)-2/3*C280*(E280^3-D280^3)+1/4*(E280^4-D280^4))+(F280-G280)/(D280-E280)*(1/5*(E280^5-D280^5)-1/4*(2*C280+D280)*(E280^4-D280^4)+1/3*(C280^2+2*C280*D280)*(E280^3-D280^3)-0.5*C280^2*D280*(E280^2-D280^2))))</f>
        <v>0</v>
      </c>
      <c r="I280" s="203">
        <f>IF(F280=0,0,1/C280^2*(F280*(C280/3*(E280^3-D280^3)-1/4*(E280^4-D280^4))+(F280-G280)/(D280-E280)*(1/4*(C280+D280)*(E280^4-D280^4)-1/5*(E280^5-D280^5)-1/3*C280*D280*(E280^3-D280^3))))</f>
        <v>0</v>
      </c>
    </row>
    <row r="281" spans="1:9" ht="12.75">
      <c r="A281" s="182"/>
      <c r="B281" s="187" t="s">
        <v>260</v>
      </c>
      <c r="C281" s="204" t="s">
        <v>428</v>
      </c>
      <c r="D281" s="204" t="s">
        <v>428</v>
      </c>
      <c r="E281" s="204" t="s">
        <v>428</v>
      </c>
      <c r="F281" s="204"/>
      <c r="G281" s="204"/>
      <c r="H281" s="191">
        <f>SUM(H277:H280)</f>
        <v>99.67115416666658</v>
      </c>
      <c r="I281" s="191">
        <f>SUM(I277:I280)</f>
        <v>99.67115416666672</v>
      </c>
    </row>
    <row r="282" spans="1:9" ht="12.75">
      <c r="A282" s="304" t="s">
        <v>713</v>
      </c>
      <c r="B282" s="197" t="s">
        <v>714</v>
      </c>
      <c r="C282" s="198">
        <f>C274</f>
        <v>3.4250000000000003</v>
      </c>
      <c r="D282" s="198">
        <v>0</v>
      </c>
      <c r="E282" s="198">
        <f>C282</f>
        <v>3.4250000000000003</v>
      </c>
      <c r="F282" s="198">
        <f>G274</f>
        <v>38.25000000000001</v>
      </c>
      <c r="G282" s="198">
        <f>F274</f>
        <v>69.075</v>
      </c>
      <c r="H282" s="199">
        <f>IF(F282=0,0,1/C282^2*(F282*(C282^2/2*(E282^2-D282^2)-2/3*C282*(E282^3-D282^3)+1/4*(E282^4-D282^4))+(F282-G282)/(D282-E282)*(1/5*(E282^5-D282^5)-1/4*(2*C282+D282)*(E282^4-D282^4)+1/3*(C282^2+2*C282*D282)*(E282^3-D282^3)-0.5*C282^2*D282*(E282^2-D282^2))))</f>
        <v>49.444584375000105</v>
      </c>
      <c r="I282" s="200">
        <f t="shared" si="4"/>
        <v>55.47119296875002</v>
      </c>
    </row>
    <row r="283" spans="1:9" ht="12.75">
      <c r="A283" s="305"/>
      <c r="B283" s="201" t="s">
        <v>255</v>
      </c>
      <c r="C283" s="202">
        <f>C282</f>
        <v>3.4250000000000003</v>
      </c>
      <c r="D283" s="202">
        <f>D282</f>
        <v>0</v>
      </c>
      <c r="E283" s="202">
        <f>C283</f>
        <v>3.4250000000000003</v>
      </c>
      <c r="F283" s="202">
        <f>F275</f>
        <v>0</v>
      </c>
      <c r="G283" s="202">
        <f>G275</f>
        <v>0</v>
      </c>
      <c r="H283" s="199">
        <f>IF(F283=0,0,1/C283^2*(F283*(C283^2/2*(E283^2-D283^2)-2/3*C283*(E283^3-D283^3)+1/4*(E283^4-D283^4))+(F283-G283)/(D283-E283)*(1/5*(E283^5-D283^5)-1/4*(2*C283+D283)*(E283^4-D283^4)+1/3*(C283^2+2*C283*D283)*(E283^3-D283^3)-0.5*C283^2*D283*(E283^2-D283^2))))</f>
        <v>0</v>
      </c>
      <c r="I283" s="203">
        <f t="shared" si="4"/>
        <v>0</v>
      </c>
    </row>
    <row r="284" spans="1:9" ht="12.75">
      <c r="A284" s="306"/>
      <c r="B284" s="187" t="s">
        <v>256</v>
      </c>
      <c r="C284" s="204" t="s">
        <v>428</v>
      </c>
      <c r="D284" s="204" t="s">
        <v>428</v>
      </c>
      <c r="E284" s="204" t="s">
        <v>428</v>
      </c>
      <c r="F284" s="204">
        <f>SUM(F282:F283)</f>
        <v>38.25000000000001</v>
      </c>
      <c r="G284" s="204">
        <f>SUM(G282:G283)</f>
        <v>69.075</v>
      </c>
      <c r="H284" s="191">
        <f>SUM(H282:H283)</f>
        <v>49.444584375000105</v>
      </c>
      <c r="I284" s="191">
        <f>SUM(I282:I283)</f>
        <v>55.47119296875002</v>
      </c>
    </row>
    <row r="285" spans="1:9" ht="12.75">
      <c r="A285" s="304" t="s">
        <v>715</v>
      </c>
      <c r="B285" s="197" t="s">
        <v>716</v>
      </c>
      <c r="C285" s="198">
        <f>C277</f>
        <v>3.35</v>
      </c>
      <c r="D285" s="198">
        <f>D283</f>
        <v>0</v>
      </c>
      <c r="E285" s="198">
        <f>C285</f>
        <v>3.35</v>
      </c>
      <c r="F285" s="198">
        <f>E121</f>
        <v>26.474626865671638</v>
      </c>
      <c r="G285" s="198">
        <f>F285</f>
        <v>26.474626865671638</v>
      </c>
      <c r="H285" s="199">
        <f>IF(F285=0,0,1/C285^2*(F285*(C285^2/2*(E285^2-D285^2)-2/3*C285*(E285^3-D285^3)+1/4*(E285^4-D285^4))+(F285-G285)/(D285-E285)*(1/5*(E285^5-D285^5)-1/4*(2*C285+D285)*(E285^4-D285^4)+1/3*(C285^2+2*C285*D285)*(E285^3-D285^3)-0.5*C285^2*D285*(E285^2-D285^2))))</f>
        <v>24.759291666666645</v>
      </c>
      <c r="I285" s="200">
        <f>1/C285^2*(F285*(C285/3*(E285^3-D285^3)-1/4*(E285^4-D285^4))+(F285-G285)/(D285-E285)*(1/4*(C285+D285)*(E285^4-D285^4)-1/5*(E285^5-D285^5)-1/3*C285*D285*(E285^3-D285^3)))</f>
        <v>24.759291666666677</v>
      </c>
    </row>
    <row r="286" spans="1:9" ht="12.75">
      <c r="A286" s="305"/>
      <c r="B286" s="197" t="s">
        <v>717</v>
      </c>
      <c r="C286" s="198">
        <f>C279</f>
        <v>3.35</v>
      </c>
      <c r="D286" s="198">
        <v>0</v>
      </c>
      <c r="E286" s="198">
        <f>E285</f>
        <v>3.35</v>
      </c>
      <c r="F286" s="198">
        <f>F278</f>
        <v>87.48</v>
      </c>
      <c r="G286" s="198">
        <f>G278</f>
        <v>87.48</v>
      </c>
      <c r="H286" s="199">
        <f>IF(F286=0,0,1/C286^2*(F286*(C286^2/2*(E286^2-D286^2)-2/3*C286*(E286^3-D286^3)+1/4*(E286^4-D286^4))+(F286-G286)/(D286-E286)*(1/5*(E286^5-D286^5)-1/4*(2*C286+D286)*(E286^4-D286^4)+1/3*(C286^2+2*C286*D286)*(E286^3-D286^3)-0.5*C286^2*D286*(E286^2-D286^2))))</f>
        <v>81.81202499999993</v>
      </c>
      <c r="I286" s="200">
        <f t="shared" si="4"/>
        <v>81.81202500000005</v>
      </c>
    </row>
    <row r="287" spans="1:9" ht="12.75">
      <c r="A287" s="306"/>
      <c r="B287" s="201" t="s">
        <v>262</v>
      </c>
      <c r="C287" s="202">
        <f>C286</f>
        <v>3.35</v>
      </c>
      <c r="D287" s="202">
        <v>0</v>
      </c>
      <c r="E287" s="202">
        <f>E286</f>
        <v>3.35</v>
      </c>
      <c r="F287" s="202">
        <f>F246</f>
        <v>7.9799999999999995</v>
      </c>
      <c r="G287" s="202">
        <f>F243</f>
        <v>7.9799999999999995</v>
      </c>
      <c r="H287" s="199">
        <f>IF(F287=0,0,1/C287^2*(F287*(C287^2/2*(E287^2-D287^2)-2/3*C287*(E287^3-D287^3)+1/4*(E287^4-D287^4))+(F287-G287)/(D287-E287)*(1/5*(E287^5-D287^5)-1/4*(2*C287+D287)*(E287^4-D287^4)+1/3*(C287^2+2*C287*D287)*(E287^3-D287^3)-0.5*C287^2*D287*(E287^2-D287^2))))</f>
        <v>7.4629624999999935</v>
      </c>
      <c r="I287" s="203">
        <f t="shared" si="4"/>
        <v>7.462962500000003</v>
      </c>
    </row>
    <row r="288" spans="1:9" ht="12.75">
      <c r="A288" s="182"/>
      <c r="B288" s="187" t="s">
        <v>256</v>
      </c>
      <c r="C288" s="204" t="s">
        <v>428</v>
      </c>
      <c r="D288" s="204" t="s">
        <v>428</v>
      </c>
      <c r="E288" s="204" t="s">
        <v>428</v>
      </c>
      <c r="F288" s="204">
        <f>SUM(F285:F287)</f>
        <v>121.93462686567165</v>
      </c>
      <c r="G288" s="204">
        <f>SUM(G285:G287)</f>
        <v>121.93462686567165</v>
      </c>
      <c r="H288" s="191">
        <f>SUM(H285:H287)</f>
        <v>114.03427916666656</v>
      </c>
      <c r="I288" s="191">
        <f>SUM(I285:I287)</f>
        <v>114.03427916666672</v>
      </c>
    </row>
    <row r="289" spans="1:9" ht="12.75">
      <c r="A289" s="205"/>
      <c r="B289" s="205"/>
      <c r="C289" s="206"/>
      <c r="D289" s="206"/>
      <c r="E289" s="206"/>
      <c r="F289" s="206"/>
      <c r="G289" s="206"/>
      <c r="H289" s="199"/>
      <c r="I289" s="199"/>
    </row>
    <row r="290" ht="12.75">
      <c r="D290" s="207"/>
    </row>
    <row r="291" ht="12.75">
      <c r="A291" s="176" t="s">
        <v>494</v>
      </c>
    </row>
    <row r="292" spans="1:9" ht="15">
      <c r="A292" s="187" t="s">
        <v>718</v>
      </c>
      <c r="B292" s="187" t="s">
        <v>719</v>
      </c>
      <c r="C292" s="196" t="s">
        <v>704</v>
      </c>
      <c r="D292" s="196" t="s">
        <v>705</v>
      </c>
      <c r="E292" s="196" t="s">
        <v>706</v>
      </c>
      <c r="F292" s="196" t="s">
        <v>707</v>
      </c>
      <c r="G292" s="196" t="s">
        <v>708</v>
      </c>
      <c r="H292" s="196" t="s">
        <v>709</v>
      </c>
      <c r="I292" s="196" t="s">
        <v>710</v>
      </c>
    </row>
    <row r="293" spans="1:9" ht="12.75">
      <c r="A293" s="304" t="s">
        <v>720</v>
      </c>
      <c r="B293" s="197" t="s">
        <v>221</v>
      </c>
      <c r="C293" s="198">
        <f>C274</f>
        <v>3.4250000000000003</v>
      </c>
      <c r="D293" s="198">
        <f>D274</f>
        <v>0</v>
      </c>
      <c r="E293" s="198">
        <f>E274</f>
        <v>3.4250000000000003</v>
      </c>
      <c r="F293" s="198">
        <f>F274</f>
        <v>69.075</v>
      </c>
      <c r="G293" s="198">
        <f>G274</f>
        <v>38.25000000000001</v>
      </c>
      <c r="H293" s="199">
        <f aca="true" t="shared" si="5" ref="H293:H306">IF(F293=0,0,1/C293^2*(F293*(C293^2/2*(E293^2-D293^2)-2/3*C293*(E293^3-D293^3)+1/4*(E293^4-D293^4))+(F293-G293)/(D293-E293)*(1/5*(E293^5-D293^5)-1/4*(2*C293+D293)*(E293^4-D293^4)+1/3*(C293^2+2*C293*D293)*(E293^3-D293^3)-0.5*C293^2*D293*(E293^2-D293^2))))</f>
        <v>55.47119296875015</v>
      </c>
      <c r="I293" s="200">
        <f>1/C293^2*(F293*(C293/3*(E293^3-D293^3)-1/4*(E293^4-D293^4))+(F293-G293)/(D293-E293)*(1/4*(C293+D293)*(E293^4-D293^4)-1/5*(E293^5-D293^5)-1/3*C293*D293*(E293^3-D293^3)))</f>
        <v>49.444584375000034</v>
      </c>
    </row>
    <row r="294" spans="1:9" ht="12.75">
      <c r="A294" s="305"/>
      <c r="B294" s="201" t="s">
        <v>255</v>
      </c>
      <c r="C294" s="202">
        <f>C275</f>
        <v>3.4250000000000003</v>
      </c>
      <c r="D294" s="202">
        <f>D275</f>
        <v>0</v>
      </c>
      <c r="E294" s="202">
        <f>E275</f>
        <v>3.4250000000000003</v>
      </c>
      <c r="F294" s="202">
        <f>F238</f>
        <v>5</v>
      </c>
      <c r="G294" s="202">
        <f>F294</f>
        <v>5</v>
      </c>
      <c r="H294" s="199">
        <f t="shared" si="5"/>
        <v>4.887760416666678</v>
      </c>
      <c r="I294" s="203">
        <f>1/C294^2*(F294*(C294/3*(E294^3-D294^3)-1/4*(E294^4-D294^4))+(F294-G294)/(D294-E294)*(1/4*(C294+D294)*(E294^4-D294^4)-1/5*(E294^5-D294^5)-1/3*C294*D294*(E294^3-D294^3)))</f>
        <v>4.887760416666668</v>
      </c>
    </row>
    <row r="295" spans="1:9" ht="12.75">
      <c r="A295" s="306"/>
      <c r="B295" s="187" t="s">
        <v>256</v>
      </c>
      <c r="C295" s="204" t="s">
        <v>428</v>
      </c>
      <c r="D295" s="204" t="s">
        <v>428</v>
      </c>
      <c r="E295" s="204" t="s">
        <v>428</v>
      </c>
      <c r="F295" s="204">
        <f>SUM(F293:F294)</f>
        <v>74.075</v>
      </c>
      <c r="G295" s="204">
        <f>SUM(G293:G294)</f>
        <v>43.25000000000001</v>
      </c>
      <c r="H295" s="191">
        <f>SUM(H293:H294)</f>
        <v>60.35895338541683</v>
      </c>
      <c r="I295" s="191">
        <f>SUM(I293:I294)</f>
        <v>54.3323447916667</v>
      </c>
    </row>
    <row r="296" spans="1:9" ht="12.75">
      <c r="A296" s="208"/>
      <c r="B296" s="197" t="s">
        <v>712</v>
      </c>
      <c r="C296" s="198">
        <f aca="true" t="shared" si="6" ref="C296:G297">C277</f>
        <v>3.35</v>
      </c>
      <c r="D296" s="198">
        <f t="shared" si="6"/>
        <v>0</v>
      </c>
      <c r="E296" s="198">
        <f t="shared" si="6"/>
        <v>3.35</v>
      </c>
      <c r="F296" s="198">
        <f t="shared" si="6"/>
        <v>11.116417910447764</v>
      </c>
      <c r="G296" s="198">
        <f t="shared" si="6"/>
        <v>11.116417910447764</v>
      </c>
      <c r="H296" s="199">
        <f t="shared" si="5"/>
        <v>10.39616666666666</v>
      </c>
      <c r="I296" s="200">
        <f>1/C296^2*(F296*(C296/3*(E296^3-D296^3)-1/4*(E296^4-D296^4))+(F296-G296)/(D296-E296)*(1/4*(C296+D296)*(E296^4-D296^4)-1/5*(E296^5-D296^5)-1/3*C296*D296*(E296^3-D296^3)))</f>
        <v>10.396166666666675</v>
      </c>
    </row>
    <row r="297" spans="1:9" ht="12.75">
      <c r="A297" s="183" t="s">
        <v>22</v>
      </c>
      <c r="B297" s="197" t="s">
        <v>717</v>
      </c>
      <c r="C297" s="198">
        <f t="shared" si="6"/>
        <v>3.35</v>
      </c>
      <c r="D297" s="198">
        <f t="shared" si="6"/>
        <v>0</v>
      </c>
      <c r="E297" s="198">
        <f t="shared" si="6"/>
        <v>3.35</v>
      </c>
      <c r="F297" s="198">
        <f t="shared" si="6"/>
        <v>87.48</v>
      </c>
      <c r="G297" s="198">
        <f t="shared" si="6"/>
        <v>87.48</v>
      </c>
      <c r="H297" s="199">
        <f t="shared" si="5"/>
        <v>81.81202499999993</v>
      </c>
      <c r="I297" s="200">
        <f>1/C297^2*(F297*(C297/3*(E297^3-D297^3)-1/4*(E297^4-D297^4))+(F297-G297)/(D297-E297)*(1/4*(C297+D297)*(E297^4-D297^4)-1/5*(E297^5-D297^5)-1/3*C297*D297*(E297^3-D297^3)))</f>
        <v>81.81202500000005</v>
      </c>
    </row>
    <row r="298" spans="1:9" ht="12.75">
      <c r="A298" s="183" t="s">
        <v>491</v>
      </c>
      <c r="B298" s="197" t="s">
        <v>721</v>
      </c>
      <c r="C298" s="198">
        <f aca="true" t="shared" si="7" ref="C298:E299">C279</f>
        <v>3.35</v>
      </c>
      <c r="D298" s="198">
        <f t="shared" si="7"/>
        <v>0</v>
      </c>
      <c r="E298" s="198">
        <f t="shared" si="7"/>
        <v>3.35</v>
      </c>
      <c r="F298" s="198">
        <v>0</v>
      </c>
      <c r="G298" s="198">
        <v>0</v>
      </c>
      <c r="H298" s="199">
        <f t="shared" si="5"/>
        <v>0</v>
      </c>
      <c r="I298" s="200">
        <f>1/C298^2*(F298*(C298/3*(E298^3-D298^3)-1/4*(E298^4-D298^4))+(F298-G298)/(D298-E298)*(1/4*(C298+D298)*(E298^4-D298^4)-1/5*(E298^5-D298^5)-1/3*C298*D298*(E298^3-D298^3)))</f>
        <v>0</v>
      </c>
    </row>
    <row r="299" spans="1:9" ht="12.75">
      <c r="A299" s="183"/>
      <c r="B299" s="201" t="s">
        <v>722</v>
      </c>
      <c r="C299" s="202">
        <f t="shared" si="7"/>
        <v>3.35</v>
      </c>
      <c r="D299" s="202">
        <f t="shared" si="7"/>
        <v>3.35</v>
      </c>
      <c r="E299" s="202">
        <f t="shared" si="7"/>
        <v>3.35</v>
      </c>
      <c r="F299" s="202">
        <f>F280</f>
        <v>0</v>
      </c>
      <c r="G299" s="202">
        <v>0</v>
      </c>
      <c r="H299" s="199">
        <f t="shared" si="5"/>
        <v>0</v>
      </c>
      <c r="I299" s="203">
        <f>IF(F299=0,0,1/C299^2*(F299*(C299/3*(E299^3-D299^3)-1/4*(E299^4-D299^4))+(F299-G299)/(D299-E299)*(1/4*(C299+D299)*(E299^4-D299^4)-1/5*(E299^5-D299^5)-1/3*C299*D299*(E299^3-D299^3))))</f>
        <v>0</v>
      </c>
    </row>
    <row r="300" spans="1:9" ht="12.75">
      <c r="A300" s="182"/>
      <c r="B300" s="187" t="s">
        <v>260</v>
      </c>
      <c r="C300" s="204" t="s">
        <v>428</v>
      </c>
      <c r="D300" s="204" t="s">
        <v>428</v>
      </c>
      <c r="E300" s="204" t="s">
        <v>428</v>
      </c>
      <c r="F300" s="204">
        <f>SUM(F296:F299)</f>
        <v>98.59641791044777</v>
      </c>
      <c r="G300" s="204">
        <f>SUM(G296:G299)</f>
        <v>98.59641791044777</v>
      </c>
      <c r="H300" s="191">
        <f>SUM(H296:H299)</f>
        <v>92.2081916666666</v>
      </c>
      <c r="I300" s="191">
        <f>SUM(I296:I299)</f>
        <v>92.20819166666672</v>
      </c>
    </row>
    <row r="301" spans="1:9" ht="12.75">
      <c r="A301" s="304" t="s">
        <v>713</v>
      </c>
      <c r="B301" s="197" t="s">
        <v>714</v>
      </c>
      <c r="C301" s="198">
        <f>C282</f>
        <v>3.4250000000000003</v>
      </c>
      <c r="D301" s="198">
        <f>D282</f>
        <v>0</v>
      </c>
      <c r="E301" s="198">
        <f>E282</f>
        <v>3.4250000000000003</v>
      </c>
      <c r="F301" s="198">
        <f>F282</f>
        <v>38.25000000000001</v>
      </c>
      <c r="G301" s="198">
        <f>G282</f>
        <v>69.075</v>
      </c>
      <c r="H301" s="199">
        <f t="shared" si="5"/>
        <v>49.444584375000105</v>
      </c>
      <c r="I301" s="200">
        <f>1/C301^2*(F301*(C301/3*(E301^3-D301^3)-1/4*(E301^4-D301^4))+(F301-G301)/(D301-E301)*(1/4*(C301+D301)*(E301^4-D301^4)-1/5*(E301^5-D301^5)-1/3*C301*D301*(E301^3-D301^3)))</f>
        <v>55.47119296875002</v>
      </c>
    </row>
    <row r="302" spans="1:9" ht="12.75">
      <c r="A302" s="305"/>
      <c r="B302" s="201" t="s">
        <v>255</v>
      </c>
      <c r="C302" s="202">
        <f>C283</f>
        <v>3.4250000000000003</v>
      </c>
      <c r="D302" s="202">
        <f>D283</f>
        <v>0</v>
      </c>
      <c r="E302" s="202">
        <f>E283</f>
        <v>3.4250000000000003</v>
      </c>
      <c r="F302" s="202">
        <f>F294</f>
        <v>5</v>
      </c>
      <c r="G302" s="202">
        <f>G294</f>
        <v>5</v>
      </c>
      <c r="H302" s="199">
        <f t="shared" si="5"/>
        <v>4.887760416666678</v>
      </c>
      <c r="I302" s="203">
        <f>1/C302^2*(F302*(C302/3*(E302^3-D302^3)-1/4*(E302^4-D302^4))+(F302-G302)/(D302-E302)*(1/4*(C302+D302)*(E302^4-D302^4)-1/5*(E302^5-D302^5)-1/3*C302*D302*(E302^3-D302^3)))</f>
        <v>4.887760416666668</v>
      </c>
    </row>
    <row r="303" spans="1:9" ht="12.75">
      <c r="A303" s="306"/>
      <c r="B303" s="187" t="s">
        <v>256</v>
      </c>
      <c r="C303" s="204" t="s">
        <v>428</v>
      </c>
      <c r="D303" s="204" t="s">
        <v>428</v>
      </c>
      <c r="E303" s="204" t="s">
        <v>428</v>
      </c>
      <c r="F303" s="204">
        <f>SUM(F301:F302)</f>
        <v>43.25000000000001</v>
      </c>
      <c r="G303" s="204">
        <f>SUM(G301:G302)</f>
        <v>74.075</v>
      </c>
      <c r="H303" s="191">
        <f>SUM(H301:H302)</f>
        <v>54.332344791666785</v>
      </c>
      <c r="I303" s="191">
        <f>SUM(I301:I302)</f>
        <v>60.35895338541668</v>
      </c>
    </row>
    <row r="304" spans="1:9" ht="12.75">
      <c r="A304" s="304" t="s">
        <v>715</v>
      </c>
      <c r="B304" s="197" t="s">
        <v>716</v>
      </c>
      <c r="C304" s="198">
        <f>C285</f>
        <v>3.35</v>
      </c>
      <c r="D304" s="198">
        <f aca="true" t="shared" si="8" ref="D304:G306">D285</f>
        <v>0</v>
      </c>
      <c r="E304" s="198">
        <f t="shared" si="8"/>
        <v>3.35</v>
      </c>
      <c r="F304" s="198">
        <f t="shared" si="8"/>
        <v>26.474626865671638</v>
      </c>
      <c r="G304" s="198">
        <f t="shared" si="8"/>
        <v>26.474626865671638</v>
      </c>
      <c r="H304" s="199">
        <f t="shared" si="5"/>
        <v>24.759291666666645</v>
      </c>
      <c r="I304" s="200">
        <f>1/C304^2*(F304*(C304/3*(E304^3-D304^3)-1/4*(E304^4-D304^4))+(F304-G304)/(D304-E304)*(1/4*(C304+D304)*(E304^4-D304^4)-1/5*(E304^5-D304^5)-1/3*C304*D304*(E304^3-D304^3)))</f>
        <v>24.759291666666677</v>
      </c>
    </row>
    <row r="305" spans="1:9" ht="12.75">
      <c r="A305" s="305"/>
      <c r="B305" s="197" t="s">
        <v>717</v>
      </c>
      <c r="C305" s="198">
        <f>C286</f>
        <v>3.35</v>
      </c>
      <c r="D305" s="198">
        <f t="shared" si="8"/>
        <v>0</v>
      </c>
      <c r="E305" s="198">
        <f t="shared" si="8"/>
        <v>3.35</v>
      </c>
      <c r="F305" s="198">
        <f t="shared" si="8"/>
        <v>87.48</v>
      </c>
      <c r="G305" s="198">
        <f t="shared" si="8"/>
        <v>87.48</v>
      </c>
      <c r="H305" s="199">
        <f t="shared" si="5"/>
        <v>81.81202499999993</v>
      </c>
      <c r="I305" s="200">
        <f>1/C305^2*(F305*(C305/3*(E305^3-D305^3)-1/4*(E305^4-D305^4))+(F305-G305)/(D305-E305)*(1/4*(C305+D305)*(E305^4-D305^4)-1/5*(E305^5-D305^5)-1/3*C305*D305*(E305^3-D305^3)))</f>
        <v>81.81202500000005</v>
      </c>
    </row>
    <row r="306" spans="1:9" ht="12.75">
      <c r="A306" s="306"/>
      <c r="B306" s="201" t="s">
        <v>262</v>
      </c>
      <c r="C306" s="202">
        <f>C287</f>
        <v>3.35</v>
      </c>
      <c r="D306" s="202">
        <f t="shared" si="8"/>
        <v>0</v>
      </c>
      <c r="E306" s="202">
        <f t="shared" si="8"/>
        <v>3.35</v>
      </c>
      <c r="F306" s="202">
        <v>0</v>
      </c>
      <c r="G306" s="202">
        <v>0</v>
      </c>
      <c r="H306" s="199">
        <f t="shared" si="5"/>
        <v>0</v>
      </c>
      <c r="I306" s="203">
        <f>1/C306^2*(F306*(C306/3*(E306^3-D306^3)-1/4*(E306^4-D306^4))+(F306-G306)/(D306-E306)*(1/4*(C306+D306)*(E306^4-D306^4)-1/5*(E306^5-D306^5)-1/3*C306*D306*(E306^3-D306^3)))</f>
        <v>0</v>
      </c>
    </row>
    <row r="307" spans="1:9" ht="12.75">
      <c r="A307" s="182"/>
      <c r="B307" s="187" t="s">
        <v>256</v>
      </c>
      <c r="C307" s="204" t="s">
        <v>428</v>
      </c>
      <c r="D307" s="204" t="s">
        <v>428</v>
      </c>
      <c r="E307" s="204" t="s">
        <v>428</v>
      </c>
      <c r="F307" s="204">
        <f>SUM(F304:F306)</f>
        <v>113.95462686567164</v>
      </c>
      <c r="G307" s="204">
        <f>SUM(G304:G306)</f>
        <v>113.95462686567164</v>
      </c>
      <c r="H307" s="191">
        <f>SUM(H304:H306)</f>
        <v>106.57131666666658</v>
      </c>
      <c r="I307" s="191">
        <f>SUM(I304:I306)</f>
        <v>106.57131666666672</v>
      </c>
    </row>
    <row r="310" ht="12.75">
      <c r="A310" s="176" t="s">
        <v>723</v>
      </c>
    </row>
    <row r="312" ht="18" customHeight="1">
      <c r="A312" s="176" t="s">
        <v>724</v>
      </c>
    </row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6" spans="2:8" ht="15">
      <c r="B326" s="10" t="s">
        <v>725</v>
      </c>
      <c r="C326" s="209">
        <f>C293</f>
        <v>3.4250000000000003</v>
      </c>
      <c r="D326" s="176" t="s">
        <v>264</v>
      </c>
      <c r="F326" s="10" t="s">
        <v>726</v>
      </c>
      <c r="G326" s="209">
        <f>C296</f>
        <v>3.35</v>
      </c>
      <c r="H326" s="176" t="s">
        <v>264</v>
      </c>
    </row>
    <row r="327" spans="2:7" ht="12.75">
      <c r="B327" s="10"/>
      <c r="C327" s="209"/>
      <c r="F327" s="10"/>
      <c r="G327" s="209"/>
    </row>
    <row r="328" ht="12.75">
      <c r="B328" s="176" t="s">
        <v>727</v>
      </c>
    </row>
    <row r="329" spans="2:4" ht="15">
      <c r="B329" s="176" t="s">
        <v>728</v>
      </c>
      <c r="C329" s="10" t="s">
        <v>729</v>
      </c>
      <c r="D329" s="175">
        <v>1</v>
      </c>
    </row>
    <row r="330" ht="20.25" customHeight="1"/>
    <row r="331" spans="2:4" ht="14.25">
      <c r="B331" s="176" t="s">
        <v>22</v>
      </c>
      <c r="D331" s="186">
        <f>C326/G326*L6^3/L5^3</f>
        <v>1.5261302815369227</v>
      </c>
    </row>
    <row r="332" ht="14.25">
      <c r="D332" s="186"/>
    </row>
    <row r="333" ht="14.25">
      <c r="D333" s="186"/>
    </row>
    <row r="334" spans="2:4" ht="14.25">
      <c r="B334" s="176" t="s">
        <v>23</v>
      </c>
      <c r="D334" s="186">
        <f>C326/G326*L7^3/L5^3</f>
        <v>2.1729472172664384</v>
      </c>
    </row>
    <row r="335" ht="18" customHeight="1">
      <c r="D335" s="186"/>
    </row>
    <row r="336" ht="12.75">
      <c r="A336" s="176" t="s">
        <v>730</v>
      </c>
    </row>
    <row r="338" ht="12.75">
      <c r="A338" s="176" t="s">
        <v>731</v>
      </c>
    </row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2.75">
      <c r="A348" s="176" t="s">
        <v>732</v>
      </c>
    </row>
    <row r="349" ht="12.75">
      <c r="B349" s="176" t="s">
        <v>733</v>
      </c>
    </row>
    <row r="350" spans="3:7" ht="15">
      <c r="C350" s="176" t="s">
        <v>734</v>
      </c>
      <c r="D350" s="264" t="s">
        <v>919</v>
      </c>
      <c r="E350" s="175">
        <f>H276</f>
        <v>55.47119296875015</v>
      </c>
      <c r="F350" s="264" t="s">
        <v>923</v>
      </c>
      <c r="G350" s="175">
        <f>I276</f>
        <v>49.444584375000034</v>
      </c>
    </row>
    <row r="351" spans="3:7" ht="15">
      <c r="C351" s="176" t="s">
        <v>293</v>
      </c>
      <c r="D351" s="264" t="s">
        <v>920</v>
      </c>
      <c r="E351" s="175">
        <f>H281</f>
        <v>99.67115416666658</v>
      </c>
      <c r="F351" s="264" t="s">
        <v>924</v>
      </c>
      <c r="G351" s="175">
        <f>I281</f>
        <v>99.67115416666672</v>
      </c>
    </row>
    <row r="352" spans="3:7" ht="15">
      <c r="C352" s="176" t="s">
        <v>261</v>
      </c>
      <c r="D352" s="264" t="s">
        <v>921</v>
      </c>
      <c r="E352" s="175">
        <f>H284</f>
        <v>49.444584375000105</v>
      </c>
      <c r="F352" s="264" t="s">
        <v>925</v>
      </c>
      <c r="G352" s="175">
        <f>I284</f>
        <v>55.47119296875002</v>
      </c>
    </row>
    <row r="353" spans="3:7" ht="15">
      <c r="C353" s="176" t="s">
        <v>298</v>
      </c>
      <c r="D353" s="264" t="s">
        <v>922</v>
      </c>
      <c r="E353" s="175">
        <f>H288</f>
        <v>114.03427916666656</v>
      </c>
      <c r="F353" s="264" t="s">
        <v>926</v>
      </c>
      <c r="G353" s="175">
        <f>I288</f>
        <v>114.03427916666672</v>
      </c>
    </row>
    <row r="355" spans="2:9" ht="15">
      <c r="B355" s="186">
        <f>2*($D$329+$D$334)</f>
        <v>6.345894434532877</v>
      </c>
      <c r="C355" s="186">
        <f>$D$329</f>
        <v>1</v>
      </c>
      <c r="D355" s="186">
        <v>0</v>
      </c>
      <c r="E355" s="186">
        <f>D334</f>
        <v>2.1729472172664384</v>
      </c>
      <c r="F355" s="175">
        <f>-3*D329</f>
        <v>-3</v>
      </c>
      <c r="G355" s="184" t="s">
        <v>743</v>
      </c>
      <c r="I355" s="206">
        <f>E350-G353</f>
        <v>-58.56308619791657</v>
      </c>
    </row>
    <row r="356" spans="2:9" ht="15">
      <c r="B356" s="186">
        <f>D329</f>
        <v>1</v>
      </c>
      <c r="C356" s="186">
        <f>2*(D329+D331)</f>
        <v>5.052260563073846</v>
      </c>
      <c r="D356" s="186">
        <f>D331</f>
        <v>1.5261302815369227</v>
      </c>
      <c r="E356" s="186">
        <v>0</v>
      </c>
      <c r="F356" s="175">
        <f>F355</f>
        <v>-3</v>
      </c>
      <c r="G356" s="184" t="s">
        <v>744</v>
      </c>
      <c r="I356" s="206">
        <f>E351-G350</f>
        <v>50.22656979166655</v>
      </c>
    </row>
    <row r="357" spans="2:9" ht="15">
      <c r="B357" s="186">
        <v>0</v>
      </c>
      <c r="C357" s="186">
        <f>D356</f>
        <v>1.5261302815369227</v>
      </c>
      <c r="D357" s="186">
        <f>C356</f>
        <v>5.052260563073846</v>
      </c>
      <c r="E357" s="186">
        <f>1</f>
        <v>1</v>
      </c>
      <c r="F357" s="175">
        <f>F356</f>
        <v>-3</v>
      </c>
      <c r="G357" s="184" t="s">
        <v>745</v>
      </c>
      <c r="H357" s="205" t="s">
        <v>304</v>
      </c>
      <c r="I357" s="206">
        <f>E352-G351</f>
        <v>-50.22656979166662</v>
      </c>
    </row>
    <row r="358" spans="2:9" ht="15">
      <c r="B358" s="186">
        <f>D334</f>
        <v>2.1729472172664384</v>
      </c>
      <c r="C358" s="186">
        <v>0</v>
      </c>
      <c r="D358" s="186">
        <f>D329</f>
        <v>1</v>
      </c>
      <c r="E358" s="186">
        <f>B355</f>
        <v>6.345894434532877</v>
      </c>
      <c r="F358" s="175">
        <f>F357</f>
        <v>-3</v>
      </c>
      <c r="G358" s="184" t="s">
        <v>746</v>
      </c>
      <c r="I358" s="206">
        <f>E353-G352</f>
        <v>58.56308619791655</v>
      </c>
    </row>
    <row r="359" spans="2:9" ht="12.75">
      <c r="B359" s="186">
        <f>C355</f>
        <v>1</v>
      </c>
      <c r="C359" s="186">
        <f>B359</f>
        <v>1</v>
      </c>
      <c r="D359" s="186">
        <f>C359</f>
        <v>1</v>
      </c>
      <c r="E359" s="186">
        <f>D359</f>
        <v>1</v>
      </c>
      <c r="F359" s="175">
        <f>-4*D329</f>
        <v>-4</v>
      </c>
      <c r="G359" s="10" t="s">
        <v>306</v>
      </c>
      <c r="I359" s="206">
        <f>E361</f>
        <v>6.631732200427601E-14</v>
      </c>
    </row>
    <row r="360" ht="14.25"/>
    <row r="361" spans="5:6" ht="14.25">
      <c r="E361" s="185">
        <f>1/3*(E350+E352-G350-G352)</f>
        <v>6.631732200427601E-14</v>
      </c>
      <c r="F361" s="176" t="s">
        <v>307</v>
      </c>
    </row>
    <row r="362" ht="14.25"/>
    <row r="363" spans="2:5" s="211" customFormat="1" ht="15">
      <c r="B363" s="176" t="s">
        <v>308</v>
      </c>
      <c r="C363" s="184" t="s">
        <v>747</v>
      </c>
      <c r="D363" s="210">
        <f>INDEX(MMULT(MINVERSE($B$355:$F$359),$I$355:$I$359),1)</f>
        <v>-18.719628534654852</v>
      </c>
      <c r="E363" s="211" t="s">
        <v>310</v>
      </c>
    </row>
    <row r="364" spans="3:5" s="211" customFormat="1" ht="15">
      <c r="C364" s="212" t="s">
        <v>748</v>
      </c>
      <c r="D364" s="210">
        <f>INDEX(MMULT(MINVERSE($B$355:$F$359),$I$355:$I$359),2)</f>
        <v>19.552935604032758</v>
      </c>
      <c r="E364" s="211" t="s">
        <v>310</v>
      </c>
    </row>
    <row r="365" spans="3:5" s="211" customFormat="1" ht="15">
      <c r="C365" s="212" t="s">
        <v>749</v>
      </c>
      <c r="D365" s="210">
        <f>INDEX(MMULT(MINVERSE($B$355:$F$359),$I$355:$I$359),3)</f>
        <v>-19.5529356040328</v>
      </c>
      <c r="E365" s="211" t="s">
        <v>310</v>
      </c>
    </row>
    <row r="366" spans="3:5" s="211" customFormat="1" ht="18" customHeight="1">
      <c r="C366" s="212" t="s">
        <v>750</v>
      </c>
      <c r="D366" s="210">
        <f>INDEX(MMULT(MINVERSE($B$355:$F$359),$I$355:$I$359),4)</f>
        <v>18.71962853465483</v>
      </c>
      <c r="E366" s="211" t="s">
        <v>310</v>
      </c>
    </row>
    <row r="367" spans="2:5" s="211" customFormat="1" ht="12.75">
      <c r="B367" s="211" t="s">
        <v>314</v>
      </c>
      <c r="C367" s="10" t="s">
        <v>751</v>
      </c>
      <c r="D367" s="210">
        <f>INDEX(MMULT(MINVERSE($B$355:$F$359),$I$355:$I$359),5)</f>
        <v>-3.0666751301656303E-14</v>
      </c>
      <c r="E367" s="211" t="s">
        <v>316</v>
      </c>
    </row>
    <row r="368" s="211" customFormat="1" ht="12.75">
      <c r="B368" s="211" t="s">
        <v>317</v>
      </c>
    </row>
    <row r="369" spans="1:6" ht="15">
      <c r="A369" s="211"/>
      <c r="B369" s="211"/>
      <c r="C369" s="211"/>
      <c r="D369" s="264" t="s">
        <v>909</v>
      </c>
      <c r="E369" s="175">
        <f>1*(2*D363+D364-3*D367)-E350</f>
        <v>-73.35751443402701</v>
      </c>
      <c r="F369" s="176" t="s">
        <v>318</v>
      </c>
    </row>
    <row r="370" spans="4:6" ht="15">
      <c r="D370" s="264" t="s">
        <v>910</v>
      </c>
      <c r="E370" s="175">
        <f>1*(D363+2*D364-3*D367)+G350</f>
        <v>69.83082704841078</v>
      </c>
      <c r="F370" s="176" t="s">
        <v>318</v>
      </c>
    </row>
    <row r="371" spans="4:6" ht="15">
      <c r="D371" s="264" t="s">
        <v>911</v>
      </c>
      <c r="E371" s="175">
        <f>$D$331*(2*D364+D365)-E351</f>
        <v>-69.83082704841081</v>
      </c>
      <c r="F371" s="176" t="s">
        <v>318</v>
      </c>
    </row>
    <row r="372" spans="4:6" ht="15">
      <c r="D372" s="264" t="s">
        <v>912</v>
      </c>
      <c r="E372" s="175">
        <f>$D$331*(D364+2*D365)+G351</f>
        <v>69.83082704841077</v>
      </c>
      <c r="F372" s="176" t="s">
        <v>318</v>
      </c>
    </row>
    <row r="373" spans="4:6" ht="15">
      <c r="D373" s="264" t="s">
        <v>913</v>
      </c>
      <c r="E373" s="175">
        <f>1*(2*D365+D366-3*D367)-E352</f>
        <v>-69.83082704841078</v>
      </c>
      <c r="F373" s="176" t="s">
        <v>318</v>
      </c>
    </row>
    <row r="374" spans="4:6" ht="15">
      <c r="D374" s="264" t="s">
        <v>928</v>
      </c>
      <c r="E374" s="175">
        <f>1*(D365+2*D366-3*D367)+G352</f>
        <v>73.35751443402697</v>
      </c>
      <c r="F374" s="176" t="s">
        <v>318</v>
      </c>
    </row>
    <row r="375" spans="4:6" ht="15">
      <c r="D375" s="264" t="s">
        <v>914</v>
      </c>
      <c r="E375" s="175">
        <f>$D$334*(2*D366+D363)-E353</f>
        <v>-73.35751443402698</v>
      </c>
      <c r="F375" s="176" t="s">
        <v>318</v>
      </c>
    </row>
    <row r="376" spans="4:6" ht="15">
      <c r="D376" s="264" t="s">
        <v>927</v>
      </c>
      <c r="E376" s="175">
        <f>$D$334*(D366+2*D363)+G353</f>
        <v>73.357514434027</v>
      </c>
      <c r="F376" s="176" t="s">
        <v>318</v>
      </c>
    </row>
    <row r="377" ht="12.75">
      <c r="E377" s="175"/>
    </row>
    <row r="378" spans="2:5" ht="12.75">
      <c r="B378" s="176" t="s">
        <v>319</v>
      </c>
      <c r="E378" s="175"/>
    </row>
    <row r="379" spans="4:6" ht="15">
      <c r="D379" s="264" t="s">
        <v>915</v>
      </c>
      <c r="E379" s="213">
        <f>E369+E376</f>
        <v>0</v>
      </c>
      <c r="F379" s="176" t="s">
        <v>320</v>
      </c>
    </row>
    <row r="380" spans="4:6" ht="15">
      <c r="D380" s="264" t="s">
        <v>916</v>
      </c>
      <c r="E380" s="213">
        <f>E370+E371</f>
        <v>0</v>
      </c>
      <c r="F380" s="176" t="s">
        <v>320</v>
      </c>
    </row>
    <row r="381" spans="4:6" ht="15">
      <c r="D381" s="264" t="s">
        <v>917</v>
      </c>
      <c r="E381" s="213">
        <f>E372+E373</f>
        <v>0</v>
      </c>
      <c r="F381" s="176" t="s">
        <v>320</v>
      </c>
    </row>
    <row r="382" spans="4:6" ht="15">
      <c r="D382" s="264" t="s">
        <v>918</v>
      </c>
      <c r="E382" s="213">
        <f>E374+E375</f>
        <v>0</v>
      </c>
      <c r="F382" s="176" t="s">
        <v>320</v>
      </c>
    </row>
    <row r="383" ht="12.75">
      <c r="A383" s="176" t="s">
        <v>752</v>
      </c>
    </row>
    <row r="384" ht="12.75">
      <c r="B384" s="176" t="s">
        <v>267</v>
      </c>
    </row>
    <row r="385" spans="3:7" ht="15">
      <c r="C385" s="176" t="s">
        <v>734</v>
      </c>
      <c r="D385" s="10" t="s">
        <v>735</v>
      </c>
      <c r="E385" s="175">
        <f>H295</f>
        <v>60.35895338541683</v>
      </c>
      <c r="F385" s="10" t="s">
        <v>736</v>
      </c>
      <c r="G385" s="175">
        <f>I295</f>
        <v>54.3323447916667</v>
      </c>
    </row>
    <row r="386" spans="3:7" ht="15">
      <c r="C386" s="176" t="s">
        <v>293</v>
      </c>
      <c r="D386" s="10" t="s">
        <v>737</v>
      </c>
      <c r="E386" s="175">
        <f>H300</f>
        <v>92.2081916666666</v>
      </c>
      <c r="F386" s="10" t="s">
        <v>738</v>
      </c>
      <c r="G386" s="175">
        <f>I300</f>
        <v>92.20819166666672</v>
      </c>
    </row>
    <row r="387" spans="3:7" ht="15">
      <c r="C387" s="176" t="s">
        <v>261</v>
      </c>
      <c r="D387" s="10" t="s">
        <v>739</v>
      </c>
      <c r="E387" s="175">
        <f>H303</f>
        <v>54.332344791666785</v>
      </c>
      <c r="F387" s="10" t="s">
        <v>740</v>
      </c>
      <c r="G387" s="175">
        <f>I303</f>
        <v>60.35895338541668</v>
      </c>
    </row>
    <row r="388" spans="3:7" ht="15">
      <c r="C388" s="176" t="s">
        <v>298</v>
      </c>
      <c r="D388" s="10" t="s">
        <v>741</v>
      </c>
      <c r="E388" s="175">
        <f>H307</f>
        <v>106.57131666666658</v>
      </c>
      <c r="F388" s="10" t="s">
        <v>742</v>
      </c>
      <c r="G388" s="175">
        <f>I307</f>
        <v>106.57131666666672</v>
      </c>
    </row>
    <row r="390" spans="2:9" ht="15">
      <c r="B390" s="186">
        <f aca="true" t="shared" si="9" ref="B390:F392">B355</f>
        <v>6.345894434532877</v>
      </c>
      <c r="C390" s="186">
        <f t="shared" si="9"/>
        <v>1</v>
      </c>
      <c r="D390" s="186">
        <f t="shared" si="9"/>
        <v>0</v>
      </c>
      <c r="E390" s="186">
        <f t="shared" si="9"/>
        <v>2.1729472172664384</v>
      </c>
      <c r="F390" s="186">
        <f t="shared" si="9"/>
        <v>-3</v>
      </c>
      <c r="G390" s="184" t="s">
        <v>743</v>
      </c>
      <c r="I390" s="206">
        <f>E385-G388</f>
        <v>-46.212363281249885</v>
      </c>
    </row>
    <row r="391" spans="2:9" ht="15">
      <c r="B391" s="186">
        <f t="shared" si="9"/>
        <v>1</v>
      </c>
      <c r="C391" s="186">
        <f t="shared" si="9"/>
        <v>5.052260563073846</v>
      </c>
      <c r="D391" s="186">
        <f t="shared" si="9"/>
        <v>1.5261302815369227</v>
      </c>
      <c r="E391" s="186">
        <f t="shared" si="9"/>
        <v>0</v>
      </c>
      <c r="F391" s="186">
        <f t="shared" si="9"/>
        <v>-3</v>
      </c>
      <c r="G391" s="184" t="s">
        <v>744</v>
      </c>
      <c r="I391" s="206">
        <f>E386-G385</f>
        <v>37.875846874999894</v>
      </c>
    </row>
    <row r="392" spans="2:9" ht="15">
      <c r="B392" s="186">
        <f t="shared" si="9"/>
        <v>0</v>
      </c>
      <c r="C392" s="186">
        <f t="shared" si="9"/>
        <v>1.5261302815369227</v>
      </c>
      <c r="D392" s="186">
        <f t="shared" si="9"/>
        <v>5.052260563073846</v>
      </c>
      <c r="E392" s="186">
        <f t="shared" si="9"/>
        <v>1</v>
      </c>
      <c r="F392" s="186">
        <f t="shared" si="9"/>
        <v>-3</v>
      </c>
      <c r="G392" s="184" t="s">
        <v>745</v>
      </c>
      <c r="H392" s="205" t="s">
        <v>304</v>
      </c>
      <c r="I392" s="206">
        <f>E387-G386</f>
        <v>-37.87584687499994</v>
      </c>
    </row>
    <row r="393" spans="2:9" ht="15">
      <c r="B393" s="186">
        <f aca="true" t="shared" si="10" ref="B393:F394">B358</f>
        <v>2.1729472172664384</v>
      </c>
      <c r="C393" s="186">
        <f t="shared" si="10"/>
        <v>0</v>
      </c>
      <c r="D393" s="186">
        <f t="shared" si="10"/>
        <v>1</v>
      </c>
      <c r="E393" s="186">
        <f t="shared" si="10"/>
        <v>6.345894434532877</v>
      </c>
      <c r="F393" s="186">
        <f t="shared" si="10"/>
        <v>-3</v>
      </c>
      <c r="G393" s="184" t="s">
        <v>746</v>
      </c>
      <c r="I393" s="206">
        <f>E388-G387</f>
        <v>46.21236328124989</v>
      </c>
    </row>
    <row r="394" spans="2:9" ht="12.75">
      <c r="B394" s="186">
        <f t="shared" si="10"/>
        <v>1</v>
      </c>
      <c r="C394" s="186">
        <f t="shared" si="10"/>
        <v>1</v>
      </c>
      <c r="D394" s="186">
        <f t="shared" si="10"/>
        <v>1</v>
      </c>
      <c r="E394" s="186">
        <f t="shared" si="10"/>
        <v>1</v>
      </c>
      <c r="F394" s="186">
        <f t="shared" si="10"/>
        <v>-4</v>
      </c>
      <c r="G394" s="10" t="s">
        <v>306</v>
      </c>
      <c r="I394" s="206">
        <f>E396</f>
        <v>7.579122514774402E-14</v>
      </c>
    </row>
    <row r="395" ht="14.25"/>
    <row r="396" spans="5:6" ht="14.25">
      <c r="E396" s="214">
        <f>1/3*(E385+E387-G385-G387)</f>
        <v>7.579122514774402E-14</v>
      </c>
      <c r="F396" s="176" t="s">
        <v>307</v>
      </c>
    </row>
    <row r="397" ht="14.25"/>
    <row r="398" ht="12.75">
      <c r="B398" s="176" t="s">
        <v>321</v>
      </c>
    </row>
    <row r="399" spans="2:5" s="211" customFormat="1" ht="15">
      <c r="B399" s="176"/>
      <c r="C399" s="264" t="s">
        <v>930</v>
      </c>
      <c r="D399" s="210">
        <f>INDEX(MMULT(MINVERSE($B$390:$F$394),$I$390:$I$394),1)</f>
        <v>-14.64353609237722</v>
      </c>
      <c r="E399" s="211" t="s">
        <v>322</v>
      </c>
    </row>
    <row r="400" spans="3:5" s="211" customFormat="1" ht="15">
      <c r="C400" s="264" t="s">
        <v>931</v>
      </c>
      <c r="D400" s="210">
        <f>INDEX(MMULT(MINVERSE($B$390:$F$394),$I$390:$I$394),2)</f>
        <v>14.894339906376235</v>
      </c>
      <c r="E400" s="211" t="s">
        <v>322</v>
      </c>
    </row>
    <row r="401" spans="3:5" s="211" customFormat="1" ht="15">
      <c r="C401" s="264" t="s">
        <v>932</v>
      </c>
      <c r="D401" s="210">
        <f>INDEX(MMULT(MINVERSE($B$390:$F$394),$I$390:$I$394),3)</f>
        <v>-14.894339906376272</v>
      </c>
      <c r="E401" s="211" t="s">
        <v>322</v>
      </c>
    </row>
    <row r="402" spans="3:5" s="211" customFormat="1" ht="15">
      <c r="C402" s="264" t="s">
        <v>933</v>
      </c>
      <c r="D402" s="210">
        <f>INDEX(MMULT(MINVERSE($B$390:$F$394),$I$390:$I$394),4)</f>
        <v>14.643536092377204</v>
      </c>
      <c r="E402" s="211" t="s">
        <v>322</v>
      </c>
    </row>
    <row r="403" spans="3:5" s="211" customFormat="1" ht="12.75">
      <c r="C403" s="264" t="s">
        <v>929</v>
      </c>
      <c r="D403" s="210">
        <f>INDEX(MMULT(MINVERSE($B$390:$F$394),$I$390:$I$394),5)</f>
        <v>-3.190737064652462E-14</v>
      </c>
      <c r="E403" s="211" t="s">
        <v>322</v>
      </c>
    </row>
    <row r="405" s="211" customFormat="1" ht="12.75">
      <c r="B405" s="211" t="s">
        <v>323</v>
      </c>
    </row>
    <row r="406" spans="2:6" ht="15">
      <c r="B406" s="211"/>
      <c r="C406" s="211"/>
      <c r="D406" s="264" t="s">
        <v>909</v>
      </c>
      <c r="E406" s="175">
        <f>$D$329*(2*D399+D400-3*D403)-E385</f>
        <v>-74.75168566379494</v>
      </c>
      <c r="F406" s="176" t="s">
        <v>318</v>
      </c>
    </row>
    <row r="407" spans="4:6" ht="15">
      <c r="D407" s="264" t="s">
        <v>910</v>
      </c>
      <c r="E407" s="175">
        <f>1*(D399+2*D400-3*D403)+G385</f>
        <v>69.47748851204204</v>
      </c>
      <c r="F407" s="176" t="s">
        <v>318</v>
      </c>
    </row>
    <row r="408" spans="4:6" ht="15">
      <c r="D408" s="264" t="s">
        <v>911</v>
      </c>
      <c r="E408" s="175">
        <f>$D$331*(2*D400+D401)-E386</f>
        <v>-69.47748851204207</v>
      </c>
      <c r="F408" s="176" t="s">
        <v>318</v>
      </c>
    </row>
    <row r="409" spans="4:6" ht="15">
      <c r="D409" s="264" t="s">
        <v>912</v>
      </c>
      <c r="E409" s="175">
        <f>$D$331*(D400+2*D401)+G386</f>
        <v>69.47748851204202</v>
      </c>
      <c r="F409" s="176" t="s">
        <v>318</v>
      </c>
    </row>
    <row r="410" spans="4:6" ht="15">
      <c r="D410" s="264" t="s">
        <v>913</v>
      </c>
      <c r="E410" s="175">
        <f>1*(2*D401+D402-3*D403)-E387</f>
        <v>-69.47748851204203</v>
      </c>
      <c r="F410" s="176" t="s">
        <v>318</v>
      </c>
    </row>
    <row r="411" spans="4:6" ht="15">
      <c r="D411" s="264" t="s">
        <v>928</v>
      </c>
      <c r="E411" s="175">
        <f>1*(D401+2*D402-3*D403)+G387</f>
        <v>74.75168566379492</v>
      </c>
      <c r="F411" s="176" t="s">
        <v>318</v>
      </c>
    </row>
    <row r="412" spans="4:6" ht="15">
      <c r="D412" s="264" t="s">
        <v>914</v>
      </c>
      <c r="E412" s="175">
        <f>$D$334*(2*D402+D399)-E388</f>
        <v>-74.75168566379492</v>
      </c>
      <c r="F412" s="176" t="s">
        <v>318</v>
      </c>
    </row>
    <row r="413" spans="4:6" ht="15">
      <c r="D413" s="264" t="s">
        <v>927</v>
      </c>
      <c r="E413" s="175">
        <f>$D$334*(2*D399+D402)+G388</f>
        <v>74.75168566379494</v>
      </c>
      <c r="F413" s="176" t="s">
        <v>318</v>
      </c>
    </row>
    <row r="414" spans="4:5" ht="12.75">
      <c r="D414" s="10"/>
      <c r="E414" s="175"/>
    </row>
    <row r="415" ht="12.75">
      <c r="B415" s="176" t="s">
        <v>319</v>
      </c>
    </row>
    <row r="416" spans="4:6" ht="15">
      <c r="D416" s="264" t="s">
        <v>915</v>
      </c>
      <c r="E416" s="213">
        <f>E406+E413</f>
        <v>0</v>
      </c>
      <c r="F416" s="176" t="s">
        <v>320</v>
      </c>
    </row>
    <row r="417" spans="4:6" ht="15">
      <c r="D417" s="264" t="s">
        <v>916</v>
      </c>
      <c r="E417" s="213">
        <f>E407+E408</f>
        <v>0</v>
      </c>
      <c r="F417" s="176" t="s">
        <v>320</v>
      </c>
    </row>
    <row r="418" spans="4:6" ht="15">
      <c r="D418" s="264" t="s">
        <v>917</v>
      </c>
      <c r="E418" s="213">
        <f>E409+E410</f>
        <v>0</v>
      </c>
      <c r="F418" s="176" t="s">
        <v>320</v>
      </c>
    </row>
    <row r="419" spans="4:6" ht="15">
      <c r="D419" s="264" t="s">
        <v>918</v>
      </c>
      <c r="E419" s="213">
        <f>E411+E412</f>
        <v>0</v>
      </c>
      <c r="F419" s="176" t="s">
        <v>320</v>
      </c>
    </row>
    <row r="420" ht="12.75">
      <c r="A420" s="176" t="s">
        <v>753</v>
      </c>
    </row>
    <row r="421" ht="12.75">
      <c r="A421" s="176" t="s">
        <v>754</v>
      </c>
    </row>
    <row r="423" ht="12.75">
      <c r="A423" s="176" t="s">
        <v>755</v>
      </c>
    </row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>
      <c r="B433" s="176" t="s">
        <v>324</v>
      </c>
    </row>
    <row r="434" ht="14.25"/>
    <row r="435" ht="14.25"/>
    <row r="436" ht="14.25"/>
    <row r="437" ht="14.25"/>
    <row r="438" ht="14.25">
      <c r="B438" s="176" t="s">
        <v>756</v>
      </c>
    </row>
    <row r="439" ht="14.25"/>
    <row r="441" spans="2:6" ht="12.75">
      <c r="B441" s="176" t="s">
        <v>326</v>
      </c>
      <c r="D441" s="10"/>
      <c r="F441" s="10"/>
    </row>
    <row r="442" ht="14.25"/>
    <row r="443" ht="14.25">
      <c r="B443" s="176" t="s">
        <v>757</v>
      </c>
    </row>
    <row r="444" ht="14.25"/>
    <row r="446" ht="14.25"/>
    <row r="447" ht="14.25">
      <c r="B447" s="176" t="s">
        <v>758</v>
      </c>
    </row>
    <row r="448" ht="14.25"/>
    <row r="450" ht="12.75">
      <c r="A450" s="176" t="s">
        <v>759</v>
      </c>
    </row>
    <row r="451" ht="14.25"/>
    <row r="452" ht="14.25"/>
    <row r="453" ht="14.25"/>
    <row r="454" ht="14.25"/>
    <row r="455" ht="14.25"/>
    <row r="456" ht="14.25"/>
    <row r="457" ht="14.25"/>
    <row r="458" ht="14.25">
      <c r="B458" s="176" t="s">
        <v>328</v>
      </c>
    </row>
    <row r="459" ht="14.25"/>
    <row r="460" ht="14.25"/>
    <row r="461" ht="14.25"/>
    <row r="462" ht="14.25"/>
    <row r="463" ht="14.25"/>
    <row r="464" ht="12.75">
      <c r="B464" s="176" t="s">
        <v>756</v>
      </c>
    </row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2.75">
      <c r="B476" s="176" t="s">
        <v>326</v>
      </c>
    </row>
    <row r="478" ht="12.75">
      <c r="B478" s="176" t="s">
        <v>757</v>
      </c>
    </row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2.75">
      <c r="B491" s="176" t="s">
        <v>758</v>
      </c>
    </row>
    <row r="492" ht="14.25"/>
    <row r="493" ht="14.25"/>
    <row r="494" ht="14.25"/>
    <row r="495" ht="12.75">
      <c r="A495" s="176" t="s">
        <v>760</v>
      </c>
    </row>
    <row r="497" spans="2:9" ht="12.75">
      <c r="B497" s="176" t="s">
        <v>761</v>
      </c>
      <c r="C497" s="264" t="s">
        <v>982</v>
      </c>
      <c r="D497" s="209">
        <f>C326</f>
        <v>3.4250000000000003</v>
      </c>
      <c r="E497" s="176" t="s">
        <v>331</v>
      </c>
      <c r="F497" s="176" t="s">
        <v>279</v>
      </c>
      <c r="G497" s="264" t="s">
        <v>981</v>
      </c>
      <c r="H497" s="176">
        <f>G72/1000</f>
        <v>0.25</v>
      </c>
      <c r="I497" s="176" t="s">
        <v>333</v>
      </c>
    </row>
    <row r="499" spans="2:69" s="211" customFormat="1" ht="12.75">
      <c r="B499" s="190" t="s">
        <v>334</v>
      </c>
      <c r="C499" s="187" t="s">
        <v>335</v>
      </c>
      <c r="D499" s="187" t="s">
        <v>336</v>
      </c>
      <c r="E499" s="187" t="s">
        <v>337</v>
      </c>
      <c r="F499" s="187" t="s">
        <v>268</v>
      </c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215"/>
      <c r="AD499" s="215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  <c r="AU499" s="215"/>
      <c r="AV499" s="215"/>
      <c r="AW499" s="215"/>
      <c r="AX499" s="215"/>
      <c r="AY499" s="215"/>
      <c r="AZ499" s="215"/>
      <c r="BA499" s="215"/>
      <c r="BB499" s="215"/>
      <c r="BC499" s="215"/>
      <c r="BD499" s="215"/>
      <c r="BE499" s="215"/>
      <c r="BF499" s="215"/>
      <c r="BG499" s="215"/>
      <c r="BH499" s="215"/>
      <c r="BI499" s="215"/>
      <c r="BJ499" s="215"/>
      <c r="BK499" s="215"/>
      <c r="BL499" s="215"/>
      <c r="BM499" s="215"/>
      <c r="BN499" s="215"/>
      <c r="BO499" s="215"/>
      <c r="BP499" s="215"/>
      <c r="BQ499" s="215"/>
    </row>
    <row r="500" spans="2:69" s="211" customFormat="1" ht="15">
      <c r="B500" s="324" t="s">
        <v>338</v>
      </c>
      <c r="C500" s="267" t="s">
        <v>934</v>
      </c>
      <c r="D500" s="183" t="s">
        <v>636</v>
      </c>
      <c r="E500" s="198">
        <f>F276</f>
        <v>69.075</v>
      </c>
      <c r="F500" s="198">
        <f>F295</f>
        <v>74.075</v>
      </c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322"/>
      <c r="BN500" s="323"/>
      <c r="BO500" s="323"/>
      <c r="BP500" s="218"/>
      <c r="BQ500" s="215"/>
    </row>
    <row r="501" spans="2:69" s="211" customFormat="1" ht="15">
      <c r="B501" s="325"/>
      <c r="C501" s="268" t="s">
        <v>935</v>
      </c>
      <c r="D501" s="182" t="s">
        <v>636</v>
      </c>
      <c r="E501" s="202">
        <f>G276</f>
        <v>38.25000000000001</v>
      </c>
      <c r="F501" s="202">
        <f>G295</f>
        <v>43.25000000000001</v>
      </c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219"/>
      <c r="AD501" s="219"/>
      <c r="AE501" s="219"/>
      <c r="AF501" s="219"/>
      <c r="AG501" s="219"/>
      <c r="AH501" s="219"/>
      <c r="AI501" s="219"/>
      <c r="AJ501" s="219"/>
      <c r="AK501" s="219"/>
      <c r="AL501" s="219"/>
      <c r="AM501" s="219"/>
      <c r="AN501" s="219"/>
      <c r="AO501" s="219"/>
      <c r="AP501" s="219"/>
      <c r="AQ501" s="219"/>
      <c r="AR501" s="219"/>
      <c r="AS501" s="219"/>
      <c r="AT501" s="219"/>
      <c r="AU501" s="219"/>
      <c r="AV501" s="219"/>
      <c r="AW501" s="219"/>
      <c r="AX501" s="219"/>
      <c r="AY501" s="219"/>
      <c r="AZ501" s="219"/>
      <c r="BA501" s="219"/>
      <c r="BB501" s="219"/>
      <c r="BC501" s="219"/>
      <c r="BD501" s="219"/>
      <c r="BE501" s="219"/>
      <c r="BF501" s="219"/>
      <c r="BG501" s="219"/>
      <c r="BH501" s="219"/>
      <c r="BI501" s="219"/>
      <c r="BJ501" s="219"/>
      <c r="BK501" s="219"/>
      <c r="BL501" s="219"/>
      <c r="BM501" s="220"/>
      <c r="BN501" s="220"/>
      <c r="BO501" s="220"/>
      <c r="BP501" s="221"/>
      <c r="BQ501" s="215"/>
    </row>
    <row r="502" spans="2:69" s="211" customFormat="1" ht="15">
      <c r="B502" s="265" t="s">
        <v>342</v>
      </c>
      <c r="C502" s="267" t="s">
        <v>936</v>
      </c>
      <c r="D502" s="183" t="s">
        <v>344</v>
      </c>
      <c r="E502" s="200">
        <f>E369</f>
        <v>-73.35751443402701</v>
      </c>
      <c r="F502" s="200">
        <f>E406</f>
        <v>-74.75168566379494</v>
      </c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  <c r="AA502" s="176"/>
      <c r="AB502" s="176"/>
      <c r="AC502" s="219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19"/>
      <c r="AT502" s="219"/>
      <c r="AU502" s="219"/>
      <c r="AV502" s="219"/>
      <c r="AW502" s="219"/>
      <c r="AX502" s="219"/>
      <c r="AY502" s="219"/>
      <c r="AZ502" s="219"/>
      <c r="BA502" s="219"/>
      <c r="BB502" s="219"/>
      <c r="BC502" s="219"/>
      <c r="BD502" s="219"/>
      <c r="BE502" s="219"/>
      <c r="BF502" s="219"/>
      <c r="BG502" s="219"/>
      <c r="BH502" s="219"/>
      <c r="BI502" s="219"/>
      <c r="BJ502" s="219"/>
      <c r="BK502" s="219"/>
      <c r="BL502" s="219"/>
      <c r="BM502" s="220"/>
      <c r="BN502" s="220"/>
      <c r="BO502" s="220"/>
      <c r="BP502" s="221"/>
      <c r="BQ502" s="215"/>
    </row>
    <row r="503" spans="2:69" s="211" customFormat="1" ht="15">
      <c r="B503" s="229" t="s">
        <v>345</v>
      </c>
      <c r="C503" s="268" t="s">
        <v>937</v>
      </c>
      <c r="D503" s="182" t="s">
        <v>344</v>
      </c>
      <c r="E503" s="203">
        <f>E370</f>
        <v>69.83082704841078</v>
      </c>
      <c r="F503" s="203">
        <f>E407</f>
        <v>69.47748851204204</v>
      </c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20"/>
      <c r="BN503" s="220"/>
      <c r="BO503" s="220"/>
      <c r="BP503" s="217"/>
      <c r="BQ503" s="215"/>
    </row>
    <row r="504" spans="2:69" s="211" customFormat="1" ht="15">
      <c r="B504" s="265" t="s">
        <v>342</v>
      </c>
      <c r="C504" s="267" t="s">
        <v>938</v>
      </c>
      <c r="D504" s="183" t="s">
        <v>348</v>
      </c>
      <c r="E504" s="200">
        <f>(2*E500+E501)/6*$D$497-(E502+E503)/$D$497</f>
        <v>101.72468974762519</v>
      </c>
      <c r="F504" s="200">
        <f>(2*F500+F501)/6*$D$497-(F502+F503)/$D$497</f>
        <v>110.79741157715415</v>
      </c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  <c r="AA504" s="176"/>
      <c r="AB504" s="176"/>
      <c r="AC504" s="215"/>
      <c r="AD504" s="215"/>
      <c r="AE504" s="215"/>
      <c r="AF504" s="215"/>
      <c r="AG504" s="215"/>
      <c r="AH504" s="215"/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15"/>
      <c r="AT504" s="215"/>
      <c r="AU504" s="215"/>
      <c r="AV504" s="215"/>
      <c r="AW504" s="215"/>
      <c r="AX504" s="215"/>
      <c r="AY504" s="215"/>
      <c r="AZ504" s="215"/>
      <c r="BA504" s="215"/>
      <c r="BB504" s="215"/>
      <c r="BC504" s="215"/>
      <c r="BD504" s="215"/>
      <c r="BE504" s="215"/>
      <c r="BF504" s="215"/>
      <c r="BG504" s="215"/>
      <c r="BH504" s="215"/>
      <c r="BI504" s="215"/>
      <c r="BJ504" s="215"/>
      <c r="BK504" s="215"/>
      <c r="BL504" s="215"/>
      <c r="BM504" s="215"/>
      <c r="BN504" s="215"/>
      <c r="BO504" s="215"/>
      <c r="BP504" s="215"/>
      <c r="BQ504" s="215"/>
    </row>
    <row r="505" spans="2:69" s="211" customFormat="1" ht="15">
      <c r="B505" s="229" t="s">
        <v>349</v>
      </c>
      <c r="C505" s="268" t="s">
        <v>939</v>
      </c>
      <c r="D505" s="182" t="s">
        <v>348</v>
      </c>
      <c r="E505" s="203">
        <f>E504-(E500+E501)/2*$D$497</f>
        <v>-82.06937275237486</v>
      </c>
      <c r="F505" s="203">
        <f>F504-(F500+F501)/2*$D$497</f>
        <v>-90.1216509228459</v>
      </c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15"/>
      <c r="AT505" s="215"/>
      <c r="AU505" s="215"/>
      <c r="AV505" s="215"/>
      <c r="AW505" s="215"/>
      <c r="AX505" s="215"/>
      <c r="AY505" s="215"/>
      <c r="AZ505" s="215"/>
      <c r="BA505" s="215"/>
      <c r="BB505" s="215"/>
      <c r="BC505" s="215"/>
      <c r="BD505" s="215"/>
      <c r="BE505" s="215"/>
      <c r="BF505" s="215"/>
      <c r="BG505" s="215"/>
      <c r="BH505" s="215"/>
      <c r="BI505" s="215"/>
      <c r="BJ505" s="215"/>
      <c r="BK505" s="215"/>
      <c r="BL505" s="215"/>
      <c r="BM505" s="215"/>
      <c r="BN505" s="215"/>
      <c r="BO505" s="215"/>
      <c r="BP505" s="215"/>
      <c r="BQ505" s="215"/>
    </row>
    <row r="506" spans="2:69" s="211" customFormat="1" ht="12.75">
      <c r="B506" s="265" t="s">
        <v>349</v>
      </c>
      <c r="C506" s="267" t="str">
        <f>"x="&amp;J716</f>
        <v>x=0</v>
      </c>
      <c r="D506" s="222" t="s">
        <v>351</v>
      </c>
      <c r="E506" s="224">
        <f aca="true" t="shared" si="11" ref="E506:F508">E$504-E$500*$J716-(E$501-E$500)/2/$D$497*$J716^2</f>
        <v>101.72468974762519</v>
      </c>
      <c r="F506" s="224">
        <f t="shared" si="11"/>
        <v>110.79741157715415</v>
      </c>
      <c r="AC506" s="215"/>
      <c r="AD506" s="215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5"/>
      <c r="AT506" s="215"/>
      <c r="AU506" s="215"/>
      <c r="AV506" s="215"/>
      <c r="AW506" s="215"/>
      <c r="AX506" s="215"/>
      <c r="AY506" s="215"/>
      <c r="AZ506" s="215"/>
      <c r="BA506" s="215"/>
      <c r="BB506" s="215"/>
      <c r="BC506" s="215"/>
      <c r="BD506" s="215"/>
      <c r="BE506" s="215"/>
      <c r="BF506" s="215"/>
      <c r="BG506" s="215"/>
      <c r="BH506" s="215"/>
      <c r="BI506" s="215"/>
      <c r="BJ506" s="215"/>
      <c r="BK506" s="215"/>
      <c r="BL506" s="215"/>
      <c r="BM506" s="215"/>
      <c r="BN506" s="215"/>
      <c r="BO506" s="215"/>
      <c r="BP506" s="215"/>
      <c r="BQ506" s="215"/>
    </row>
    <row r="507" spans="2:69" s="211" customFormat="1" ht="15">
      <c r="B507" s="266" t="s">
        <v>762</v>
      </c>
      <c r="C507" s="267" t="str">
        <f>"x="&amp;J717</f>
        <v>x=0.5</v>
      </c>
      <c r="D507" s="183" t="s">
        <v>351</v>
      </c>
      <c r="E507" s="200">
        <f t="shared" si="11"/>
        <v>68.31218974762518</v>
      </c>
      <c r="F507" s="200">
        <f t="shared" si="11"/>
        <v>74.88491157715416</v>
      </c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215"/>
      <c r="AD507" s="215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5"/>
      <c r="AT507" s="215"/>
      <c r="AU507" s="215"/>
      <c r="AV507" s="215"/>
      <c r="AW507" s="215"/>
      <c r="AX507" s="215"/>
      <c r="AY507" s="215"/>
      <c r="AZ507" s="215"/>
      <c r="BA507" s="215"/>
      <c r="BB507" s="215"/>
      <c r="BC507" s="215"/>
      <c r="BD507" s="215"/>
      <c r="BE507" s="215"/>
      <c r="BF507" s="215"/>
      <c r="BG507" s="215"/>
      <c r="BH507" s="215"/>
      <c r="BI507" s="215"/>
      <c r="BJ507" s="215"/>
      <c r="BK507" s="215"/>
      <c r="BL507" s="215"/>
      <c r="BM507" s="215"/>
      <c r="BN507" s="215"/>
      <c r="BO507" s="215"/>
      <c r="BP507" s="215"/>
      <c r="BQ507" s="215"/>
    </row>
    <row r="508" spans="2:69" s="211" customFormat="1" ht="12.75">
      <c r="B508" s="229" t="s">
        <v>353</v>
      </c>
      <c r="C508" s="268" t="str">
        <f>"x="&amp;J718</f>
        <v>x=2.925</v>
      </c>
      <c r="D508" s="223" t="s">
        <v>351</v>
      </c>
      <c r="E508" s="225">
        <f t="shared" si="11"/>
        <v>-61.81937275237484</v>
      </c>
      <c r="F508" s="225">
        <f t="shared" si="11"/>
        <v>-67.37165092284587</v>
      </c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Q508" s="226"/>
      <c r="AR508" s="226"/>
      <c r="AS508" s="226"/>
      <c r="AT508" s="226"/>
      <c r="AU508" s="226"/>
      <c r="AV508" s="226"/>
      <c r="AW508" s="226"/>
      <c r="AX508" s="226"/>
      <c r="AY508" s="226"/>
      <c r="AZ508" s="226"/>
      <c r="BA508" s="226"/>
      <c r="BB508" s="226"/>
      <c r="BC508" s="226"/>
      <c r="BD508" s="226"/>
      <c r="BE508" s="226"/>
      <c r="BF508" s="226"/>
      <c r="BG508" s="226"/>
      <c r="BH508" s="226"/>
      <c r="BI508" s="226"/>
      <c r="BJ508" s="226"/>
      <c r="BK508" s="226"/>
      <c r="BL508" s="226"/>
      <c r="BM508" s="227"/>
      <c r="BN508" s="228"/>
      <c r="BO508" s="210"/>
      <c r="BP508" s="215"/>
      <c r="BQ508" s="215"/>
    </row>
    <row r="509" spans="2:69" s="211" customFormat="1" ht="15">
      <c r="B509" s="265" t="s">
        <v>354</v>
      </c>
      <c r="C509" s="267" t="s">
        <v>940</v>
      </c>
      <c r="D509" s="183" t="s">
        <v>344</v>
      </c>
      <c r="E509" s="200">
        <f>E502</f>
        <v>-73.35751443402701</v>
      </c>
      <c r="F509" s="200">
        <f>F502</f>
        <v>-74.75168566379494</v>
      </c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  <c r="AU509" s="215"/>
      <c r="AV509" s="215"/>
      <c r="AW509" s="215"/>
      <c r="AX509" s="215"/>
      <c r="AY509" s="215"/>
      <c r="AZ509" s="215"/>
      <c r="BA509" s="215"/>
      <c r="BB509" s="215"/>
      <c r="BC509" s="215"/>
      <c r="BD509" s="215"/>
      <c r="BE509" s="215"/>
      <c r="BF509" s="215"/>
      <c r="BG509" s="215"/>
      <c r="BH509" s="215"/>
      <c r="BI509" s="215"/>
      <c r="BJ509" s="215"/>
      <c r="BK509" s="215"/>
      <c r="BL509" s="215"/>
      <c r="BM509" s="227"/>
      <c r="BN509" s="228"/>
      <c r="BO509" s="210"/>
      <c r="BP509" s="215"/>
      <c r="BQ509" s="215"/>
    </row>
    <row r="510" spans="2:69" s="211" customFormat="1" ht="15">
      <c r="B510" s="229" t="s">
        <v>345</v>
      </c>
      <c r="C510" s="268" t="s">
        <v>941</v>
      </c>
      <c r="D510" s="182" t="s">
        <v>344</v>
      </c>
      <c r="E510" s="203">
        <f>-E503</f>
        <v>-69.83082704841078</v>
      </c>
      <c r="F510" s="203">
        <f>-F503</f>
        <v>-69.47748851204204</v>
      </c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  <c r="AU510" s="215"/>
      <c r="AV510" s="215"/>
      <c r="AW510" s="215"/>
      <c r="AX510" s="215"/>
      <c r="AY510" s="215"/>
      <c r="AZ510" s="215"/>
      <c r="BA510" s="215"/>
      <c r="BB510" s="215"/>
      <c r="BC510" s="215"/>
      <c r="BD510" s="215"/>
      <c r="BE510" s="215"/>
      <c r="BF510" s="215"/>
      <c r="BG510" s="215"/>
      <c r="BH510" s="215"/>
      <c r="BI510" s="215"/>
      <c r="BJ510" s="215"/>
      <c r="BK510" s="215"/>
      <c r="BL510" s="215"/>
      <c r="BM510" s="227"/>
      <c r="BN510" s="227"/>
      <c r="BO510" s="210"/>
      <c r="BP510" s="215"/>
      <c r="BQ510" s="215"/>
    </row>
    <row r="511" spans="2:6" ht="15">
      <c r="B511" s="265" t="s">
        <v>357</v>
      </c>
      <c r="C511" s="267" t="s">
        <v>942</v>
      </c>
      <c r="D511" s="183" t="s">
        <v>359</v>
      </c>
      <c r="E511" s="230">
        <f>(E500-(E500^2-2*E504*(E500-E501)/$D$497)^0.5)/((E500-E501)/$D$497)</f>
        <v>1.6500403827563608</v>
      </c>
      <c r="F511" s="230">
        <f>(F500-(F500^2-2*F504*(F500-F501)/$D$497)^0.5)/((F500-F501)/$D$497)</f>
        <v>1.6639432070198927</v>
      </c>
    </row>
    <row r="512" spans="2:6" ht="15">
      <c r="B512" s="231" t="s">
        <v>360</v>
      </c>
      <c r="C512" s="268" t="s">
        <v>943</v>
      </c>
      <c r="D512" s="182" t="s">
        <v>362</v>
      </c>
      <c r="E512" s="203">
        <f>E504*E511-E500/2*E511^2-(E501-E500)*E511^3/6/$D$497+E502</f>
        <v>7.198067443768522</v>
      </c>
      <c r="F512" s="203">
        <f>F504*F511-F500/2*F511^2-(F501-F500)*F511^3/6/$D$497+F502</f>
        <v>13.973386111900325</v>
      </c>
    </row>
    <row r="515" ht="12.75">
      <c r="A515" s="176" t="s">
        <v>763</v>
      </c>
    </row>
    <row r="516" spans="2:9" ht="12.75">
      <c r="B516" s="176" t="s">
        <v>329</v>
      </c>
      <c r="C516" s="264" t="s">
        <v>982</v>
      </c>
      <c r="D516" s="209">
        <f>O109</f>
        <v>3.35</v>
      </c>
      <c r="E516" s="176" t="s">
        <v>331</v>
      </c>
      <c r="F516" s="176" t="s">
        <v>279</v>
      </c>
      <c r="G516" s="264" t="s">
        <v>981</v>
      </c>
      <c r="H516" s="176">
        <f>G75/1000</f>
        <v>0.3</v>
      </c>
      <c r="I516" s="176" t="s">
        <v>333</v>
      </c>
    </row>
    <row r="518" spans="2:6" ht="12.75">
      <c r="B518" s="187" t="s">
        <v>334</v>
      </c>
      <c r="C518" s="187" t="s">
        <v>335</v>
      </c>
      <c r="D518" s="187" t="s">
        <v>336</v>
      </c>
      <c r="E518" s="187" t="s">
        <v>337</v>
      </c>
      <c r="F518" s="187" t="s">
        <v>268</v>
      </c>
    </row>
    <row r="519" spans="2:6" ht="15">
      <c r="B519" s="269"/>
      <c r="C519" s="267" t="s">
        <v>944</v>
      </c>
      <c r="D519" s="183" t="s">
        <v>764</v>
      </c>
      <c r="E519" s="198">
        <f>F296+F297</f>
        <v>98.59641791044777</v>
      </c>
      <c r="F519" s="198">
        <f>E519</f>
        <v>98.59641791044777</v>
      </c>
    </row>
    <row r="520" spans="2:6" ht="15">
      <c r="B520" s="270" t="s">
        <v>338</v>
      </c>
      <c r="C520" s="267" t="s">
        <v>945</v>
      </c>
      <c r="D520" s="183" t="s">
        <v>636</v>
      </c>
      <c r="E520" s="198">
        <f>F279</f>
        <v>7.98</v>
      </c>
      <c r="F520" s="198">
        <v>0</v>
      </c>
    </row>
    <row r="521" spans="2:6" ht="15">
      <c r="B521" s="173"/>
      <c r="C521" s="268" t="s">
        <v>946</v>
      </c>
      <c r="D521" s="182" t="s">
        <v>636</v>
      </c>
      <c r="E521" s="202">
        <f>K215</f>
        <v>2.22</v>
      </c>
      <c r="F521" s="202">
        <f>0</f>
        <v>0</v>
      </c>
    </row>
    <row r="522" spans="2:8" ht="12.75">
      <c r="B522" s="271" t="s">
        <v>765</v>
      </c>
      <c r="C522" s="267" t="s">
        <v>947</v>
      </c>
      <c r="D522" s="183" t="s">
        <v>365</v>
      </c>
      <c r="E522" s="198">
        <f>D279</f>
        <v>0</v>
      </c>
      <c r="F522" s="198">
        <v>0</v>
      </c>
      <c r="H522" s="209"/>
    </row>
    <row r="523" spans="2:9" ht="12.75">
      <c r="B523" s="271" t="s">
        <v>766</v>
      </c>
      <c r="C523" s="267" t="s">
        <v>948</v>
      </c>
      <c r="D523" s="183" t="s">
        <v>367</v>
      </c>
      <c r="E523" s="198">
        <f>E232</f>
        <v>3.35</v>
      </c>
      <c r="F523" s="198">
        <f>D516</f>
        <v>3.35</v>
      </c>
      <c r="H523" s="209"/>
      <c r="I523" s="209"/>
    </row>
    <row r="524" spans="2:6" ht="12.75">
      <c r="B524" s="173"/>
      <c r="C524" s="268" t="s">
        <v>949</v>
      </c>
      <c r="D524" s="182" t="s">
        <v>367</v>
      </c>
      <c r="E524" s="202">
        <f>$E$233</f>
        <v>0</v>
      </c>
      <c r="F524" s="202">
        <v>0</v>
      </c>
    </row>
    <row r="525" spans="2:6" ht="15">
      <c r="B525" s="270" t="s">
        <v>767</v>
      </c>
      <c r="C525" s="267" t="s">
        <v>950</v>
      </c>
      <c r="D525" s="183" t="s">
        <v>344</v>
      </c>
      <c r="E525" s="200">
        <f>E371</f>
        <v>-69.83082704841081</v>
      </c>
      <c r="F525" s="200">
        <f>E408</f>
        <v>-69.47748851204207</v>
      </c>
    </row>
    <row r="526" spans="2:6" ht="15">
      <c r="B526" s="231" t="s">
        <v>345</v>
      </c>
      <c r="C526" s="268" t="s">
        <v>951</v>
      </c>
      <c r="D526" s="182" t="s">
        <v>344</v>
      </c>
      <c r="E526" s="203">
        <f>E372</f>
        <v>69.83082704841077</v>
      </c>
      <c r="F526" s="203">
        <f>E409</f>
        <v>69.47748851204202</v>
      </c>
    </row>
    <row r="527" spans="2:6" ht="15">
      <c r="B527" s="270" t="s">
        <v>767</v>
      </c>
      <c r="C527" s="267" t="s">
        <v>952</v>
      </c>
      <c r="D527" s="183" t="s">
        <v>348</v>
      </c>
      <c r="E527" s="200">
        <f>0.5*(E519*$D$516+E520*E523+E521/$D$516*E524^2)-(E525+E526)/$D$516</f>
        <v>178.51550000000003</v>
      </c>
      <c r="F527" s="200">
        <f>0.5*(F519*$D$516+F520*F523+F521/$D$516*F524^2)-(F525+F526)/$D$516</f>
        <v>165.14900000000006</v>
      </c>
    </row>
    <row r="528" spans="2:8" ht="15">
      <c r="B528" s="231" t="s">
        <v>349</v>
      </c>
      <c r="C528" s="268" t="s">
        <v>953</v>
      </c>
      <c r="D528" s="182" t="s">
        <v>348</v>
      </c>
      <c r="E528" s="203">
        <f>E527-E519*$D$516-E520*E523-E521*E524</f>
        <v>-178.51550000000003</v>
      </c>
      <c r="F528" s="203">
        <f>F527-F519*$D$516-F520*F523-F521*F524</f>
        <v>-165.149</v>
      </c>
      <c r="H528" s="176" t="s">
        <v>85</v>
      </c>
    </row>
    <row r="529" spans="2:8" ht="12.75">
      <c r="B529" s="270" t="s">
        <v>349</v>
      </c>
      <c r="C529" s="267" t="str">
        <f>"x="&amp;J748</f>
        <v>x=0</v>
      </c>
      <c r="D529" s="183" t="s">
        <v>351</v>
      </c>
      <c r="E529" s="200">
        <f>E527-E519*$J748</f>
        <v>178.51550000000003</v>
      </c>
      <c r="F529" s="200">
        <f>F527-F519*$J748</f>
        <v>165.14900000000006</v>
      </c>
      <c r="H529" s="176" t="s">
        <v>5</v>
      </c>
    </row>
    <row r="530" spans="2:8" ht="15">
      <c r="B530" s="266" t="s">
        <v>762</v>
      </c>
      <c r="C530" s="267" t="str">
        <f>"x="&amp;J749</f>
        <v>x=0.6</v>
      </c>
      <c r="D530" s="183" t="s">
        <v>351</v>
      </c>
      <c r="E530" s="200">
        <f>IF($J749&lt;=E522,E527-E519*$J749,IF($J749&lt;=E522+E523,E527-E519*$J749-E520*($J749-E522),0))</f>
        <v>114.56964925373138</v>
      </c>
      <c r="F530" s="200">
        <f>IF($J749&lt;=F522,F527-F519*$J749,IF($J749&lt;=F522+F523,F527-F519*$J749-F520*($J749-F522),1))</f>
        <v>105.99114925373141</v>
      </c>
      <c r="H530" s="176" t="s">
        <v>6</v>
      </c>
    </row>
    <row r="531" spans="2:8" ht="12.75">
      <c r="B531" s="231" t="s">
        <v>353</v>
      </c>
      <c r="C531" s="268" t="str">
        <f>"x="&amp;J750</f>
        <v>x=2.75</v>
      </c>
      <c r="D531" s="182" t="s">
        <v>351</v>
      </c>
      <c r="E531" s="203">
        <f>IF($J750&lt;=E522,E527-E519*$J750,IF($J750&lt;=E522+E523,E527-E519*$J750-E520*($J750-E522),IF($J750&lt;=$D$516-E524,E527-E519*$J750-E520*E523-E521*(E524-$D$516+$J750))))</f>
        <v>-114.56964925373131</v>
      </c>
      <c r="F531" s="203">
        <f>IF($J750&lt;=F522,F527-F519*$J750,IF($J750&lt;=F522+F523,F527-F519*$J750-F520*($J750-F522),IF($J750&lt;=$D$516-F524,F527-F519*$J750-F520*F523-F521*(F524-$D$516+$J750))))</f>
        <v>-105.9911492537313</v>
      </c>
      <c r="H531" s="176" t="s">
        <v>7</v>
      </c>
    </row>
    <row r="532" spans="2:8" ht="15">
      <c r="B532" s="270" t="s">
        <v>373</v>
      </c>
      <c r="C532" s="267" t="s">
        <v>954</v>
      </c>
      <c r="D532" s="183" t="s">
        <v>344</v>
      </c>
      <c r="E532" s="200">
        <f>E525</f>
        <v>-69.83082704841081</v>
      </c>
      <c r="F532" s="200">
        <f>F525</f>
        <v>-69.47748851204207</v>
      </c>
      <c r="H532" s="176" t="s">
        <v>8</v>
      </c>
    </row>
    <row r="533" spans="2:6" ht="15">
      <c r="B533" s="231" t="s">
        <v>345</v>
      </c>
      <c r="C533" s="268" t="s">
        <v>955</v>
      </c>
      <c r="D533" s="182" t="s">
        <v>344</v>
      </c>
      <c r="E533" s="203">
        <f>-E526</f>
        <v>-69.83082704841077</v>
      </c>
      <c r="F533" s="203">
        <f>-F526</f>
        <v>-69.47748851204202</v>
      </c>
    </row>
    <row r="534" spans="2:6" ht="15">
      <c r="B534" s="270" t="s">
        <v>374</v>
      </c>
      <c r="C534" s="267" t="s">
        <v>956</v>
      </c>
      <c r="D534" s="183" t="s">
        <v>359</v>
      </c>
      <c r="E534" s="230">
        <f>(E527+E520*E522)/(E519+E520)</f>
        <v>1.675</v>
      </c>
      <c r="F534" s="230">
        <f>(F527+F520*F522)/(F519+F520)</f>
        <v>1.6750000000000005</v>
      </c>
    </row>
    <row r="535" spans="2:6" ht="15">
      <c r="B535" s="231" t="s">
        <v>360</v>
      </c>
      <c r="C535" s="268" t="s">
        <v>957</v>
      </c>
      <c r="D535" s="182" t="s">
        <v>362</v>
      </c>
      <c r="E535" s="203">
        <f>E527*E534-1/2*E519*E534^2-1/2*E520*(E534-E522)^2+E525</f>
        <v>79.67590420158922</v>
      </c>
      <c r="F535" s="203">
        <f>F527*F534-1/2*F519*F534^2-1/2*F520*(F534-F522)^2+F525</f>
        <v>68.83479898795798</v>
      </c>
    </row>
    <row r="537" ht="12.75">
      <c r="A537" s="176" t="s">
        <v>768</v>
      </c>
    </row>
    <row r="538" spans="2:9" ht="12.75">
      <c r="B538" s="176" t="s">
        <v>375</v>
      </c>
      <c r="C538" s="264" t="s">
        <v>980</v>
      </c>
      <c r="D538" s="209">
        <f>D497</f>
        <v>3.4250000000000003</v>
      </c>
      <c r="E538" s="176" t="s">
        <v>331</v>
      </c>
      <c r="F538" s="176" t="s">
        <v>279</v>
      </c>
      <c r="G538" s="264" t="s">
        <v>981</v>
      </c>
      <c r="H538" s="176">
        <f>H497</f>
        <v>0.25</v>
      </c>
      <c r="I538" s="176" t="s">
        <v>333</v>
      </c>
    </row>
    <row r="540" spans="2:6" ht="12.75">
      <c r="B540" s="190" t="s">
        <v>334</v>
      </c>
      <c r="C540" s="187" t="s">
        <v>335</v>
      </c>
      <c r="D540" s="187" t="s">
        <v>336</v>
      </c>
      <c r="E540" s="187" t="s">
        <v>337</v>
      </c>
      <c r="F540" s="187" t="s">
        <v>268</v>
      </c>
    </row>
    <row r="541" spans="1:67" s="211" customFormat="1" ht="15">
      <c r="A541" s="176"/>
      <c r="B541" s="314" t="s">
        <v>338</v>
      </c>
      <c r="C541" s="267" t="s">
        <v>958</v>
      </c>
      <c r="D541" s="183" t="s">
        <v>636</v>
      </c>
      <c r="E541" s="198">
        <f>E501</f>
        <v>38.25000000000001</v>
      </c>
      <c r="F541" s="198">
        <f>F501</f>
        <v>43.25000000000001</v>
      </c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15"/>
      <c r="AT541" s="215"/>
      <c r="AU541" s="215"/>
      <c r="AV541" s="215"/>
      <c r="AW541" s="215"/>
      <c r="AX541" s="215"/>
      <c r="AY541" s="215"/>
      <c r="AZ541" s="215"/>
      <c r="BA541" s="215"/>
      <c r="BB541" s="215"/>
      <c r="BC541" s="215"/>
      <c r="BD541" s="215"/>
      <c r="BE541" s="215"/>
      <c r="BF541" s="215"/>
      <c r="BG541" s="215"/>
      <c r="BH541" s="215"/>
      <c r="BI541" s="215"/>
      <c r="BJ541" s="215"/>
      <c r="BK541" s="215"/>
      <c r="BL541" s="215"/>
      <c r="BM541" s="215"/>
      <c r="BN541" s="215"/>
      <c r="BO541" s="215"/>
    </row>
    <row r="542" spans="2:67" s="211" customFormat="1" ht="15">
      <c r="B542" s="325"/>
      <c r="C542" s="268" t="s">
        <v>959</v>
      </c>
      <c r="D542" s="182" t="s">
        <v>636</v>
      </c>
      <c r="E542" s="202">
        <f>E500</f>
        <v>69.075</v>
      </c>
      <c r="F542" s="202">
        <f>F500</f>
        <v>74.075</v>
      </c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218"/>
      <c r="AD542" s="218"/>
      <c r="AE542" s="218"/>
      <c r="AF542" s="218"/>
      <c r="AG542" s="218"/>
      <c r="AH542" s="218"/>
      <c r="AI542" s="218"/>
      <c r="AJ542" s="218"/>
      <c r="AK542" s="218"/>
      <c r="AL542" s="218"/>
      <c r="AM542" s="218"/>
      <c r="AN542" s="218"/>
      <c r="AO542" s="218"/>
      <c r="AP542" s="218"/>
      <c r="AQ542" s="218"/>
      <c r="AR542" s="218"/>
      <c r="AS542" s="218"/>
      <c r="AT542" s="218"/>
      <c r="AU542" s="218"/>
      <c r="AV542" s="218"/>
      <c r="AW542" s="218"/>
      <c r="AX542" s="218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322"/>
      <c r="BN542" s="323"/>
      <c r="BO542" s="323"/>
    </row>
    <row r="543" spans="2:67" s="211" customFormat="1" ht="15">
      <c r="B543" s="265" t="s">
        <v>342</v>
      </c>
      <c r="C543" s="267" t="s">
        <v>960</v>
      </c>
      <c r="D543" s="183" t="s">
        <v>344</v>
      </c>
      <c r="E543" s="200">
        <f>E373</f>
        <v>-69.83082704841078</v>
      </c>
      <c r="F543" s="200">
        <f>E410</f>
        <v>-69.47748851204203</v>
      </c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219"/>
      <c r="AD543" s="219"/>
      <c r="AE543" s="219"/>
      <c r="AF543" s="219"/>
      <c r="AG543" s="219"/>
      <c r="AH543" s="219"/>
      <c r="AI543" s="219"/>
      <c r="AJ543" s="219"/>
      <c r="AK543" s="219"/>
      <c r="AL543" s="219"/>
      <c r="AM543" s="219"/>
      <c r="AN543" s="219"/>
      <c r="AO543" s="219"/>
      <c r="AP543" s="219"/>
      <c r="AQ543" s="219"/>
      <c r="AR543" s="219"/>
      <c r="AS543" s="219"/>
      <c r="AT543" s="219"/>
      <c r="AU543" s="219"/>
      <c r="AV543" s="219"/>
      <c r="AW543" s="219"/>
      <c r="AX543" s="219"/>
      <c r="AY543" s="219"/>
      <c r="AZ543" s="219"/>
      <c r="BA543" s="219"/>
      <c r="BB543" s="219"/>
      <c r="BC543" s="219"/>
      <c r="BD543" s="219"/>
      <c r="BE543" s="219"/>
      <c r="BF543" s="219"/>
      <c r="BG543" s="219"/>
      <c r="BH543" s="219"/>
      <c r="BI543" s="219"/>
      <c r="BJ543" s="219"/>
      <c r="BK543" s="219"/>
      <c r="BL543" s="219"/>
      <c r="BM543" s="220"/>
      <c r="BN543" s="220"/>
      <c r="BO543" s="220"/>
    </row>
    <row r="544" spans="2:67" s="211" customFormat="1" ht="15">
      <c r="B544" s="229" t="s">
        <v>345</v>
      </c>
      <c r="C544" s="268" t="s">
        <v>961</v>
      </c>
      <c r="D544" s="182" t="s">
        <v>344</v>
      </c>
      <c r="E544" s="203">
        <f>E374</f>
        <v>73.35751443402697</v>
      </c>
      <c r="F544" s="203">
        <f>E411</f>
        <v>74.75168566379492</v>
      </c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219"/>
      <c r="AD544" s="219"/>
      <c r="AE544" s="219"/>
      <c r="AF544" s="219"/>
      <c r="AG544" s="219"/>
      <c r="AH544" s="219"/>
      <c r="AI544" s="219"/>
      <c r="AJ544" s="219"/>
      <c r="AK544" s="219"/>
      <c r="AL544" s="219"/>
      <c r="AM544" s="219"/>
      <c r="AN544" s="219"/>
      <c r="AO544" s="219"/>
      <c r="AP544" s="219"/>
      <c r="AQ544" s="219"/>
      <c r="AR544" s="219"/>
      <c r="AS544" s="219"/>
      <c r="AT544" s="219"/>
      <c r="AU544" s="219"/>
      <c r="AV544" s="219"/>
      <c r="AW544" s="219"/>
      <c r="AX544" s="219"/>
      <c r="AY544" s="219"/>
      <c r="AZ544" s="219"/>
      <c r="BA544" s="219"/>
      <c r="BB544" s="219"/>
      <c r="BC544" s="219"/>
      <c r="BD544" s="219"/>
      <c r="BE544" s="219"/>
      <c r="BF544" s="219"/>
      <c r="BG544" s="219"/>
      <c r="BH544" s="219"/>
      <c r="BI544" s="219"/>
      <c r="BJ544" s="219"/>
      <c r="BK544" s="219"/>
      <c r="BL544" s="219"/>
      <c r="BM544" s="220"/>
      <c r="BN544" s="220"/>
      <c r="BO544" s="220"/>
    </row>
    <row r="545" spans="2:67" s="211" customFormat="1" ht="15">
      <c r="B545" s="265" t="s">
        <v>342</v>
      </c>
      <c r="C545" s="267" t="s">
        <v>962</v>
      </c>
      <c r="D545" s="183" t="s">
        <v>348</v>
      </c>
      <c r="E545" s="200">
        <f>(2*E541+E542)/6*$D$538-(E543+E544)/$D$538</f>
        <v>82.06937275237485</v>
      </c>
      <c r="F545" s="200">
        <f>(2*F541+F542)/6*$D$538-(F543+F544)/$D$538</f>
        <v>90.12165092284589</v>
      </c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219"/>
      <c r="AD545" s="219"/>
      <c r="AE545" s="219"/>
      <c r="AF545" s="219"/>
      <c r="AG545" s="219"/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19"/>
      <c r="AR545" s="219"/>
      <c r="AS545" s="219"/>
      <c r="AT545" s="219"/>
      <c r="AU545" s="219"/>
      <c r="AV545" s="219"/>
      <c r="AW545" s="219"/>
      <c r="AX545" s="219"/>
      <c r="AY545" s="219"/>
      <c r="AZ545" s="219"/>
      <c r="BA545" s="219"/>
      <c r="BB545" s="219"/>
      <c r="BC545" s="219"/>
      <c r="BD545" s="219"/>
      <c r="BE545" s="219"/>
      <c r="BF545" s="219"/>
      <c r="BG545" s="219"/>
      <c r="BH545" s="219"/>
      <c r="BI545" s="219"/>
      <c r="BJ545" s="219"/>
      <c r="BK545" s="219"/>
      <c r="BL545" s="219"/>
      <c r="BM545" s="220"/>
      <c r="BN545" s="220"/>
      <c r="BO545" s="220"/>
    </row>
    <row r="546" spans="2:67" s="211" customFormat="1" ht="15">
      <c r="B546" s="229" t="s">
        <v>349</v>
      </c>
      <c r="C546" s="268" t="s">
        <v>963</v>
      </c>
      <c r="D546" s="182" t="s">
        <v>348</v>
      </c>
      <c r="E546" s="203">
        <f>E545-(E541+E542)/2*$D$538</f>
        <v>-101.7246897476252</v>
      </c>
      <c r="F546" s="203">
        <f>F545-(F541+F542)/2*$D$538</f>
        <v>-110.79741157715416</v>
      </c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  <c r="AU546" s="215"/>
      <c r="AV546" s="215"/>
      <c r="AW546" s="215"/>
      <c r="AX546" s="215"/>
      <c r="AY546" s="215"/>
      <c r="AZ546" s="215"/>
      <c r="BA546" s="215"/>
      <c r="BB546" s="215"/>
      <c r="BC546" s="215"/>
      <c r="BD546" s="215"/>
      <c r="BE546" s="215"/>
      <c r="BF546" s="215"/>
      <c r="BG546" s="215"/>
      <c r="BH546" s="215"/>
      <c r="BI546" s="215"/>
      <c r="BJ546" s="215"/>
      <c r="BK546" s="215"/>
      <c r="BL546" s="215"/>
      <c r="BM546" s="215"/>
      <c r="BN546" s="215"/>
      <c r="BO546" s="215"/>
    </row>
    <row r="547" spans="2:67" s="211" customFormat="1" ht="12.75">
      <c r="B547" s="265" t="s">
        <v>349</v>
      </c>
      <c r="C547" s="267" t="str">
        <f>"x="&amp;J766</f>
        <v>x=0</v>
      </c>
      <c r="D547" s="222" t="s">
        <v>351</v>
      </c>
      <c r="E547" s="224">
        <f>E545-E541*$J766+(E541-E542)/2/$D$538*$J766^2</f>
        <v>82.06937275237485</v>
      </c>
      <c r="F547" s="224">
        <f>F545-F541*$J766+(F541-F542)/2/$D$538*$J766^2</f>
        <v>90.12165092284589</v>
      </c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  <c r="AU547" s="215"/>
      <c r="AV547" s="215"/>
      <c r="AW547" s="215"/>
      <c r="AX547" s="215"/>
      <c r="AY547" s="215"/>
      <c r="AZ547" s="215"/>
      <c r="BA547" s="215"/>
      <c r="BB547" s="215"/>
      <c r="BC547" s="215"/>
      <c r="BD547" s="215"/>
      <c r="BE547" s="215"/>
      <c r="BF547" s="215"/>
      <c r="BG547" s="215"/>
      <c r="BH547" s="215"/>
      <c r="BI547" s="215"/>
      <c r="BJ547" s="215"/>
      <c r="BK547" s="215"/>
      <c r="BL547" s="215"/>
      <c r="BM547" s="215"/>
      <c r="BN547" s="215"/>
      <c r="BO547" s="215"/>
    </row>
    <row r="548" spans="2:67" s="211" customFormat="1" ht="15">
      <c r="B548" s="266" t="s">
        <v>762</v>
      </c>
      <c r="C548" s="267" t="str">
        <f>"x="&amp;J767</f>
        <v>x=0.5</v>
      </c>
      <c r="D548" s="183" t="s">
        <v>351</v>
      </c>
      <c r="E548" s="200">
        <f>E545-E541*$J767+(E541-E542)/2/$D$538*$J767^2</f>
        <v>61.819372752374846</v>
      </c>
      <c r="F548" s="200">
        <f>F545-F541*$J767+(F541-F542)/2/$D$538*$J767^2</f>
        <v>67.37165092284589</v>
      </c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  <c r="AU548" s="215"/>
      <c r="AV548" s="215"/>
      <c r="AW548" s="215"/>
      <c r="AX548" s="215"/>
      <c r="AY548" s="215"/>
      <c r="AZ548" s="215"/>
      <c r="BA548" s="215"/>
      <c r="BB548" s="215"/>
      <c r="BC548" s="215"/>
      <c r="BD548" s="215"/>
      <c r="BE548" s="215"/>
      <c r="BF548" s="215"/>
      <c r="BG548" s="215"/>
      <c r="BH548" s="215"/>
      <c r="BI548" s="215"/>
      <c r="BJ548" s="215"/>
      <c r="BK548" s="215"/>
      <c r="BL548" s="215"/>
      <c r="BM548" s="215"/>
      <c r="BN548" s="215"/>
      <c r="BO548" s="215"/>
    </row>
    <row r="549" spans="2:67" s="211" customFormat="1" ht="12.75">
      <c r="B549" s="229" t="s">
        <v>353</v>
      </c>
      <c r="C549" s="268" t="str">
        <f>"x="&amp;J768</f>
        <v>x=2.925</v>
      </c>
      <c r="D549" s="223" t="s">
        <v>351</v>
      </c>
      <c r="E549" s="225">
        <f>E545-E541*$J768+(E541-E542)/2/$D$538*$J768^2</f>
        <v>-68.31218974762518</v>
      </c>
      <c r="F549" s="225">
        <f>F545-F541*$J768+(F541-F542)/2/$D$538*$J768^2</f>
        <v>-74.88491157715416</v>
      </c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  <c r="AU549" s="215"/>
      <c r="AV549" s="215"/>
      <c r="AW549" s="215"/>
      <c r="AX549" s="215"/>
      <c r="AY549" s="215"/>
      <c r="AZ549" s="215"/>
      <c r="BA549" s="215"/>
      <c r="BB549" s="215"/>
      <c r="BC549" s="215"/>
      <c r="BD549" s="215"/>
      <c r="BE549" s="215"/>
      <c r="BF549" s="215"/>
      <c r="BG549" s="215"/>
      <c r="BH549" s="215"/>
      <c r="BI549" s="215"/>
      <c r="BJ549" s="215"/>
      <c r="BK549" s="215"/>
      <c r="BL549" s="215"/>
      <c r="BM549" s="215"/>
      <c r="BN549" s="215"/>
      <c r="BO549" s="215"/>
    </row>
    <row r="550" spans="2:67" s="211" customFormat="1" ht="14.25" customHeight="1">
      <c r="B550" s="265" t="s">
        <v>354</v>
      </c>
      <c r="C550" s="267" t="s">
        <v>964</v>
      </c>
      <c r="D550" s="183" t="s">
        <v>344</v>
      </c>
      <c r="E550" s="200">
        <f>E543</f>
        <v>-69.83082704841078</v>
      </c>
      <c r="F550" s="200">
        <f>F543</f>
        <v>-69.47748851204203</v>
      </c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232"/>
      <c r="AD550" s="232"/>
      <c r="AE550" s="232"/>
      <c r="AF550" s="232"/>
      <c r="AG550" s="232"/>
      <c r="AH550" s="232"/>
      <c r="AI550" s="232"/>
      <c r="AJ550" s="232"/>
      <c r="AK550" s="232"/>
      <c r="AL550" s="232"/>
      <c r="AM550" s="232"/>
      <c r="AN550" s="232"/>
      <c r="AO550" s="232"/>
      <c r="AP550" s="232"/>
      <c r="AQ550" s="232"/>
      <c r="AR550" s="232"/>
      <c r="AS550" s="232"/>
      <c r="AT550" s="232"/>
      <c r="AU550" s="232"/>
      <c r="AV550" s="232"/>
      <c r="AW550" s="232"/>
      <c r="AX550" s="232"/>
      <c r="AY550" s="232"/>
      <c r="AZ550" s="232"/>
      <c r="BA550" s="232"/>
      <c r="BB550" s="232"/>
      <c r="BC550" s="232"/>
      <c r="BD550" s="232"/>
      <c r="BE550" s="232"/>
      <c r="BF550" s="232"/>
      <c r="BG550" s="232"/>
      <c r="BH550" s="232"/>
      <c r="BI550" s="232"/>
      <c r="BJ550" s="232"/>
      <c r="BK550" s="232"/>
      <c r="BL550" s="232"/>
      <c r="BM550" s="227"/>
      <c r="BN550" s="228"/>
      <c r="BO550" s="210"/>
    </row>
    <row r="551" spans="2:67" s="211" customFormat="1" ht="14.25" customHeight="1">
      <c r="B551" s="229" t="s">
        <v>345</v>
      </c>
      <c r="C551" s="268" t="s">
        <v>965</v>
      </c>
      <c r="D551" s="182" t="s">
        <v>344</v>
      </c>
      <c r="E551" s="203">
        <f>-E544</f>
        <v>-73.35751443402697</v>
      </c>
      <c r="F551" s="203">
        <f>-F544</f>
        <v>-74.75168566379492</v>
      </c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  <c r="AU551" s="215"/>
      <c r="AV551" s="215"/>
      <c r="AW551" s="215"/>
      <c r="AX551" s="215"/>
      <c r="AY551" s="215"/>
      <c r="AZ551" s="215"/>
      <c r="BA551" s="215"/>
      <c r="BB551" s="215"/>
      <c r="BC551" s="215"/>
      <c r="BD551" s="215"/>
      <c r="BE551" s="215"/>
      <c r="BF551" s="215"/>
      <c r="BG551" s="215"/>
      <c r="BH551" s="215"/>
      <c r="BI551" s="215"/>
      <c r="BJ551" s="215"/>
      <c r="BK551" s="215"/>
      <c r="BL551" s="215"/>
      <c r="BM551" s="227"/>
      <c r="BN551" s="228"/>
      <c r="BO551" s="210"/>
    </row>
    <row r="552" spans="2:67" s="211" customFormat="1" ht="14.25" customHeight="1">
      <c r="B552" s="265" t="s">
        <v>357</v>
      </c>
      <c r="C552" s="267" t="s">
        <v>966</v>
      </c>
      <c r="D552" s="183" t="s">
        <v>359</v>
      </c>
      <c r="E552" s="230">
        <f>(E541*$D$538-(E541^2*$D$538^2-2*E545*(E541-E542)*$D$538)^0.5)/(E541-E542)</f>
        <v>1.7749596172436408</v>
      </c>
      <c r="F552" s="230">
        <f>(F541*$D$538-(F541^2*$D$538^2-2*F545*(F541-F542)*$D$538)^0.5)/(F541-F542)</f>
        <v>1.7610567929801078</v>
      </c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  <c r="AU552" s="215"/>
      <c r="AV552" s="215"/>
      <c r="AW552" s="215"/>
      <c r="AX552" s="215"/>
      <c r="AY552" s="215"/>
      <c r="AZ552" s="215"/>
      <c r="BA552" s="215"/>
      <c r="BB552" s="215"/>
      <c r="BC552" s="215"/>
      <c r="BD552" s="215"/>
      <c r="BE552" s="215"/>
      <c r="BF552" s="215"/>
      <c r="BG552" s="215"/>
      <c r="BH552" s="215"/>
      <c r="BI552" s="215"/>
      <c r="BJ552" s="215"/>
      <c r="BK552" s="215"/>
      <c r="BL552" s="215"/>
      <c r="BM552" s="227"/>
      <c r="BN552" s="227"/>
      <c r="BO552" s="210"/>
    </row>
    <row r="553" spans="1:6" ht="14.25" customHeight="1">
      <c r="A553" s="211"/>
      <c r="B553" s="229" t="s">
        <v>360</v>
      </c>
      <c r="C553" s="268" t="s">
        <v>967</v>
      </c>
      <c r="D553" s="182" t="s">
        <v>362</v>
      </c>
      <c r="E553" s="203">
        <f>E545*E552-E541/2*E552^2+(E541-E542)*E552^3/6/$D$538+E543</f>
        <v>7.198067443768537</v>
      </c>
      <c r="F553" s="203">
        <f>F545*F552-F541/2*F552^2+(F541-F542)*F552^3/6/$D$538+F543</f>
        <v>13.973386111900325</v>
      </c>
    </row>
    <row r="554" spans="2:3" ht="14.25" customHeight="1">
      <c r="B554" s="177"/>
      <c r="C554" s="174"/>
    </row>
    <row r="555" spans="1:3" ht="14.25" customHeight="1">
      <c r="A555" s="176" t="s">
        <v>769</v>
      </c>
      <c r="B555" s="177"/>
      <c r="C555" s="174"/>
    </row>
    <row r="556" spans="2:9" ht="12.75">
      <c r="B556" s="177" t="s">
        <v>329</v>
      </c>
      <c r="C556" s="264" t="s">
        <v>968</v>
      </c>
      <c r="D556" s="209">
        <f>D516</f>
        <v>3.35</v>
      </c>
      <c r="E556" s="176" t="s">
        <v>331</v>
      </c>
      <c r="F556" s="176" t="s">
        <v>279</v>
      </c>
      <c r="G556" s="10" t="s">
        <v>332</v>
      </c>
      <c r="H556" s="176">
        <f>G78/1000</f>
        <v>0.34</v>
      </c>
      <c r="I556" s="176" t="s">
        <v>333</v>
      </c>
    </row>
    <row r="557" spans="2:3" ht="12.75">
      <c r="B557" s="177"/>
      <c r="C557" s="174"/>
    </row>
    <row r="558" spans="2:6" ht="12.75">
      <c r="B558" s="190" t="s">
        <v>334</v>
      </c>
      <c r="C558" s="272" t="s">
        <v>969</v>
      </c>
      <c r="D558" s="187" t="s">
        <v>336</v>
      </c>
      <c r="E558" s="187" t="s">
        <v>337</v>
      </c>
      <c r="F558" s="187" t="s">
        <v>268</v>
      </c>
    </row>
    <row r="559" spans="2:6" ht="15">
      <c r="B559" s="314" t="s">
        <v>338</v>
      </c>
      <c r="C559" s="267" t="s">
        <v>970</v>
      </c>
      <c r="D559" s="183" t="s">
        <v>636</v>
      </c>
      <c r="E559" s="198">
        <f>F288</f>
        <v>121.93462686567165</v>
      </c>
      <c r="F559" s="198">
        <f>F307</f>
        <v>113.95462686567164</v>
      </c>
    </row>
    <row r="560" spans="2:6" ht="15">
      <c r="B560" s="315"/>
      <c r="C560" s="268" t="s">
        <v>971</v>
      </c>
      <c r="D560" s="182" t="s">
        <v>636</v>
      </c>
      <c r="E560" s="202">
        <f>G288</f>
        <v>121.93462686567165</v>
      </c>
      <c r="F560" s="202">
        <f>G307</f>
        <v>113.95462686567164</v>
      </c>
    </row>
    <row r="561" spans="2:6" ht="15">
      <c r="B561" s="270" t="s">
        <v>342</v>
      </c>
      <c r="C561" s="267" t="s">
        <v>972</v>
      </c>
      <c r="D561" s="183" t="s">
        <v>344</v>
      </c>
      <c r="E561" s="200">
        <f>E375</f>
        <v>-73.35751443402698</v>
      </c>
      <c r="F561" s="200">
        <f>E412</f>
        <v>-74.75168566379492</v>
      </c>
    </row>
    <row r="562" spans="2:6" ht="15">
      <c r="B562" s="231" t="s">
        <v>345</v>
      </c>
      <c r="C562" s="268" t="s">
        <v>973</v>
      </c>
      <c r="D562" s="182" t="s">
        <v>344</v>
      </c>
      <c r="E562" s="203">
        <f>E376</f>
        <v>73.357514434027</v>
      </c>
      <c r="F562" s="203">
        <f>E413</f>
        <v>74.75168566379494</v>
      </c>
    </row>
    <row r="563" spans="2:6" ht="15">
      <c r="B563" s="270" t="s">
        <v>342</v>
      </c>
      <c r="C563" s="267" t="s">
        <v>974</v>
      </c>
      <c r="D563" s="183" t="s">
        <v>348</v>
      </c>
      <c r="E563" s="200">
        <f>(2*E559+E560)/6*$D$556-(E561+E562)/$D$556</f>
        <v>204.24050000000003</v>
      </c>
      <c r="F563" s="200">
        <f>(2*F559+F560)/6*$D$556-(F561+F562)/$D$556</f>
        <v>190.874</v>
      </c>
    </row>
    <row r="564" spans="2:6" ht="15">
      <c r="B564" s="231" t="s">
        <v>349</v>
      </c>
      <c r="C564" s="268" t="s">
        <v>975</v>
      </c>
      <c r="D564" s="182" t="s">
        <v>348</v>
      </c>
      <c r="E564" s="203">
        <f>E563-(E559+E560)/2*$D$556</f>
        <v>-204.24050000000003</v>
      </c>
      <c r="F564" s="203">
        <f>F563-(F559+F560)/2*$D$556</f>
        <v>-190.874</v>
      </c>
    </row>
    <row r="565" spans="2:6" ht="12.75">
      <c r="B565" s="270" t="s">
        <v>349</v>
      </c>
      <c r="C565" s="267" t="str">
        <f>"x="&amp;J796</f>
        <v>x=0</v>
      </c>
      <c r="D565" s="183" t="s">
        <v>351</v>
      </c>
      <c r="E565" s="200">
        <f>E563-E559*$J796+(E559-E560)/2/$D$556*$J796^2</f>
        <v>204.24050000000003</v>
      </c>
      <c r="F565" s="200">
        <f>F563-F559*$J796+(F559-F560)/2/$D$538*$J796^2</f>
        <v>190.874</v>
      </c>
    </row>
    <row r="566" spans="2:6" ht="15">
      <c r="B566" s="266" t="s">
        <v>762</v>
      </c>
      <c r="C566" s="267" t="str">
        <f>"x="&amp;J797</f>
        <v>x=0.68</v>
      </c>
      <c r="D566" s="183" t="s">
        <v>351</v>
      </c>
      <c r="E566" s="200">
        <f>E563-E559*$J797+(E559-E560)/2/$D$556*$J797^2</f>
        <v>121.3249537313433</v>
      </c>
      <c r="F566" s="200">
        <f>F563-F559*$J797+(F559-F560)/2/$D$538*$J797^2</f>
        <v>113.38485373134327</v>
      </c>
    </row>
    <row r="567" spans="2:6" ht="12.75">
      <c r="B567" s="231" t="s">
        <v>353</v>
      </c>
      <c r="C567" s="268" t="str">
        <f>"x="&amp;J798</f>
        <v>x=2.67</v>
      </c>
      <c r="D567" s="182" t="s">
        <v>351</v>
      </c>
      <c r="E567" s="203">
        <f>E563-E559*$J798+(E559-E560)/2/$D$556*$J798^2</f>
        <v>-121.32495373134324</v>
      </c>
      <c r="F567" s="203">
        <f>F563-F559*$J798+(F559-F560)/2/$D$538*$J798^2</f>
        <v>-113.38485373134327</v>
      </c>
    </row>
    <row r="568" spans="2:6" ht="15">
      <c r="B568" s="270" t="s">
        <v>354</v>
      </c>
      <c r="C568" s="267" t="s">
        <v>976</v>
      </c>
      <c r="D568" s="183" t="s">
        <v>344</v>
      </c>
      <c r="E568" s="200">
        <f>E561</f>
        <v>-73.35751443402698</v>
      </c>
      <c r="F568" s="200">
        <f>F561</f>
        <v>-74.75168566379492</v>
      </c>
    </row>
    <row r="569" spans="2:6" ht="15">
      <c r="B569" s="231" t="s">
        <v>345</v>
      </c>
      <c r="C569" s="268" t="s">
        <v>977</v>
      </c>
      <c r="D569" s="182" t="s">
        <v>344</v>
      </c>
      <c r="E569" s="203">
        <f>-E562</f>
        <v>-73.357514434027</v>
      </c>
      <c r="F569" s="203">
        <f>-F562</f>
        <v>-74.75168566379494</v>
      </c>
    </row>
    <row r="570" spans="2:6" ht="15">
      <c r="B570" s="270" t="s">
        <v>357</v>
      </c>
      <c r="C570" s="267" t="s">
        <v>978</v>
      </c>
      <c r="D570" s="183" t="s">
        <v>359</v>
      </c>
      <c r="E570" s="230">
        <f>IF(E559=E560,$D$556/2,(E559*$D$556-(E559^2*$D$556^2-2*E563*(E559-E560)*$D$556)^0.5)/(E559-E560))</f>
        <v>1.675</v>
      </c>
      <c r="F570" s="230">
        <f>IF(F559=F560,$D$556/2,(F559*$D$556-(F559^2*$D$556^2-2*F563*(F559-F560)*$D$556)^0.5)/(F559-F560))</f>
        <v>1.675</v>
      </c>
    </row>
    <row r="571" spans="2:6" ht="15">
      <c r="B571" s="231" t="s">
        <v>360</v>
      </c>
      <c r="C571" s="268" t="s">
        <v>979</v>
      </c>
      <c r="D571" s="182" t="s">
        <v>362</v>
      </c>
      <c r="E571" s="203">
        <f>E563*E570-E559/2*E570^2+(E559-E560)*E570^3/6/$D$556+E561</f>
        <v>97.69390431597309</v>
      </c>
      <c r="F571" s="203">
        <f>F563*F570-F559/2*F570^2+(F559-F560)*F570^3/6/$D$538+F561</f>
        <v>85.10528933620509</v>
      </c>
    </row>
    <row r="574" ht="12.75">
      <c r="A574" s="176" t="s">
        <v>770</v>
      </c>
    </row>
    <row r="609" ht="12.75">
      <c r="A609" s="176" t="s">
        <v>771</v>
      </c>
    </row>
    <row r="610" ht="12.75">
      <c r="B610" s="176" t="s">
        <v>772</v>
      </c>
    </row>
    <row r="611" spans="3:8" ht="12.75">
      <c r="C611" s="292" t="s">
        <v>391</v>
      </c>
      <c r="D611" s="296"/>
      <c r="E611" s="172" t="s">
        <v>392</v>
      </c>
      <c r="F611" s="179" t="s">
        <v>393</v>
      </c>
      <c r="G611" s="292" t="s">
        <v>773</v>
      </c>
      <c r="H611" s="293"/>
    </row>
    <row r="612" spans="3:8" ht="12.75">
      <c r="C612" s="293"/>
      <c r="D612" s="296"/>
      <c r="E612" s="181" t="s">
        <v>774</v>
      </c>
      <c r="F612" s="181" t="s">
        <v>775</v>
      </c>
      <c r="G612" s="187" t="s">
        <v>396</v>
      </c>
      <c r="H612" s="187" t="s">
        <v>776</v>
      </c>
    </row>
    <row r="613" spans="1:8" ht="12.75">
      <c r="A613" s="209"/>
      <c r="C613" s="292" t="s">
        <v>398</v>
      </c>
      <c r="D613" s="179" t="s">
        <v>399</v>
      </c>
      <c r="E613" s="233">
        <f>E509</f>
        <v>-73.35751443402701</v>
      </c>
      <c r="F613" s="233">
        <f>F615+$D$497*$L$5*$L$50</f>
        <v>207.88487500000002</v>
      </c>
      <c r="G613" s="233">
        <f>E504</f>
        <v>101.72468974762519</v>
      </c>
      <c r="H613" s="233">
        <f>E507</f>
        <v>68.31218974762518</v>
      </c>
    </row>
    <row r="614" spans="3:8" ht="12.75">
      <c r="C614" s="293"/>
      <c r="D614" s="183" t="s">
        <v>400</v>
      </c>
      <c r="E614" s="200">
        <f>E512</f>
        <v>7.198067443768522</v>
      </c>
      <c r="F614" s="200">
        <f>F615+$L$5*$L$50*($D$497-$E$511)</f>
        <v>193.73577871786424</v>
      </c>
      <c r="G614" s="183">
        <v>0</v>
      </c>
      <c r="H614" s="183" t="s">
        <v>401</v>
      </c>
    </row>
    <row r="615" spans="3:8" ht="12.75">
      <c r="C615" s="293"/>
      <c r="D615" s="182" t="s">
        <v>403</v>
      </c>
      <c r="E615" s="203">
        <f>E510</f>
        <v>-69.83082704841078</v>
      </c>
      <c r="F615" s="203">
        <f>G616</f>
        <v>178.51550000000003</v>
      </c>
      <c r="G615" s="203">
        <f>E505</f>
        <v>-82.06937275237486</v>
      </c>
      <c r="H615" s="203">
        <f>E508</f>
        <v>-61.81937275237484</v>
      </c>
    </row>
    <row r="616" spans="3:8" ht="12.75">
      <c r="C616" s="292" t="s">
        <v>293</v>
      </c>
      <c r="D616" s="179" t="s">
        <v>403</v>
      </c>
      <c r="E616" s="233">
        <f>E532</f>
        <v>-69.83082704841081</v>
      </c>
      <c r="F616" s="233">
        <f>-G615</f>
        <v>82.06937275237486</v>
      </c>
      <c r="G616" s="233">
        <f>E527</f>
        <v>178.51550000000003</v>
      </c>
      <c r="H616" s="233">
        <f>E530</f>
        <v>114.56964925373138</v>
      </c>
    </row>
    <row r="617" spans="3:8" ht="12.75">
      <c r="C617" s="293"/>
      <c r="D617" s="183" t="s">
        <v>400</v>
      </c>
      <c r="E617" s="200">
        <f>E535</f>
        <v>79.67590420158922</v>
      </c>
      <c r="F617" s="200">
        <f>F616</f>
        <v>82.06937275237486</v>
      </c>
      <c r="G617" s="183">
        <v>0</v>
      </c>
      <c r="H617" s="183" t="s">
        <v>401</v>
      </c>
    </row>
    <row r="618" spans="3:8" ht="12.75">
      <c r="C618" s="293"/>
      <c r="D618" s="182" t="s">
        <v>404</v>
      </c>
      <c r="E618" s="203">
        <f>E533</f>
        <v>-69.83082704841077</v>
      </c>
      <c r="F618" s="203">
        <f>F617</f>
        <v>82.06937275237486</v>
      </c>
      <c r="G618" s="203">
        <f>E528</f>
        <v>-178.51550000000003</v>
      </c>
      <c r="H618" s="203">
        <f>E531</f>
        <v>-114.56964925373131</v>
      </c>
    </row>
    <row r="619" spans="3:8" ht="12.75">
      <c r="C619" s="292" t="s">
        <v>261</v>
      </c>
      <c r="D619" s="179" t="s">
        <v>405</v>
      </c>
      <c r="E619" s="233">
        <f>E550</f>
        <v>-69.83082704841078</v>
      </c>
      <c r="F619" s="233">
        <f>-G618</f>
        <v>178.51550000000003</v>
      </c>
      <c r="G619" s="233">
        <f>E545</f>
        <v>82.06937275237485</v>
      </c>
      <c r="H619" s="233">
        <f>E548</f>
        <v>61.819372752374846</v>
      </c>
    </row>
    <row r="620" spans="3:8" ht="12.75">
      <c r="C620" s="293"/>
      <c r="D620" s="183" t="s">
        <v>406</v>
      </c>
      <c r="E620" s="200">
        <f>E553</f>
        <v>7.198067443768537</v>
      </c>
      <c r="F620" s="200">
        <f>F619+$L$5*$L$50*E552</f>
        <v>193.73577871786426</v>
      </c>
      <c r="G620" s="183">
        <v>0</v>
      </c>
      <c r="H620" s="183" t="s">
        <v>401</v>
      </c>
    </row>
    <row r="621" spans="3:8" ht="12.75">
      <c r="C621" s="293"/>
      <c r="D621" s="182" t="s">
        <v>407</v>
      </c>
      <c r="E621" s="203">
        <f>E551</f>
        <v>-73.35751443402697</v>
      </c>
      <c r="F621" s="203">
        <f>F619+$D$497*$L$5*$L$50</f>
        <v>207.88487500000002</v>
      </c>
      <c r="G621" s="203">
        <f>E546</f>
        <v>-101.7246897476252</v>
      </c>
      <c r="H621" s="203">
        <f>E549</f>
        <v>-68.31218974762518</v>
      </c>
    </row>
    <row r="622" spans="3:8" ht="12.75">
      <c r="C622" s="292" t="s">
        <v>23</v>
      </c>
      <c r="D622" s="179" t="s">
        <v>408</v>
      </c>
      <c r="E622" s="233">
        <f>E568</f>
        <v>-73.35751443402698</v>
      </c>
      <c r="F622" s="233">
        <f>-G621</f>
        <v>101.7246897476252</v>
      </c>
      <c r="G622" s="233">
        <f>E563</f>
        <v>204.24050000000003</v>
      </c>
      <c r="H622" s="233">
        <f>E566</f>
        <v>121.3249537313433</v>
      </c>
    </row>
    <row r="623" spans="3:8" ht="12.75">
      <c r="C623" s="293"/>
      <c r="D623" s="183" t="s">
        <v>777</v>
      </c>
      <c r="E623" s="200">
        <f>E571</f>
        <v>97.69390431597309</v>
      </c>
      <c r="F623" s="200">
        <f>F622</f>
        <v>101.7246897476252</v>
      </c>
      <c r="G623" s="183">
        <v>0</v>
      </c>
      <c r="H623" s="183" t="s">
        <v>401</v>
      </c>
    </row>
    <row r="624" spans="3:8" ht="12.75">
      <c r="C624" s="293"/>
      <c r="D624" s="182" t="s">
        <v>410</v>
      </c>
      <c r="E624" s="203">
        <f>E569</f>
        <v>-73.357514434027</v>
      </c>
      <c r="F624" s="203">
        <f>F623</f>
        <v>101.7246897476252</v>
      </c>
      <c r="G624" s="203">
        <f>E564</f>
        <v>-204.24050000000003</v>
      </c>
      <c r="H624" s="203">
        <f>E567</f>
        <v>-121.32495373134324</v>
      </c>
    </row>
    <row r="626" ht="12.75">
      <c r="B626" s="176" t="s">
        <v>778</v>
      </c>
    </row>
    <row r="627" spans="3:8" ht="12.75">
      <c r="C627" s="292" t="s">
        <v>779</v>
      </c>
      <c r="D627" s="296"/>
      <c r="E627" s="172" t="s">
        <v>392</v>
      </c>
      <c r="F627" s="179" t="s">
        <v>393</v>
      </c>
      <c r="G627" s="292" t="s">
        <v>773</v>
      </c>
      <c r="H627" s="293"/>
    </row>
    <row r="628" spans="3:8" ht="12.75">
      <c r="C628" s="293"/>
      <c r="D628" s="296"/>
      <c r="E628" s="181" t="s">
        <v>774</v>
      </c>
      <c r="F628" s="181" t="s">
        <v>775</v>
      </c>
      <c r="G628" s="187" t="s">
        <v>396</v>
      </c>
      <c r="H628" s="187" t="s">
        <v>776</v>
      </c>
    </row>
    <row r="629" spans="3:8" ht="12.75">
      <c r="C629" s="292" t="s">
        <v>734</v>
      </c>
      <c r="D629" s="179" t="s">
        <v>399</v>
      </c>
      <c r="E629" s="233">
        <f>F509</f>
        <v>-74.75168566379494</v>
      </c>
      <c r="F629" s="233">
        <f>F631+$D$497*$L$5*$L$50</f>
        <v>194.51837500000005</v>
      </c>
      <c r="G629" s="233">
        <f>F504</f>
        <v>110.79741157715415</v>
      </c>
      <c r="H629" s="233">
        <f>F507</f>
        <v>74.88491157715416</v>
      </c>
    </row>
    <row r="630" spans="3:8" ht="12.75">
      <c r="C630" s="293"/>
      <c r="D630" s="183" t="s">
        <v>400</v>
      </c>
      <c r="E630" s="200">
        <f>F512</f>
        <v>13.973386111900325</v>
      </c>
      <c r="F630" s="200">
        <f>F631+$L$5*$L$50*($D$497-$F$511)</f>
        <v>180.25006199980447</v>
      </c>
      <c r="G630" s="183">
        <v>0</v>
      </c>
      <c r="H630" s="183" t="s">
        <v>401</v>
      </c>
    </row>
    <row r="631" spans="3:8" ht="12.75">
      <c r="C631" s="293"/>
      <c r="D631" s="182" t="s">
        <v>403</v>
      </c>
      <c r="E631" s="203">
        <f>F510</f>
        <v>-69.47748851204204</v>
      </c>
      <c r="F631" s="203">
        <f>G632</f>
        <v>165.14900000000006</v>
      </c>
      <c r="G631" s="203">
        <f>F505</f>
        <v>-90.1216509228459</v>
      </c>
      <c r="H631" s="203">
        <f>F508</f>
        <v>-67.37165092284587</v>
      </c>
    </row>
    <row r="632" spans="3:8" ht="12.75">
      <c r="C632" s="292" t="s">
        <v>293</v>
      </c>
      <c r="D632" s="179" t="s">
        <v>403</v>
      </c>
      <c r="E632" s="233">
        <f>F532</f>
        <v>-69.47748851204207</v>
      </c>
      <c r="F632" s="233">
        <f>-G631</f>
        <v>90.1216509228459</v>
      </c>
      <c r="G632" s="233">
        <f>F527</f>
        <v>165.14900000000006</v>
      </c>
      <c r="H632" s="233">
        <f>F530</f>
        <v>105.99114925373141</v>
      </c>
    </row>
    <row r="633" spans="3:8" ht="12.75">
      <c r="C633" s="293"/>
      <c r="D633" s="183" t="s">
        <v>400</v>
      </c>
      <c r="E633" s="200">
        <f>F535</f>
        <v>68.83479898795798</v>
      </c>
      <c r="F633" s="200">
        <f>F632</f>
        <v>90.1216509228459</v>
      </c>
      <c r="G633" s="183">
        <v>0</v>
      </c>
      <c r="H633" s="183" t="s">
        <v>401</v>
      </c>
    </row>
    <row r="634" spans="3:8" ht="12.75">
      <c r="C634" s="293"/>
      <c r="D634" s="182" t="s">
        <v>404</v>
      </c>
      <c r="E634" s="203">
        <f>F533</f>
        <v>-69.47748851204202</v>
      </c>
      <c r="F634" s="203">
        <f>F633</f>
        <v>90.1216509228459</v>
      </c>
      <c r="G634" s="203">
        <f>F528</f>
        <v>-165.149</v>
      </c>
      <c r="H634" s="203">
        <f>F531</f>
        <v>-105.9911492537313</v>
      </c>
    </row>
    <row r="635" spans="3:8" ht="12.75">
      <c r="C635" s="292" t="s">
        <v>261</v>
      </c>
      <c r="D635" s="179" t="s">
        <v>405</v>
      </c>
      <c r="E635" s="233">
        <f>F550</f>
        <v>-69.47748851204203</v>
      </c>
      <c r="F635" s="233">
        <f>-G634</f>
        <v>165.149</v>
      </c>
      <c r="G635" s="233">
        <f>F545</f>
        <v>90.12165092284589</v>
      </c>
      <c r="H635" s="233">
        <f>F548</f>
        <v>67.37165092284589</v>
      </c>
    </row>
    <row r="636" spans="3:8" ht="12.75">
      <c r="C636" s="293"/>
      <c r="D636" s="183" t="s">
        <v>406</v>
      </c>
      <c r="E636" s="200">
        <f>F553</f>
        <v>13.973386111900325</v>
      </c>
      <c r="F636" s="200">
        <f>F635+$L$5*$L$50*F552</f>
        <v>180.25006199980442</v>
      </c>
      <c r="G636" s="183">
        <v>0</v>
      </c>
      <c r="H636" s="183" t="s">
        <v>401</v>
      </c>
    </row>
    <row r="637" spans="3:8" ht="12.75">
      <c r="C637" s="293"/>
      <c r="D637" s="182" t="s">
        <v>407</v>
      </c>
      <c r="E637" s="203">
        <f>F551</f>
        <v>-74.75168566379492</v>
      </c>
      <c r="F637" s="203">
        <f>F635+$D$497*$L$5*$L$50</f>
        <v>194.518375</v>
      </c>
      <c r="G637" s="203">
        <f>F546</f>
        <v>-110.79741157715416</v>
      </c>
      <c r="H637" s="203">
        <f>F549</f>
        <v>-74.88491157715416</v>
      </c>
    </row>
    <row r="638" spans="3:8" ht="12.75">
      <c r="C638" s="292" t="s">
        <v>23</v>
      </c>
      <c r="D638" s="179" t="s">
        <v>408</v>
      </c>
      <c r="E638" s="233">
        <f>F568</f>
        <v>-74.75168566379492</v>
      </c>
      <c r="F638" s="233">
        <f>-G637</f>
        <v>110.79741157715416</v>
      </c>
      <c r="G638" s="233">
        <f>F563</f>
        <v>190.874</v>
      </c>
      <c r="H638" s="233">
        <f>F566</f>
        <v>113.38485373134327</v>
      </c>
    </row>
    <row r="639" spans="3:8" ht="12.75">
      <c r="C639" s="293"/>
      <c r="D639" s="183" t="s">
        <v>777</v>
      </c>
      <c r="E639" s="200">
        <f>F571</f>
        <v>85.10528933620509</v>
      </c>
      <c r="F639" s="200">
        <f>F638</f>
        <v>110.79741157715416</v>
      </c>
      <c r="G639" s="183">
        <v>0</v>
      </c>
      <c r="H639" s="183" t="s">
        <v>401</v>
      </c>
    </row>
    <row r="640" spans="3:8" ht="12.75">
      <c r="C640" s="293"/>
      <c r="D640" s="182" t="s">
        <v>410</v>
      </c>
      <c r="E640" s="203">
        <f>F569</f>
        <v>-74.75168566379494</v>
      </c>
      <c r="F640" s="203">
        <f>F639</f>
        <v>110.79741157715416</v>
      </c>
      <c r="G640" s="203">
        <f>F564</f>
        <v>-190.874</v>
      </c>
      <c r="H640" s="203">
        <f>F567</f>
        <v>-113.38485373134327</v>
      </c>
    </row>
    <row r="643" ht="12.75">
      <c r="A643" s="176" t="s">
        <v>780</v>
      </c>
    </row>
    <row r="644" ht="12.75">
      <c r="A644" s="176" t="s">
        <v>781</v>
      </c>
    </row>
    <row r="645" ht="12.75">
      <c r="B645" s="176" t="s">
        <v>782</v>
      </c>
    </row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spans="3:9" ht="15">
      <c r="C657" s="184" t="s">
        <v>783</v>
      </c>
      <c r="D657" s="176">
        <v>160</v>
      </c>
      <c r="E657" s="176" t="s">
        <v>784</v>
      </c>
      <c r="G657" s="10" t="s">
        <v>785</v>
      </c>
      <c r="H657" s="176">
        <v>1000</v>
      </c>
      <c r="I657" s="176" t="s">
        <v>786</v>
      </c>
    </row>
    <row r="658" spans="3:4" ht="12.75">
      <c r="C658" s="10" t="s">
        <v>787</v>
      </c>
      <c r="D658" s="176">
        <v>15</v>
      </c>
    </row>
    <row r="659" ht="12.75">
      <c r="C659" s="10"/>
    </row>
    <row r="660" ht="12.75">
      <c r="A660" s="176" t="s">
        <v>788</v>
      </c>
    </row>
    <row r="661" spans="1:9" ht="15">
      <c r="A661" s="292" t="s">
        <v>602</v>
      </c>
      <c r="B661" s="296"/>
      <c r="C661" s="234" t="s">
        <v>420</v>
      </c>
      <c r="D661" s="234" t="s">
        <v>421</v>
      </c>
      <c r="E661" s="234" t="s">
        <v>422</v>
      </c>
      <c r="F661" s="234" t="s">
        <v>423</v>
      </c>
      <c r="G661" s="234" t="s">
        <v>789</v>
      </c>
      <c r="H661" s="234" t="s">
        <v>425</v>
      </c>
      <c r="I661" s="234" t="s">
        <v>790</v>
      </c>
    </row>
    <row r="662" spans="1:9" ht="15">
      <c r="A662" s="293"/>
      <c r="B662" s="296"/>
      <c r="C662" s="171" t="s">
        <v>420</v>
      </c>
      <c r="D662" s="182" t="s">
        <v>442</v>
      </c>
      <c r="E662" s="182" t="s">
        <v>442</v>
      </c>
      <c r="F662" s="182" t="s">
        <v>442</v>
      </c>
      <c r="G662" s="182" t="s">
        <v>791</v>
      </c>
      <c r="H662" s="182" t="s">
        <v>515</v>
      </c>
      <c r="I662" s="182" t="s">
        <v>792</v>
      </c>
    </row>
    <row r="663" spans="1:9" ht="12.75">
      <c r="A663" s="292" t="s">
        <v>239</v>
      </c>
      <c r="B663" s="179" t="s">
        <v>399</v>
      </c>
      <c r="C663" s="235">
        <f>F613*1000</f>
        <v>207884.87500000003</v>
      </c>
      <c r="D663" s="235">
        <f>ABS(E613)/F613*1000</f>
        <v>352.87566944938635</v>
      </c>
      <c r="E663" s="179">
        <f>$G$72</f>
        <v>250</v>
      </c>
      <c r="F663" s="179">
        <f>E663-$L$5*1000/2</f>
        <v>75</v>
      </c>
      <c r="G663" s="236">
        <f>O907</f>
        <v>7.829040117535011</v>
      </c>
      <c r="H663" s="236">
        <f aca="true" t="shared" si="12" ref="H663:H674">15*G663/(15*G663+$D$657)</f>
        <v>0.42328958870727107</v>
      </c>
      <c r="I663" s="235">
        <f aca="true" t="shared" si="13" ref="I663:I674">MAX(0,(G663/2*H663-C663/$H$657/E663)/$D$657*$H$657*E663)</f>
        <v>1289.7438838469686</v>
      </c>
    </row>
    <row r="664" spans="1:9" ht="12.75">
      <c r="A664" s="293"/>
      <c r="B664" s="183" t="s">
        <v>400</v>
      </c>
      <c r="C664" s="237">
        <f aca="true" t="shared" si="14" ref="C664:C673">F614*1000</f>
        <v>193735.77871786425</v>
      </c>
      <c r="D664" s="237">
        <f aca="true" t="shared" si="15" ref="D664:D674">ABS(E614)/F614*1000</f>
        <v>37.15404295172038</v>
      </c>
      <c r="E664" s="183">
        <f>IF(E614&gt;0,$G$73,$G$72)</f>
        <v>250</v>
      </c>
      <c r="F664" s="183">
        <f>E664-$L$5*1000/2</f>
        <v>75</v>
      </c>
      <c r="G664" s="230">
        <f>S907</f>
        <v>3.237446351088243</v>
      </c>
      <c r="H664" s="230">
        <f t="shared" si="12"/>
        <v>0.23284091167514057</v>
      </c>
      <c r="I664" s="237">
        <f t="shared" si="13"/>
        <v>0</v>
      </c>
    </row>
    <row r="665" spans="1:9" ht="12.75">
      <c r="A665" s="293"/>
      <c r="B665" s="182" t="s">
        <v>403</v>
      </c>
      <c r="C665" s="238">
        <f t="shared" si="14"/>
        <v>178515.50000000003</v>
      </c>
      <c r="D665" s="238">
        <f t="shared" si="15"/>
        <v>391.17514752730585</v>
      </c>
      <c r="E665" s="182">
        <f>E663</f>
        <v>250</v>
      </c>
      <c r="F665" s="182">
        <f>E665-$L$5*1000/2</f>
        <v>75</v>
      </c>
      <c r="G665" s="239">
        <f>W907</f>
        <v>7.486443631284835</v>
      </c>
      <c r="H665" s="239">
        <f t="shared" si="12"/>
        <v>0.4124055607225417</v>
      </c>
      <c r="I665" s="238">
        <f t="shared" si="13"/>
        <v>1296.349205920096</v>
      </c>
    </row>
    <row r="666" spans="1:9" ht="12.75">
      <c r="A666" s="292" t="s">
        <v>293</v>
      </c>
      <c r="B666" s="179" t="s">
        <v>403</v>
      </c>
      <c r="C666" s="237">
        <f t="shared" si="14"/>
        <v>82069.37275237487</v>
      </c>
      <c r="D666" s="237">
        <f t="shared" si="15"/>
        <v>850.8756032425031</v>
      </c>
      <c r="E666" s="183">
        <f>$G$75</f>
        <v>300</v>
      </c>
      <c r="F666" s="183">
        <f>E666-$L$6*1000/2</f>
        <v>100</v>
      </c>
      <c r="G666" s="230">
        <f>AA907</f>
        <v>5.657401609062731</v>
      </c>
      <c r="H666" s="230">
        <f t="shared" si="12"/>
        <v>0.346568117304076</v>
      </c>
      <c r="I666" s="237">
        <f t="shared" si="13"/>
        <v>1325.1992557532078</v>
      </c>
    </row>
    <row r="667" spans="1:9" ht="12.75">
      <c r="A667" s="293"/>
      <c r="B667" s="183" t="s">
        <v>400</v>
      </c>
      <c r="C667" s="237">
        <f t="shared" si="14"/>
        <v>82069.37275237487</v>
      </c>
      <c r="D667" s="237">
        <f t="shared" si="15"/>
        <v>970.8360321211742</v>
      </c>
      <c r="E667" s="183">
        <f>IF(E633&gt;0,$G$76,$G$75)</f>
        <v>300</v>
      </c>
      <c r="F667" s="183">
        <f>E667-$L$6*1000/2</f>
        <v>100</v>
      </c>
      <c r="G667" s="230">
        <f>AE907</f>
        <v>6.1056667321718185</v>
      </c>
      <c r="H667" s="230">
        <f t="shared" si="12"/>
        <v>0.3640320393699452</v>
      </c>
      <c r="I667" s="237">
        <f t="shared" si="13"/>
        <v>1570.808588009285</v>
      </c>
    </row>
    <row r="668" spans="1:9" ht="12.75">
      <c r="A668" s="293"/>
      <c r="B668" s="182" t="s">
        <v>404</v>
      </c>
      <c r="C668" s="238">
        <f t="shared" si="14"/>
        <v>82069.37275237487</v>
      </c>
      <c r="D668" s="238">
        <f t="shared" si="15"/>
        <v>850.8756032425026</v>
      </c>
      <c r="E668" s="182">
        <f>E666</f>
        <v>300</v>
      </c>
      <c r="F668" s="182">
        <f>E668-$L$6*1000/2</f>
        <v>100</v>
      </c>
      <c r="G668" s="239">
        <f>AI907</f>
        <v>5.657401609062728</v>
      </c>
      <c r="H668" s="239">
        <f t="shared" si="12"/>
        <v>0.3465681173040759</v>
      </c>
      <c r="I668" s="238">
        <f t="shared" si="13"/>
        <v>1325.1992557532064</v>
      </c>
    </row>
    <row r="669" spans="1:9" ht="12.75">
      <c r="A669" s="292" t="s">
        <v>261</v>
      </c>
      <c r="B669" s="179" t="s">
        <v>405</v>
      </c>
      <c r="C669" s="237">
        <f t="shared" si="14"/>
        <v>178515.50000000003</v>
      </c>
      <c r="D669" s="237">
        <f t="shared" si="15"/>
        <v>391.17514752730585</v>
      </c>
      <c r="E669" s="183">
        <f>E663</f>
        <v>250</v>
      </c>
      <c r="F669" s="183">
        <f>E669-$L$5*1000/2</f>
        <v>75</v>
      </c>
      <c r="G669" s="230">
        <f>AM907</f>
        <v>7.486443631284835</v>
      </c>
      <c r="H669" s="230">
        <f t="shared" si="12"/>
        <v>0.4124055607225417</v>
      </c>
      <c r="I669" s="237">
        <f t="shared" si="13"/>
        <v>1296.349205920096</v>
      </c>
    </row>
    <row r="670" spans="1:9" ht="12.75">
      <c r="A670" s="293"/>
      <c r="B670" s="183" t="s">
        <v>406</v>
      </c>
      <c r="C670" s="237">
        <f t="shared" si="14"/>
        <v>193735.77871786428</v>
      </c>
      <c r="D670" s="237">
        <f t="shared" si="15"/>
        <v>37.15404295172044</v>
      </c>
      <c r="E670" s="183">
        <f>IF(E620&gt;0,$G$73,$G$72)</f>
        <v>250</v>
      </c>
      <c r="F670" s="183">
        <f>E670-$L$5*1000/2</f>
        <v>75</v>
      </c>
      <c r="G670" s="230">
        <f>AQ907</f>
        <v>3.2374463510882445</v>
      </c>
      <c r="H670" s="230">
        <f t="shared" si="12"/>
        <v>0.23284091167514062</v>
      </c>
      <c r="I670" s="237">
        <f t="shared" si="13"/>
        <v>0</v>
      </c>
    </row>
    <row r="671" spans="1:9" ht="12.75">
      <c r="A671" s="293"/>
      <c r="B671" s="182" t="s">
        <v>407</v>
      </c>
      <c r="C671" s="238">
        <f t="shared" si="14"/>
        <v>207884.87500000003</v>
      </c>
      <c r="D671" s="238">
        <f t="shared" si="15"/>
        <v>352.8756694493861</v>
      </c>
      <c r="E671" s="182">
        <f>E665</f>
        <v>250</v>
      </c>
      <c r="F671" s="182">
        <f>E671-$L$5*1000/2</f>
        <v>75</v>
      </c>
      <c r="G671" s="239">
        <f>AU907</f>
        <v>7.829040117535008</v>
      </c>
      <c r="H671" s="239">
        <f t="shared" si="12"/>
        <v>0.4232895887072709</v>
      </c>
      <c r="I671" s="238">
        <f t="shared" si="13"/>
        <v>1289.7438838469666</v>
      </c>
    </row>
    <row r="672" spans="1:9" ht="12.75">
      <c r="A672" s="292" t="s">
        <v>23</v>
      </c>
      <c r="B672" s="179" t="s">
        <v>408</v>
      </c>
      <c r="C672" s="237">
        <f t="shared" si="14"/>
        <v>101724.6897476252</v>
      </c>
      <c r="D672" s="237">
        <f>ABS(E622)/F622*1000</f>
        <v>721.137755406519</v>
      </c>
      <c r="E672" s="183">
        <f>$G$78</f>
        <v>340</v>
      </c>
      <c r="F672" s="183">
        <f>E672-$L$7*1000/2</f>
        <v>115</v>
      </c>
      <c r="G672" s="230">
        <f>AY907</f>
        <v>5.099444774492337</v>
      </c>
      <c r="H672" s="230">
        <f t="shared" si="12"/>
        <v>0.3234434054030424</v>
      </c>
      <c r="I672" s="237">
        <f t="shared" si="13"/>
        <v>1116.6888340743028</v>
      </c>
    </row>
    <row r="673" spans="1:9" ht="12.75">
      <c r="A673" s="293"/>
      <c r="B673" s="183" t="s">
        <v>777</v>
      </c>
      <c r="C673" s="237">
        <f t="shared" si="14"/>
        <v>101724.6897476252</v>
      </c>
      <c r="D673" s="237">
        <f t="shared" si="15"/>
        <v>960.3755446032587</v>
      </c>
      <c r="E673" s="183">
        <f>IF(E639&gt;0,$G$77,$G$78)</f>
        <v>350</v>
      </c>
      <c r="F673" s="183">
        <f>E673-$L$7*1000/2</f>
        <v>125</v>
      </c>
      <c r="G673" s="230">
        <f>BC907</f>
        <v>5.799063457451134</v>
      </c>
      <c r="H673" s="230">
        <f t="shared" si="12"/>
        <v>0.3521898764122879</v>
      </c>
      <c r="I673" s="237">
        <f t="shared" si="13"/>
        <v>1598.0644541878282</v>
      </c>
    </row>
    <row r="674" spans="1:9" ht="12.75">
      <c r="A674" s="293"/>
      <c r="B674" s="182" t="s">
        <v>410</v>
      </c>
      <c r="C674" s="238">
        <f>F624*1000</f>
        <v>101724.6897476252</v>
      </c>
      <c r="D674" s="238">
        <f t="shared" si="15"/>
        <v>721.1377554065191</v>
      </c>
      <c r="E674" s="182">
        <f>E672</f>
        <v>340</v>
      </c>
      <c r="F674" s="182">
        <f>E674-$L$7*1000/2</f>
        <v>115</v>
      </c>
      <c r="G674" s="239">
        <f>BG907</f>
        <v>5.099444774492338</v>
      </c>
      <c r="H674" s="239">
        <f t="shared" si="12"/>
        <v>0.32344340540304245</v>
      </c>
      <c r="I674" s="238">
        <f t="shared" si="13"/>
        <v>1116.6888340743037</v>
      </c>
    </row>
    <row r="676" ht="12.75">
      <c r="A676" s="176" t="s">
        <v>778</v>
      </c>
    </row>
    <row r="677" spans="1:9" ht="15">
      <c r="A677" s="292" t="s">
        <v>779</v>
      </c>
      <c r="B677" s="296"/>
      <c r="C677" s="234" t="s">
        <v>420</v>
      </c>
      <c r="D677" s="234" t="s">
        <v>421</v>
      </c>
      <c r="E677" s="234" t="s">
        <v>422</v>
      </c>
      <c r="F677" s="234" t="s">
        <v>423</v>
      </c>
      <c r="G677" s="234" t="s">
        <v>789</v>
      </c>
      <c r="H677" s="234" t="s">
        <v>425</v>
      </c>
      <c r="I677" s="234" t="s">
        <v>790</v>
      </c>
    </row>
    <row r="678" spans="1:9" ht="15">
      <c r="A678" s="293"/>
      <c r="B678" s="296"/>
      <c r="C678" s="171" t="s">
        <v>420</v>
      </c>
      <c r="D678" s="182" t="s">
        <v>442</v>
      </c>
      <c r="E678" s="182" t="s">
        <v>442</v>
      </c>
      <c r="F678" s="182" t="s">
        <v>442</v>
      </c>
      <c r="G678" s="182" t="s">
        <v>791</v>
      </c>
      <c r="H678" s="182" t="s">
        <v>515</v>
      </c>
      <c r="I678" s="182" t="s">
        <v>792</v>
      </c>
    </row>
    <row r="679" spans="1:9" ht="12.75">
      <c r="A679" s="292" t="s">
        <v>734</v>
      </c>
      <c r="B679" s="179" t="s">
        <v>399</v>
      </c>
      <c r="C679" s="235">
        <f>F629*1000</f>
        <v>194518.37500000006</v>
      </c>
      <c r="D679" s="235">
        <f>ABS(E629)/F629*1000</f>
        <v>384.29112758008046</v>
      </c>
      <c r="E679" s="179">
        <f>$G$72</f>
        <v>250</v>
      </c>
      <c r="F679" s="179">
        <f>E679-$L$5*1000/2</f>
        <v>75</v>
      </c>
      <c r="G679" s="236">
        <f>O927</f>
        <v>7.829040117535011</v>
      </c>
      <c r="H679" s="236">
        <f aca="true" t="shared" si="16" ref="H679:H690">15*G679/(15*G679+$D$657)</f>
        <v>0.42328958870727107</v>
      </c>
      <c r="I679" s="235">
        <f aca="true" t="shared" si="17" ref="I679:I690">MAX(0,(G679/2*H679-C679/$H$657/E679)/$D$657*$H$657*E679)</f>
        <v>1373.2845088469685</v>
      </c>
    </row>
    <row r="680" spans="1:9" ht="12.75">
      <c r="A680" s="293"/>
      <c r="B680" s="183" t="s">
        <v>400</v>
      </c>
      <c r="C680" s="237">
        <f aca="true" t="shared" si="18" ref="C680:C689">F630*1000</f>
        <v>180250.0619998045</v>
      </c>
      <c r="D680" s="237">
        <f aca="true" t="shared" si="19" ref="D680:D690">ABS(E630)/F630*1000</f>
        <v>77.52222638300941</v>
      </c>
      <c r="E680" s="183">
        <f>IF(E630&gt;0,$G$73,$G$72)</f>
        <v>250</v>
      </c>
      <c r="F680" s="183">
        <f>E680-$L$5*1000/2</f>
        <v>75</v>
      </c>
      <c r="G680" s="230">
        <f>S927</f>
        <v>3.237446351088243</v>
      </c>
      <c r="H680" s="230">
        <f t="shared" si="16"/>
        <v>0.23284091167514057</v>
      </c>
      <c r="I680" s="237">
        <f t="shared" si="17"/>
        <v>0</v>
      </c>
    </row>
    <row r="681" spans="1:9" ht="12.75">
      <c r="A681" s="293"/>
      <c r="B681" s="182" t="s">
        <v>403</v>
      </c>
      <c r="C681" s="238">
        <f t="shared" si="18"/>
        <v>165149.00000000006</v>
      </c>
      <c r="D681" s="238">
        <f t="shared" si="19"/>
        <v>420.6957869078349</v>
      </c>
      <c r="E681" s="182">
        <f>E679</f>
        <v>250</v>
      </c>
      <c r="F681" s="182">
        <f>E681-$L$5*1000/2</f>
        <v>75</v>
      </c>
      <c r="G681" s="239">
        <f>W927</f>
        <v>7.486443631284835</v>
      </c>
      <c r="H681" s="239">
        <f t="shared" si="16"/>
        <v>0.4124055607225417</v>
      </c>
      <c r="I681" s="238">
        <f t="shared" si="17"/>
        <v>1379.889830920096</v>
      </c>
    </row>
    <row r="682" spans="1:9" ht="12.75">
      <c r="A682" s="292" t="s">
        <v>293</v>
      </c>
      <c r="B682" s="179" t="s">
        <v>403</v>
      </c>
      <c r="C682" s="235">
        <f t="shared" si="18"/>
        <v>90121.6509228459</v>
      </c>
      <c r="D682" s="235">
        <f t="shared" si="19"/>
        <v>770.9300462274318</v>
      </c>
      <c r="E682" s="183">
        <f>$G$75</f>
        <v>300</v>
      </c>
      <c r="F682" s="183">
        <f>E682-$L$6*1000/2</f>
        <v>100</v>
      </c>
      <c r="G682" s="230">
        <f>AA927</f>
        <v>5.657401609062731</v>
      </c>
      <c r="H682" s="230">
        <f t="shared" si="16"/>
        <v>0.346568117304076</v>
      </c>
      <c r="I682" s="237">
        <f t="shared" si="17"/>
        <v>1274.8725171877638</v>
      </c>
    </row>
    <row r="683" spans="1:9" ht="12.75">
      <c r="A683" s="293"/>
      <c r="B683" s="183" t="s">
        <v>400</v>
      </c>
      <c r="C683" s="237">
        <f t="shared" si="18"/>
        <v>90121.6509228459</v>
      </c>
      <c r="D683" s="237">
        <f t="shared" si="19"/>
        <v>763.7986908039244</v>
      </c>
      <c r="E683" s="183">
        <f>IF(E633&gt;0,$G$76,$G$75)</f>
        <v>300</v>
      </c>
      <c r="F683" s="183">
        <f>E683-$L$6*1000/2</f>
        <v>100</v>
      </c>
      <c r="G683" s="230">
        <f>AE927</f>
        <v>6.1056667321718185</v>
      </c>
      <c r="H683" s="230">
        <f t="shared" si="16"/>
        <v>0.3640320393699452</v>
      </c>
      <c r="I683" s="237">
        <f t="shared" si="17"/>
        <v>1520.481849443841</v>
      </c>
    </row>
    <row r="684" spans="1:9" ht="12.75">
      <c r="A684" s="293"/>
      <c r="B684" s="182" t="s">
        <v>404</v>
      </c>
      <c r="C684" s="238">
        <f t="shared" si="18"/>
        <v>90121.6509228459</v>
      </c>
      <c r="D684" s="238">
        <f t="shared" si="19"/>
        <v>770.9300462274313</v>
      </c>
      <c r="E684" s="182">
        <f>E682</f>
        <v>300</v>
      </c>
      <c r="F684" s="182">
        <f>E684-$L$6*1000/2</f>
        <v>100</v>
      </c>
      <c r="G684" s="239">
        <f>AI927</f>
        <v>5.657401609062728</v>
      </c>
      <c r="H684" s="239">
        <f t="shared" si="16"/>
        <v>0.3465681173040759</v>
      </c>
      <c r="I684" s="238">
        <f t="shared" si="17"/>
        <v>1274.8725171877625</v>
      </c>
    </row>
    <row r="685" spans="1:9" ht="12.75">
      <c r="A685" s="292" t="s">
        <v>261</v>
      </c>
      <c r="B685" s="179" t="s">
        <v>405</v>
      </c>
      <c r="C685" s="235">
        <f t="shared" si="18"/>
        <v>165149</v>
      </c>
      <c r="D685" s="235">
        <f t="shared" si="19"/>
        <v>420.69578690783493</v>
      </c>
      <c r="E685" s="183">
        <f>E679</f>
        <v>250</v>
      </c>
      <c r="F685" s="183">
        <f>E685-$L$5*1000/2</f>
        <v>75</v>
      </c>
      <c r="G685" s="230">
        <f>AM927</f>
        <v>7.486443631284835</v>
      </c>
      <c r="H685" s="230">
        <f t="shared" si="16"/>
        <v>0.4124055607225417</v>
      </c>
      <c r="I685" s="235">
        <f t="shared" si="17"/>
        <v>1379.8898309200965</v>
      </c>
    </row>
    <row r="686" spans="1:9" ht="12.75">
      <c r="A686" s="293"/>
      <c r="B686" s="183" t="s">
        <v>406</v>
      </c>
      <c r="C686" s="237">
        <f t="shared" si="18"/>
        <v>180250.06199980443</v>
      </c>
      <c r="D686" s="237">
        <f t="shared" si="19"/>
        <v>77.52222638300944</v>
      </c>
      <c r="E686" s="183">
        <f>IF(E636&gt;0,$G$73,$G$72)</f>
        <v>250</v>
      </c>
      <c r="F686" s="183">
        <f>E686-$L$5*1000/2</f>
        <v>75</v>
      </c>
      <c r="G686" s="230">
        <f>AQ927</f>
        <v>3.2374463510882445</v>
      </c>
      <c r="H686" s="230">
        <f t="shared" si="16"/>
        <v>0.23284091167514062</v>
      </c>
      <c r="I686" s="237">
        <f t="shared" si="17"/>
        <v>0</v>
      </c>
    </row>
    <row r="687" spans="1:9" ht="12.75">
      <c r="A687" s="293"/>
      <c r="B687" s="182" t="s">
        <v>407</v>
      </c>
      <c r="C687" s="238">
        <f t="shared" si="18"/>
        <v>194518.375</v>
      </c>
      <c r="D687" s="238">
        <f t="shared" si="19"/>
        <v>384.2911275800804</v>
      </c>
      <c r="E687" s="182">
        <f>E681</f>
        <v>250</v>
      </c>
      <c r="F687" s="182">
        <f>E687-$L$5*1000/2</f>
        <v>75</v>
      </c>
      <c r="G687" s="239">
        <f>AU927</f>
        <v>7.829040117535008</v>
      </c>
      <c r="H687" s="239">
        <f t="shared" si="16"/>
        <v>0.4232895887072709</v>
      </c>
      <c r="I687" s="238">
        <f t="shared" si="17"/>
        <v>1373.2845088469667</v>
      </c>
    </row>
    <row r="688" spans="1:9" ht="12.75">
      <c r="A688" s="292" t="s">
        <v>23</v>
      </c>
      <c r="B688" s="179" t="s">
        <v>408</v>
      </c>
      <c r="C688" s="235">
        <f t="shared" si="18"/>
        <v>110797.41157715417</v>
      </c>
      <c r="D688" s="235">
        <f t="shared" si="19"/>
        <v>674.6699638532739</v>
      </c>
      <c r="E688" s="183">
        <f>$G$78</f>
        <v>340</v>
      </c>
      <c r="F688" s="183">
        <f>E688-$L$7*1000/2</f>
        <v>115</v>
      </c>
      <c r="G688" s="230">
        <f>AY927</f>
        <v>5.099444774492337</v>
      </c>
      <c r="H688" s="230">
        <f t="shared" si="16"/>
        <v>0.3234434054030424</v>
      </c>
      <c r="I688" s="237">
        <f t="shared" si="17"/>
        <v>1059.984322639747</v>
      </c>
    </row>
    <row r="689" spans="1:9" ht="12.75">
      <c r="A689" s="293"/>
      <c r="B689" s="183" t="s">
        <v>777</v>
      </c>
      <c r="C689" s="237">
        <f t="shared" si="18"/>
        <v>110797.41157715417</v>
      </c>
      <c r="D689" s="237">
        <f t="shared" si="19"/>
        <v>768.1162233374173</v>
      </c>
      <c r="E689" s="183">
        <f>IF(E639&gt;0,$G$77,$G$78)</f>
        <v>350</v>
      </c>
      <c r="F689" s="183">
        <f>E689-$L$7*1000/2</f>
        <v>125</v>
      </c>
      <c r="G689" s="230">
        <f>BC927</f>
        <v>5.799063457451134</v>
      </c>
      <c r="H689" s="230">
        <f t="shared" si="16"/>
        <v>0.3521898764122879</v>
      </c>
      <c r="I689" s="237">
        <f t="shared" si="17"/>
        <v>1541.3599427532718</v>
      </c>
    </row>
    <row r="690" spans="1:9" ht="12.75">
      <c r="A690" s="293"/>
      <c r="B690" s="182" t="s">
        <v>410</v>
      </c>
      <c r="C690" s="238">
        <f>F640*1000</f>
        <v>110797.41157715417</v>
      </c>
      <c r="D690" s="238">
        <f t="shared" si="19"/>
        <v>674.6699638532741</v>
      </c>
      <c r="E690" s="182">
        <f>E688</f>
        <v>340</v>
      </c>
      <c r="F690" s="182">
        <f>E690-$L$7*1000/2</f>
        <v>115</v>
      </c>
      <c r="G690" s="239">
        <f>BG927</f>
        <v>5.099444774492338</v>
      </c>
      <c r="H690" s="239">
        <f t="shared" si="16"/>
        <v>0.32344340540304245</v>
      </c>
      <c r="I690" s="238">
        <f t="shared" si="17"/>
        <v>1059.9843226397475</v>
      </c>
    </row>
    <row r="692" ht="12.75">
      <c r="A692" s="176" t="s">
        <v>793</v>
      </c>
    </row>
    <row r="694" ht="12.75">
      <c r="B694" s="176" t="str">
        <f>IF(データ!B19=1,"必要鉄筋量を満たすように自動的に決定する","必要鉄筋量に関係なく，指定した鉄筋量を使用する")</f>
        <v>必要鉄筋量を満たすように自動的に決定する</v>
      </c>
    </row>
    <row r="697" spans="2:8" ht="12.75">
      <c r="B697" s="333" t="s">
        <v>794</v>
      </c>
      <c r="C697" s="303"/>
      <c r="D697" s="179" t="s">
        <v>279</v>
      </c>
      <c r="E697" s="179" t="s">
        <v>795</v>
      </c>
      <c r="F697" s="179" t="s">
        <v>429</v>
      </c>
      <c r="G697" s="179" t="s">
        <v>430</v>
      </c>
      <c r="H697" s="179" t="s">
        <v>796</v>
      </c>
    </row>
    <row r="698" spans="2:8" ht="15">
      <c r="B698" s="334"/>
      <c r="C698" s="335"/>
      <c r="D698" s="181" t="s">
        <v>797</v>
      </c>
      <c r="E698" s="182" t="s">
        <v>798</v>
      </c>
      <c r="F698" s="182" t="s">
        <v>435</v>
      </c>
      <c r="G698" s="182" t="s">
        <v>435</v>
      </c>
      <c r="H698" s="182" t="s">
        <v>798</v>
      </c>
    </row>
    <row r="699" spans="2:8" ht="12.75">
      <c r="B699" s="307" t="s">
        <v>9</v>
      </c>
      <c r="C699" s="179" t="s">
        <v>586</v>
      </c>
      <c r="D699" s="179">
        <f aca="true" t="shared" si="20" ref="D699:D705">G72</f>
        <v>250</v>
      </c>
      <c r="E699" s="235">
        <f>MAX(I663,I671,I672,I674,I679,I687,I688,I690)</f>
        <v>1373.2845088469685</v>
      </c>
      <c r="F699" s="179" t="str">
        <f>IF(データ!$B$19=1,"D"&amp;P947,"D"&amp;S947)</f>
        <v>D22</v>
      </c>
      <c r="G699" s="179" t="str">
        <f>IF(データ!$B$19=1,"@"&amp;Q947,"@"&amp;T947)</f>
        <v>@250</v>
      </c>
      <c r="H699" s="179">
        <f>IF(データ!$B$19=1,R947,U947)</f>
        <v>1548</v>
      </c>
    </row>
    <row r="700" spans="2:8" ht="12.75">
      <c r="B700" s="321"/>
      <c r="C700" s="183" t="s">
        <v>58</v>
      </c>
      <c r="D700" s="183">
        <f t="shared" si="20"/>
        <v>250</v>
      </c>
      <c r="E700" s="237">
        <f>MAX(I680,I686)</f>
        <v>0</v>
      </c>
      <c r="F700" s="183" t="str">
        <f>IF(データ!$B$19=1,"D"&amp;P948,"D"&amp;S948)</f>
        <v>D13</v>
      </c>
      <c r="G700" s="183" t="str">
        <f>IF(データ!$B$19=1,"@"&amp;Q948,"@"&amp;T948)</f>
        <v>@250</v>
      </c>
      <c r="H700" s="183">
        <f>IF(データ!$B$19=1,R948,U948)</f>
        <v>507</v>
      </c>
    </row>
    <row r="701" spans="2:8" ht="12.75">
      <c r="B701" s="308"/>
      <c r="C701" s="182" t="s">
        <v>584</v>
      </c>
      <c r="D701" s="183">
        <f t="shared" si="20"/>
        <v>250</v>
      </c>
      <c r="E701" s="238">
        <f>MAX(I665,I666,I668,I669,I681,I682,I684,I685)</f>
        <v>1379.8898309200965</v>
      </c>
      <c r="F701" s="182" t="str">
        <f>IF(データ!$B$19=1,"D"&amp;P949,"D"&amp;S949)</f>
        <v>D22</v>
      </c>
      <c r="G701" s="182" t="str">
        <f>IF(データ!$B$19=1,"@"&amp;Q949,"@"&amp;T949)</f>
        <v>@250</v>
      </c>
      <c r="H701" s="182">
        <f>IF(データ!$B$19=1,R949,U949)</f>
        <v>1548</v>
      </c>
    </row>
    <row r="702" spans="2:8" ht="12.75">
      <c r="B702" s="307" t="s">
        <v>22</v>
      </c>
      <c r="C702" s="179" t="s">
        <v>799</v>
      </c>
      <c r="D702" s="179">
        <f t="shared" si="20"/>
        <v>300</v>
      </c>
      <c r="E702" s="235">
        <f>E701</f>
        <v>1379.8898309200965</v>
      </c>
      <c r="F702" s="179" t="str">
        <f>IF(データ!$B$19=1,"D"&amp;P950,"D"&amp;S950)</f>
        <v>D22</v>
      </c>
      <c r="G702" s="179" t="str">
        <f>IF(データ!$B$19=1,"@"&amp;Q950,"@"&amp;T950)</f>
        <v>@250</v>
      </c>
      <c r="H702" s="179">
        <f>IF(データ!$B$19=1,R950,U950)</f>
        <v>1548</v>
      </c>
    </row>
    <row r="703" spans="2:8" ht="12.75">
      <c r="B703" s="308"/>
      <c r="C703" s="182" t="s">
        <v>286</v>
      </c>
      <c r="D703" s="182">
        <f t="shared" si="20"/>
        <v>300</v>
      </c>
      <c r="E703" s="238">
        <f>MAX(I667,I683)</f>
        <v>1570.808588009285</v>
      </c>
      <c r="F703" s="182" t="str">
        <f>IF(データ!$B$19=1,"D"&amp;P951,"D"&amp;S951)</f>
        <v>D25</v>
      </c>
      <c r="G703" s="182" t="str">
        <f>IF(データ!$B$19=1,"@"&amp;Q951,"@"&amp;T951)</f>
        <v>@250</v>
      </c>
      <c r="H703" s="182">
        <f>IF(データ!$B$19=1,R951,U951)</f>
        <v>2027</v>
      </c>
    </row>
    <row r="704" spans="2:8" ht="12.75">
      <c r="B704" s="307" t="s">
        <v>10</v>
      </c>
      <c r="C704" s="179" t="s">
        <v>287</v>
      </c>
      <c r="D704" s="179">
        <f t="shared" si="20"/>
        <v>350</v>
      </c>
      <c r="E704" s="235">
        <f>MAX(I673,I689)</f>
        <v>1598.0644541878282</v>
      </c>
      <c r="F704" s="179" t="str">
        <f>IF(データ!$B$19=1,"D"&amp;P952,"D"&amp;S952)</f>
        <v>D25</v>
      </c>
      <c r="G704" s="179" t="str">
        <f>IF(データ!$B$19=1,"@"&amp;Q952,"@"&amp;T952)</f>
        <v>@250</v>
      </c>
      <c r="H704" s="179">
        <f>IF(データ!$B$19=1,R952,U952)</f>
        <v>2027</v>
      </c>
    </row>
    <row r="705" spans="2:8" ht="12.75">
      <c r="B705" s="308"/>
      <c r="C705" s="182" t="s">
        <v>286</v>
      </c>
      <c r="D705" s="182">
        <f t="shared" si="20"/>
        <v>340</v>
      </c>
      <c r="E705" s="238">
        <f>E699</f>
        <v>1373.2845088469685</v>
      </c>
      <c r="F705" s="182" t="str">
        <f>IF(データ!$B$19=1,"D"&amp;P953,"D"&amp;S953)</f>
        <v>D22</v>
      </c>
      <c r="G705" s="182" t="str">
        <f>IF(データ!$B$19=1,"@"&amp;Q953,"@"&amp;T953)</f>
        <v>@250</v>
      </c>
      <c r="H705" s="182">
        <f>IF(データ!$B$19=1,R953,U953)</f>
        <v>1548</v>
      </c>
    </row>
    <row r="706" spans="2:3" ht="12.75">
      <c r="B706" s="205"/>
      <c r="C706" s="205"/>
    </row>
    <row r="707" spans="2:3" ht="12.75">
      <c r="B707" s="240"/>
      <c r="C707" s="205"/>
    </row>
    <row r="708" spans="2:3" ht="12.75">
      <c r="B708" s="240"/>
      <c r="C708" s="205"/>
    </row>
    <row r="709" spans="1:3" ht="12.75">
      <c r="A709" s="176" t="s">
        <v>800</v>
      </c>
      <c r="B709" s="205"/>
      <c r="C709" s="205"/>
    </row>
    <row r="710" spans="1:3" ht="12.75">
      <c r="A710" s="241" t="s">
        <v>801</v>
      </c>
      <c r="C710" s="205"/>
    </row>
    <row r="711" spans="1:3" ht="12.75">
      <c r="A711" s="241"/>
      <c r="C711" s="205"/>
    </row>
    <row r="712" spans="1:3" ht="12.75">
      <c r="A712" s="241"/>
      <c r="B712" s="176" t="s">
        <v>802</v>
      </c>
      <c r="C712" s="205"/>
    </row>
    <row r="713" spans="1:3" ht="14.25">
      <c r="A713" s="241"/>
      <c r="C713" s="205"/>
    </row>
    <row r="714" spans="1:3" ht="14.25">
      <c r="A714" s="241"/>
      <c r="C714" s="205"/>
    </row>
    <row r="715" spans="1:3" ht="14.25">
      <c r="A715" s="241"/>
      <c r="C715" s="205"/>
    </row>
    <row r="716" spans="1:28" ht="14.25">
      <c r="A716" s="241"/>
      <c r="C716" s="205"/>
      <c r="J716" s="186">
        <v>0</v>
      </c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</row>
    <row r="717" spans="1:28" ht="14.25">
      <c r="A717" s="241"/>
      <c r="C717" s="205"/>
      <c r="J717" s="186">
        <f>H497*2</f>
        <v>0.5</v>
      </c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  <c r="AA717" s="186"/>
      <c r="AB717" s="186"/>
    </row>
    <row r="718" spans="1:10" ht="14.25">
      <c r="A718" s="241"/>
      <c r="C718" s="205"/>
      <c r="J718" s="176">
        <f>D497-2*H497</f>
        <v>2.9250000000000003</v>
      </c>
    </row>
    <row r="719" spans="1:3" ht="14.25">
      <c r="A719" s="241"/>
      <c r="C719" s="205"/>
    </row>
    <row r="720" spans="1:3" ht="14.25">
      <c r="A720" s="241"/>
      <c r="C720" s="205"/>
    </row>
    <row r="721" spans="1:3" ht="14.25">
      <c r="A721" s="241"/>
      <c r="C721" s="205"/>
    </row>
    <row r="722" spans="1:3" ht="14.25">
      <c r="A722" s="241"/>
      <c r="C722" s="205"/>
    </row>
    <row r="723" spans="1:3" ht="14.25">
      <c r="A723" s="241"/>
      <c r="C723" s="205"/>
    </row>
    <row r="724" spans="1:3" ht="14.25">
      <c r="A724" s="241"/>
      <c r="C724" s="205"/>
    </row>
    <row r="725" spans="1:3" ht="14.25">
      <c r="A725" s="241"/>
      <c r="C725" s="205"/>
    </row>
    <row r="726" spans="1:3" ht="14.25">
      <c r="A726" s="241"/>
      <c r="C726" s="205"/>
    </row>
    <row r="727" spans="2:3" ht="14.25">
      <c r="B727" s="240"/>
      <c r="C727" s="205"/>
    </row>
    <row r="728" ht="14.25"/>
    <row r="729" ht="14.25"/>
    <row r="730" ht="14.25"/>
    <row r="731" ht="14.25"/>
    <row r="732" ht="14.25"/>
    <row r="733" ht="14.25"/>
    <row r="734" ht="14.25"/>
    <row r="735" ht="12.75">
      <c r="C735" s="176" t="s">
        <v>803</v>
      </c>
    </row>
    <row r="736" ht="12.75">
      <c r="C736" s="176" t="s">
        <v>804</v>
      </c>
    </row>
    <row r="738" spans="3:7" ht="12.75">
      <c r="C738" s="10" t="s">
        <v>441</v>
      </c>
      <c r="D738" s="176">
        <v>1000</v>
      </c>
      <c r="E738" s="176" t="s">
        <v>442</v>
      </c>
      <c r="F738" s="10" t="s">
        <v>443</v>
      </c>
      <c r="G738" s="176">
        <v>15</v>
      </c>
    </row>
    <row r="740" spans="1:9" ht="15">
      <c r="A740" s="292" t="s">
        <v>805</v>
      </c>
      <c r="B740" s="296"/>
      <c r="C740" s="234" t="s">
        <v>420</v>
      </c>
      <c r="D740" s="234" t="s">
        <v>421</v>
      </c>
      <c r="E740" s="234" t="s">
        <v>422</v>
      </c>
      <c r="F740" s="234" t="s">
        <v>790</v>
      </c>
      <c r="G740" s="234" t="s">
        <v>444</v>
      </c>
      <c r="H740" s="234" t="s">
        <v>789</v>
      </c>
      <c r="I740" s="234" t="s">
        <v>806</v>
      </c>
    </row>
    <row r="741" spans="1:9" ht="15">
      <c r="A741" s="293"/>
      <c r="B741" s="296"/>
      <c r="C741" s="171" t="s">
        <v>420</v>
      </c>
      <c r="D741" s="182" t="s">
        <v>442</v>
      </c>
      <c r="E741" s="182" t="s">
        <v>442</v>
      </c>
      <c r="F741" s="182" t="s">
        <v>792</v>
      </c>
      <c r="G741" s="182" t="s">
        <v>442</v>
      </c>
      <c r="H741" s="182" t="s">
        <v>791</v>
      </c>
      <c r="I741" s="182" t="s">
        <v>791</v>
      </c>
    </row>
    <row r="742" spans="1:9" ht="12.75">
      <c r="A742" s="292" t="s">
        <v>807</v>
      </c>
      <c r="B742" s="179" t="s">
        <v>399</v>
      </c>
      <c r="C742" s="235">
        <f>IF($I$663&gt;=$I$679,C663,C679)</f>
        <v>194518.37500000006</v>
      </c>
      <c r="D742" s="242">
        <f>IF($I$663&gt;=$I$679,D663,D679)</f>
        <v>384.29112758008046</v>
      </c>
      <c r="E742" s="235">
        <f>IF($I$663&gt;=$I$679,E663,E679)</f>
        <v>250</v>
      </c>
      <c r="F742" s="235">
        <f>H699</f>
        <v>1548</v>
      </c>
      <c r="G742" s="199">
        <f>Q993</f>
        <v>110.1262407239434</v>
      </c>
      <c r="H742" s="233">
        <f>MAX(0,C742/($D$738*G742/2-15*F742/G742*(K978+J978/2-G742)))*M970</f>
        <v>7.607024663264181</v>
      </c>
      <c r="I742" s="242">
        <f>(K978+J978/2-G742)/G742*15*H742/M970</f>
        <v>144.92773877894237</v>
      </c>
    </row>
    <row r="743" spans="1:9" ht="12.75">
      <c r="A743" s="293"/>
      <c r="B743" s="183" t="s">
        <v>400</v>
      </c>
      <c r="C743" s="237">
        <f>IF($I$664&gt;=$I$680,C664,C680)</f>
        <v>193735.77871786425</v>
      </c>
      <c r="D743" s="243">
        <f>IF($I$664&gt;=$I$680,D664,D680)</f>
        <v>37.15404295172038</v>
      </c>
      <c r="E743" s="237">
        <f>IF($I$664&gt;=$I$680,E664,E680)</f>
        <v>250</v>
      </c>
      <c r="F743" s="237">
        <f>H700</f>
        <v>507</v>
      </c>
      <c r="G743" s="199" t="str">
        <f>IF(E700=0,"****",U993)</f>
        <v>****</v>
      </c>
      <c r="H743" s="200" t="str">
        <f>IF(E700=0,"****",C743/($D$738*G743/2-15*F743/G743*(K979+J979/2-G743)))</f>
        <v>****</v>
      </c>
      <c r="I743" s="243" t="str">
        <f>IF(E700=0,"****",(K979+J979/2-G743)/G743*15*H743)</f>
        <v>****</v>
      </c>
    </row>
    <row r="744" spans="1:9" ht="12.75">
      <c r="A744" s="293"/>
      <c r="B744" s="182" t="s">
        <v>403</v>
      </c>
      <c r="C744" s="237">
        <f>IF($I$665&gt;=$I$681,C665,C681)</f>
        <v>165149.00000000006</v>
      </c>
      <c r="D744" s="243">
        <f>IF($I$665&gt;=$I$681,D665,D681)</f>
        <v>420.6957869078349</v>
      </c>
      <c r="E744" s="237">
        <f>IF($I$665&gt;=$I$681,E665,E681)</f>
        <v>250</v>
      </c>
      <c r="F744" s="237">
        <f>H701</f>
        <v>1548</v>
      </c>
      <c r="G744" s="203">
        <f>Y993</f>
        <v>107.80790987434656</v>
      </c>
      <c r="H744" s="200">
        <f>MAX(0,C744/($D$738*G744/2-15*F744/G744*(K980+J980/2-G744)))</f>
        <v>7.094582578412516</v>
      </c>
      <c r="I744" s="243">
        <f>(K980+J980/2-G744)/G744*15*H744</f>
        <v>140.3598576258416</v>
      </c>
    </row>
    <row r="745" spans="1:9" ht="12.75">
      <c r="A745" s="292" t="s">
        <v>293</v>
      </c>
      <c r="B745" s="179" t="s">
        <v>403</v>
      </c>
      <c r="C745" s="235">
        <f>IF($I$666&gt;=$I$682,C666,C682)</f>
        <v>82069.37275237487</v>
      </c>
      <c r="D745" s="242">
        <f>IF($I$666&gt;=$I$682,D666,D682)</f>
        <v>850.8756032425031</v>
      </c>
      <c r="E745" s="235">
        <f>IF($I$666&gt;=$I$682,E666,E682)</f>
        <v>300</v>
      </c>
      <c r="F745" s="235">
        <f>H702</f>
        <v>1548</v>
      </c>
      <c r="G745" s="199">
        <f>AC993</f>
        <v>110.3549169596307</v>
      </c>
      <c r="H745" s="233">
        <f>MAX(0,C745/($D$738*G745/2-15*F745/G745*(K981+J981/2-G745)))</f>
        <v>5.3731930654350695</v>
      </c>
      <c r="I745" s="242">
        <f>(K981+J981/2-G745)/G745*15*H745</f>
        <v>138.50759981892793</v>
      </c>
    </row>
    <row r="746" spans="1:9" ht="12.75">
      <c r="A746" s="293"/>
      <c r="B746" s="183" t="s">
        <v>400</v>
      </c>
      <c r="C746" s="237">
        <f>IF($I$667&gt;=$I$683,C667,C683)</f>
        <v>82069.37275237487</v>
      </c>
      <c r="D746" s="243">
        <f>IF($I$667&gt;=$I$683,D667,D683)</f>
        <v>970.8360321211742</v>
      </c>
      <c r="E746" s="237">
        <f>IF($I$667&gt;=$I$683,E667,E683)</f>
        <v>300</v>
      </c>
      <c r="F746" s="237">
        <f>H703</f>
        <v>2027</v>
      </c>
      <c r="G746" s="199">
        <f>AG993</f>
        <v>120.17046952109116</v>
      </c>
      <c r="H746" s="200">
        <f>MAX(0,C746/($D$738*G746/2-15*F746/G746*(K982+J982/2-G746)))</f>
        <v>5.62675370691463</v>
      </c>
      <c r="I746" s="243">
        <f>(K982+J982/2-G746)/G746*15*H746</f>
        <v>126.30263673772114</v>
      </c>
    </row>
    <row r="747" spans="1:9" ht="12.75">
      <c r="A747" s="293"/>
      <c r="B747" s="182" t="s">
        <v>404</v>
      </c>
      <c r="C747" s="237">
        <f>IF($I$668&gt;=$I$684,C668,C684)</f>
        <v>82069.37275237487</v>
      </c>
      <c r="D747" s="243">
        <f>IF($I$668&gt;=$I$684,D668,D684)</f>
        <v>850.8756032425026</v>
      </c>
      <c r="E747" s="237">
        <f>IF($I$668&gt;=$I$684,E668,E684)</f>
        <v>300</v>
      </c>
      <c r="F747" s="237">
        <f>H702</f>
        <v>1548</v>
      </c>
      <c r="G747" s="203">
        <f>AK993</f>
        <v>110.35491695963071</v>
      </c>
      <c r="H747" s="200">
        <f>MAX(0,C747/($D$738*G747/2-15*F747/G747*(K983+J983/2-G747)))</f>
        <v>5.373193065435064</v>
      </c>
      <c r="I747" s="243">
        <f>(K983+J983/2-G747)/G747*15*H747</f>
        <v>138.50759981892776</v>
      </c>
    </row>
    <row r="748" spans="1:28" ht="12.75">
      <c r="A748" s="292" t="s">
        <v>261</v>
      </c>
      <c r="B748" s="179" t="s">
        <v>405</v>
      </c>
      <c r="C748" s="235">
        <f>IF($I$669&gt;=$I$685,C669,C685)</f>
        <v>165149</v>
      </c>
      <c r="D748" s="242">
        <f>IF($I$669&gt;=$I$685,D669,D685)</f>
        <v>420.69578690783493</v>
      </c>
      <c r="E748" s="235">
        <f>IF($I$669&gt;=$I$685,E669,E685)</f>
        <v>250</v>
      </c>
      <c r="F748" s="235">
        <f>H701</f>
        <v>1548</v>
      </c>
      <c r="G748" s="199">
        <f>AO993</f>
        <v>107.80790987434655</v>
      </c>
      <c r="H748" s="233">
        <f>MAX(0,C748/($D$738*G748/2-15*F748/G748*(K984+J984/2-G748)))</f>
        <v>7.09458257841252</v>
      </c>
      <c r="I748" s="242">
        <f>(K984+J984/2-G748)/G748*15*H748</f>
        <v>140.35985762584173</v>
      </c>
      <c r="J748" s="186">
        <v>0</v>
      </c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  <c r="AA748" s="186"/>
      <c r="AB748" s="186"/>
    </row>
    <row r="749" spans="1:28" ht="12.75">
      <c r="A749" s="293"/>
      <c r="B749" s="183" t="s">
        <v>406</v>
      </c>
      <c r="C749" s="237">
        <f>IF($I$670&gt;=$I$686,C670,C686)</f>
        <v>193735.77871786428</v>
      </c>
      <c r="D749" s="243">
        <f>IF($I$670&gt;=$I$686,D670,D686)</f>
        <v>37.15404295172044</v>
      </c>
      <c r="E749" s="237">
        <f>IF($I$670&gt;=$I$686,E670,E686)</f>
        <v>250</v>
      </c>
      <c r="F749" s="237">
        <f>H700</f>
        <v>507</v>
      </c>
      <c r="G749" s="199" t="str">
        <f>IF(E700=0,"****",AS993)</f>
        <v>****</v>
      </c>
      <c r="H749" s="200" t="str">
        <f>IF(E700=0,"****",C749/($D$738*G749/2-15*F749/G749*(K985+J985/2-G749)))</f>
        <v>****</v>
      </c>
      <c r="I749" s="243" t="str">
        <f>IF(E700=0,"****",(K985+J985/2-G749)/G749*15*H749)</f>
        <v>****</v>
      </c>
      <c r="J749" s="186">
        <f>H516*2</f>
        <v>0.6</v>
      </c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  <c r="AA749" s="186"/>
      <c r="AB749" s="186"/>
    </row>
    <row r="750" spans="1:10" ht="12.75">
      <c r="A750" s="293"/>
      <c r="B750" s="182" t="s">
        <v>407</v>
      </c>
      <c r="C750" s="237">
        <f>IF($I$671&gt;=$I$687,C671,C687)</f>
        <v>194518.375</v>
      </c>
      <c r="D750" s="243">
        <f>IF($I$671&gt;=$I$687,D671,D687)</f>
        <v>384.2911275800804</v>
      </c>
      <c r="E750" s="237">
        <f>IF($I$671&gt;=$I$687,E671,E687)</f>
        <v>250</v>
      </c>
      <c r="F750" s="237">
        <f>H699</f>
        <v>1548</v>
      </c>
      <c r="G750" s="203">
        <f>AW993</f>
        <v>110.12624072021812</v>
      </c>
      <c r="H750" s="200">
        <f>MAX(0,C750/($D$738*G750/2-15*F750/G750*(K986+J986/2-G750)))*M970</f>
        <v>7.607024664348746</v>
      </c>
      <c r="I750" s="243">
        <f>(K986+J986/2-G750)/G750*15*H750/M970</f>
        <v>144.92773880836774</v>
      </c>
      <c r="J750" s="176">
        <f>D516-2*H516</f>
        <v>2.75</v>
      </c>
    </row>
    <row r="751" spans="1:9" ht="12.75">
      <c r="A751" s="292" t="s">
        <v>23</v>
      </c>
      <c r="B751" s="179" t="s">
        <v>408</v>
      </c>
      <c r="C751" s="235">
        <f>IF($I$672&gt;=$I$688,C672,C688)</f>
        <v>101724.6897476252</v>
      </c>
      <c r="D751" s="242">
        <f>IF($I$672&gt;=$I$688,D672,D688)</f>
        <v>721.137755406519</v>
      </c>
      <c r="E751" s="235">
        <f>IF($I$672&gt;=$I$688,E672,E688)</f>
        <v>340</v>
      </c>
      <c r="F751" s="235">
        <f>H705</f>
        <v>1548</v>
      </c>
      <c r="G751" s="199">
        <f>BA993</f>
        <v>124.69325117474011</v>
      </c>
      <c r="H751" s="233">
        <f>MAX(0,C751/($D$738*G751/2-15*F751/G751*(K987+J987/2-G751)))*M970</f>
        <v>4.5713097695733085</v>
      </c>
      <c r="I751" s="242">
        <f>(K987+J987/2-G751)/G751*15*H751/M970</f>
        <v>118.39861040041909</v>
      </c>
    </row>
    <row r="752" spans="1:9" ht="12.75">
      <c r="A752" s="293"/>
      <c r="B752" s="183" t="s">
        <v>777</v>
      </c>
      <c r="C752" s="237">
        <f>IF($I$673&gt;=$I$689,C673,C689)</f>
        <v>101724.6897476252</v>
      </c>
      <c r="D752" s="243">
        <f>IF($I$673&gt;=$I$689,D673,D689)</f>
        <v>960.3755446032587</v>
      </c>
      <c r="E752" s="237">
        <f>IF($I$673&gt;=$I$689,E673,E689)</f>
        <v>350</v>
      </c>
      <c r="F752" s="237">
        <f>H704</f>
        <v>2027</v>
      </c>
      <c r="G752" s="199">
        <f>BE993</f>
        <v>134.88686264559607</v>
      </c>
      <c r="H752" s="200">
        <f>MAX(0,C752/($D$738*G752/2-15*F752/G752*(K988+J988/2-G752)))</f>
        <v>5.366772833321321</v>
      </c>
      <c r="I752" s="243">
        <f>(K988+J988/2-G752)/G752*15*H752</f>
        <v>128.38129514629478</v>
      </c>
    </row>
    <row r="753" spans="1:9" ht="12.75">
      <c r="A753" s="320"/>
      <c r="B753" s="183" t="s">
        <v>410</v>
      </c>
      <c r="C753" s="237">
        <f>IF($I$674&gt;=$I$690,C674,C690)</f>
        <v>101724.6897476252</v>
      </c>
      <c r="D753" s="243">
        <f>IF($I$674&gt;=$I$690,D674,D690)</f>
        <v>721.1377554065191</v>
      </c>
      <c r="E753" s="237">
        <f>IF($I$674&gt;=$I$690,E674,E690)</f>
        <v>340</v>
      </c>
      <c r="F753" s="237">
        <f>H705</f>
        <v>1548</v>
      </c>
      <c r="G753" s="199">
        <f>BI993</f>
        <v>124.69325117474011</v>
      </c>
      <c r="H753" s="200">
        <f>MAX(0,C753/($D$738*G753/2-15*F753/G753*(K989+J989/2-G753)))*M970</f>
        <v>4.5713097695733085</v>
      </c>
      <c r="I753" s="243">
        <f>(K989+J989/2-G753)/G753*15*H753/M970</f>
        <v>118.39861040041909</v>
      </c>
    </row>
    <row r="754" spans="1:9" ht="15">
      <c r="A754" s="189"/>
      <c r="B754" s="244"/>
      <c r="C754" s="244"/>
      <c r="D754" s="244"/>
      <c r="E754" s="244"/>
      <c r="F754" s="244"/>
      <c r="G754" s="245" t="s">
        <v>808</v>
      </c>
      <c r="H754" s="233">
        <f>MAX(H742:H753)</f>
        <v>7.607024664348746</v>
      </c>
      <c r="I754" s="242">
        <f>MAX(I742:I753)</f>
        <v>144.92773880836774</v>
      </c>
    </row>
    <row r="755" spans="1:9" ht="15">
      <c r="A755" s="208"/>
      <c r="G755" s="246" t="s">
        <v>809</v>
      </c>
      <c r="H755" s="183">
        <f>L59</f>
        <v>8</v>
      </c>
      <c r="I755" s="183">
        <f>D657</f>
        <v>160</v>
      </c>
    </row>
    <row r="756" spans="1:9" ht="12.75">
      <c r="A756" s="247"/>
      <c r="B756" s="248"/>
      <c r="C756" s="248"/>
      <c r="D756" s="248"/>
      <c r="E756" s="248"/>
      <c r="F756" s="248"/>
      <c r="G756" s="249" t="s">
        <v>447</v>
      </c>
      <c r="H756" s="182" t="str">
        <f>IF(H754&lt;=H755,"SAFE","OUT")</f>
        <v>SAFE</v>
      </c>
      <c r="I756" s="182" t="str">
        <f>IF(I754&lt;=I755,"SAFE","OUT")</f>
        <v>SAFE</v>
      </c>
    </row>
    <row r="759" ht="12.75">
      <c r="A759" s="241" t="s">
        <v>810</v>
      </c>
    </row>
    <row r="761" ht="14.25"/>
    <row r="762" ht="14.25"/>
    <row r="763" ht="14.25"/>
    <row r="764" spans="67:74" ht="14.25">
      <c r="BO764" s="176" t="s">
        <v>390</v>
      </c>
      <c r="BV764" s="176" t="s">
        <v>811</v>
      </c>
    </row>
    <row r="765" spans="1:76" s="251" customFormat="1" ht="12.75">
      <c r="A765" s="176"/>
      <c r="B765" s="176"/>
      <c r="C765" s="176"/>
      <c r="D765" s="10" t="s">
        <v>448</v>
      </c>
      <c r="E765" s="176">
        <v>1000</v>
      </c>
      <c r="F765" s="176" t="s">
        <v>449</v>
      </c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6"/>
      <c r="AG765" s="176"/>
      <c r="AH765" s="176"/>
      <c r="AI765" s="176"/>
      <c r="AJ765" s="176"/>
      <c r="AK765" s="176"/>
      <c r="AL765" s="176"/>
      <c r="AM765" s="176"/>
      <c r="AN765" s="176"/>
      <c r="AO765" s="176"/>
      <c r="AP765" s="176"/>
      <c r="AQ765" s="176"/>
      <c r="AR765" s="176"/>
      <c r="AS765" s="176"/>
      <c r="AT765" s="176"/>
      <c r="AU765" s="176"/>
      <c r="AV765" s="176"/>
      <c r="AW765" s="176"/>
      <c r="AX765" s="176"/>
      <c r="AY765" s="176"/>
      <c r="AZ765" s="176"/>
      <c r="BA765" s="176"/>
      <c r="BB765" s="176"/>
      <c r="BC765" s="176"/>
      <c r="BD765" s="176"/>
      <c r="BE765" s="176"/>
      <c r="BF765" s="176"/>
      <c r="BG765" s="176"/>
      <c r="BH765" s="176"/>
      <c r="BI765" s="176"/>
      <c r="BJ765" s="176"/>
      <c r="BK765" s="176"/>
      <c r="BL765" s="176"/>
      <c r="BM765" s="176"/>
      <c r="BN765" s="176"/>
      <c r="BO765" s="176"/>
      <c r="BP765" s="176" t="s">
        <v>812</v>
      </c>
      <c r="BQ765" s="250">
        <v>100</v>
      </c>
      <c r="BW765" s="251" t="s">
        <v>812</v>
      </c>
      <c r="BX765" s="251">
        <f>BQ765</f>
        <v>100</v>
      </c>
    </row>
    <row r="766" spans="10:74" s="251" customFormat="1" ht="12.75">
      <c r="J766" s="252">
        <v>0</v>
      </c>
      <c r="K766" s="252"/>
      <c r="L766" s="252"/>
      <c r="M766" s="252"/>
      <c r="N766" s="252"/>
      <c r="O766" s="252"/>
      <c r="P766" s="252"/>
      <c r="Q766" s="252"/>
      <c r="R766" s="252"/>
      <c r="S766" s="252"/>
      <c r="T766" s="252"/>
      <c r="U766" s="252"/>
      <c r="V766" s="252"/>
      <c r="W766" s="252"/>
      <c r="X766" s="252"/>
      <c r="Y766" s="252"/>
      <c r="Z766" s="252"/>
      <c r="AA766" s="252"/>
      <c r="AB766" s="252"/>
      <c r="BO766" s="251" t="s">
        <v>813</v>
      </c>
      <c r="BV766" s="251" t="s">
        <v>813</v>
      </c>
    </row>
    <row r="767" spans="2:79" s="251" customFormat="1" ht="12.75">
      <c r="B767" s="328"/>
      <c r="C767" s="328"/>
      <c r="D767" s="253" t="s">
        <v>450</v>
      </c>
      <c r="E767" s="326" t="s">
        <v>451</v>
      </c>
      <c r="F767" s="327"/>
      <c r="G767" s="326" t="s">
        <v>814</v>
      </c>
      <c r="H767" s="327"/>
      <c r="J767" s="252">
        <f>H538*2</f>
        <v>0.5</v>
      </c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52"/>
      <c r="Y767" s="252"/>
      <c r="Z767" s="252"/>
      <c r="AA767" s="252"/>
      <c r="AB767" s="252"/>
      <c r="BO767" s="251" t="s">
        <v>815</v>
      </c>
      <c r="BP767" s="251" t="s">
        <v>816</v>
      </c>
      <c r="BQ767" s="251" t="s">
        <v>381</v>
      </c>
      <c r="BR767" s="251" t="s">
        <v>382</v>
      </c>
      <c r="BS767" s="251" t="s">
        <v>383</v>
      </c>
      <c r="BT767" s="251" t="s">
        <v>384</v>
      </c>
      <c r="BV767" s="251" t="s">
        <v>817</v>
      </c>
      <c r="BW767" s="251" t="s">
        <v>816</v>
      </c>
      <c r="BX767" s="251" t="s">
        <v>381</v>
      </c>
      <c r="BY767" s="251" t="s">
        <v>382</v>
      </c>
      <c r="BZ767" s="251" t="s">
        <v>383</v>
      </c>
      <c r="CA767" s="251" t="s">
        <v>384</v>
      </c>
    </row>
    <row r="768" spans="1:75" ht="15">
      <c r="A768" s="251"/>
      <c r="B768" s="328"/>
      <c r="C768" s="328"/>
      <c r="D768" s="181" t="s">
        <v>818</v>
      </c>
      <c r="E768" s="196" t="s">
        <v>819</v>
      </c>
      <c r="F768" s="190" t="s">
        <v>820</v>
      </c>
      <c r="G768" s="196" t="s">
        <v>821</v>
      </c>
      <c r="H768" s="190" t="s">
        <v>820</v>
      </c>
      <c r="J768" s="176">
        <f>D538-2*H538</f>
        <v>2.9250000000000003</v>
      </c>
      <c r="BO768" s="176">
        <v>0</v>
      </c>
      <c r="BP768" s="176">
        <v>0</v>
      </c>
      <c r="BV768" s="176">
        <f>BO768</f>
        <v>0</v>
      </c>
      <c r="BW768" s="176">
        <f>BP768</f>
        <v>0</v>
      </c>
    </row>
    <row r="769" spans="2:75" ht="12.75">
      <c r="B769" s="292" t="s">
        <v>453</v>
      </c>
      <c r="C769" s="179" t="s">
        <v>399</v>
      </c>
      <c r="D769" s="235">
        <f>E742</f>
        <v>250</v>
      </c>
      <c r="E769" s="235">
        <f>MAX(ABS(G613),ABS(G629))*1000</f>
        <v>110797.41157715415</v>
      </c>
      <c r="F769" s="233">
        <f aca="true" t="shared" si="21" ref="F769:F776">E769/($E$765*D769)</f>
        <v>0.4431896463086166</v>
      </c>
      <c r="G769" s="254">
        <f>MAX(ABS(H613),ABS(H629))*1000</f>
        <v>74884.91157715415</v>
      </c>
      <c r="H769" s="233">
        <f>G769/($E$765*D769)</f>
        <v>0.2995396463086166</v>
      </c>
      <c r="BO769" s="176">
        <v>0</v>
      </c>
      <c r="BP769" s="209">
        <f>D538</f>
        <v>3.4250000000000003</v>
      </c>
      <c r="BV769" s="176">
        <f aca="true" t="shared" si="22" ref="BV769:BW773">BO769</f>
        <v>0</v>
      </c>
      <c r="BW769" s="176">
        <f t="shared" si="22"/>
        <v>3.4250000000000003</v>
      </c>
    </row>
    <row r="770" spans="2:75" ht="12.75">
      <c r="B770" s="293"/>
      <c r="C770" s="182" t="s">
        <v>417</v>
      </c>
      <c r="D770" s="238">
        <f>E744</f>
        <v>250</v>
      </c>
      <c r="E770" s="238">
        <f>MAX(ABS(G615),ABS(G631))*1000</f>
        <v>90121.6509228459</v>
      </c>
      <c r="F770" s="203">
        <f t="shared" si="21"/>
        <v>0.36048660369138363</v>
      </c>
      <c r="G770" s="255">
        <f>MAX(ABS(H615),ABS(H631))*1000</f>
        <v>67371.65092284587</v>
      </c>
      <c r="H770" s="203">
        <f aca="true" t="shared" si="23" ref="H770:H776">G770/($E$765*D770)</f>
        <v>0.2694866036913835</v>
      </c>
      <c r="BO770" s="209">
        <f>D556</f>
        <v>3.35</v>
      </c>
      <c r="BP770" s="209">
        <f>BP769</f>
        <v>3.4250000000000003</v>
      </c>
      <c r="BV770" s="176">
        <f t="shared" si="22"/>
        <v>3.35</v>
      </c>
      <c r="BW770" s="176">
        <f t="shared" si="22"/>
        <v>3.4250000000000003</v>
      </c>
    </row>
    <row r="771" spans="2:75" ht="12.75">
      <c r="B771" s="292" t="s">
        <v>293</v>
      </c>
      <c r="C771" s="179" t="s">
        <v>403</v>
      </c>
      <c r="D771" s="235">
        <f>E745</f>
        <v>300</v>
      </c>
      <c r="E771" s="235">
        <f>MAX(ABS(H616),ABS(H632))*1000</f>
        <v>114569.64925373139</v>
      </c>
      <c r="F771" s="233">
        <f t="shared" si="21"/>
        <v>0.3818988308457713</v>
      </c>
      <c r="G771" s="254">
        <f>MAX(ABS(H616),ABS(H632))*1000</f>
        <v>114569.64925373139</v>
      </c>
      <c r="H771" s="233">
        <f t="shared" si="23"/>
        <v>0.3818988308457713</v>
      </c>
      <c r="BO771" s="209">
        <f>BO770</f>
        <v>3.35</v>
      </c>
      <c r="BP771" s="176">
        <v>0</v>
      </c>
      <c r="BV771" s="176">
        <f t="shared" si="22"/>
        <v>3.35</v>
      </c>
      <c r="BW771" s="176">
        <f t="shared" si="22"/>
        <v>0</v>
      </c>
    </row>
    <row r="772" spans="2:75" ht="12.75">
      <c r="B772" s="293"/>
      <c r="C772" s="182" t="s">
        <v>404</v>
      </c>
      <c r="D772" s="238">
        <f>E747</f>
        <v>300</v>
      </c>
      <c r="E772" s="238">
        <f>MAX(ABS(G618),ABS(G634))*1000</f>
        <v>178515.50000000003</v>
      </c>
      <c r="F772" s="203">
        <f t="shared" si="21"/>
        <v>0.5950516666666668</v>
      </c>
      <c r="G772" s="255">
        <f>MAX(ABS(H618),ABS(H634))*1000</f>
        <v>114569.64925373132</v>
      </c>
      <c r="H772" s="203">
        <f t="shared" si="23"/>
        <v>0.38189883084577103</v>
      </c>
      <c r="BO772" s="176">
        <v>0</v>
      </c>
      <c r="BP772" s="176">
        <v>0</v>
      </c>
      <c r="BV772" s="176">
        <f t="shared" si="22"/>
        <v>0</v>
      </c>
      <c r="BW772" s="176">
        <f t="shared" si="22"/>
        <v>0</v>
      </c>
    </row>
    <row r="773" spans="2:76" ht="12.75">
      <c r="B773" s="292" t="s">
        <v>261</v>
      </c>
      <c r="C773" s="179" t="s">
        <v>405</v>
      </c>
      <c r="D773" s="235">
        <f>E748</f>
        <v>250</v>
      </c>
      <c r="E773" s="235">
        <f>MAX(ABS(G619),ABS(G635))*1000</f>
        <v>90121.65092284589</v>
      </c>
      <c r="F773" s="233">
        <f t="shared" si="21"/>
        <v>0.3604866036913836</v>
      </c>
      <c r="G773" s="254">
        <f>MAX(ABS(H619),ABS(H635))*1000</f>
        <v>67371.65092284589</v>
      </c>
      <c r="H773" s="233">
        <f t="shared" si="23"/>
        <v>0.26948660369138355</v>
      </c>
      <c r="BO773" s="176">
        <v>0</v>
      </c>
      <c r="BQ773" s="176">
        <v>0</v>
      </c>
      <c r="BV773" s="176">
        <f t="shared" si="22"/>
        <v>0</v>
      </c>
      <c r="BX773" s="176">
        <f>BQ773</f>
        <v>0</v>
      </c>
    </row>
    <row r="774" spans="2:76" ht="12.75">
      <c r="B774" s="293"/>
      <c r="C774" s="182" t="s">
        <v>418</v>
      </c>
      <c r="D774" s="238">
        <f>E750</f>
        <v>250</v>
      </c>
      <c r="E774" s="238">
        <f>MAX(ABS(G621),ABS(G637))*1000</f>
        <v>110797.41157715417</v>
      </c>
      <c r="F774" s="203">
        <f t="shared" si="21"/>
        <v>0.4431896463086167</v>
      </c>
      <c r="G774" s="255">
        <f>MAX(ABS(H621),ABS(H637))*1000</f>
        <v>74884.91157715415</v>
      </c>
      <c r="H774" s="203">
        <f t="shared" si="23"/>
        <v>0.2995396463086166</v>
      </c>
      <c r="BO774" s="176">
        <f>-E504/$BQ$765</f>
        <v>-1.0172468974762519</v>
      </c>
      <c r="BQ774" s="176">
        <v>0</v>
      </c>
      <c r="BV774" s="176">
        <f>-F504/$BQ$765</f>
        <v>-1.1079741157715415</v>
      </c>
      <c r="BX774" s="176">
        <f aca="true" t="shared" si="24" ref="BX774:BX785">BQ774</f>
        <v>0</v>
      </c>
    </row>
    <row r="775" spans="2:76" ht="12.75">
      <c r="B775" s="292" t="s">
        <v>298</v>
      </c>
      <c r="C775" s="179" t="s">
        <v>408</v>
      </c>
      <c r="D775" s="235">
        <f>E751</f>
        <v>340</v>
      </c>
      <c r="E775" s="235">
        <f>MAX(ABS(G622),ABS(G638))*1000</f>
        <v>204240.50000000003</v>
      </c>
      <c r="F775" s="233">
        <f t="shared" si="21"/>
        <v>0.6007073529411766</v>
      </c>
      <c r="G775" s="254">
        <f>MAX(ABS(H622),ABS(H638))*1000</f>
        <v>121324.9537313433</v>
      </c>
      <c r="H775" s="233">
        <f t="shared" si="23"/>
        <v>0.3568380992098332</v>
      </c>
      <c r="BO775" s="176">
        <f aca="true" t="shared" si="25" ref="BO775:BO784">-($E$504-$E$500*BQ775+($E$500-$E$501)/2/$D$497*BQ775^2)/$BQ$765</f>
        <v>-0.7859438037262518</v>
      </c>
      <c r="BQ775" s="176">
        <f aca="true" t="shared" si="26" ref="BQ775:BQ784">BQ774+$BP$769/10</f>
        <v>0.3425</v>
      </c>
      <c r="BV775" s="176">
        <f aca="true" t="shared" si="27" ref="BV775:BV784">-($F$504-$F$500*BX775+($F$500-$F$501)/2/$D$497*BX775^2)/$BQ$765</f>
        <v>-0.8595460220215415</v>
      </c>
      <c r="BX775" s="176">
        <f t="shared" si="24"/>
        <v>0.3425</v>
      </c>
    </row>
    <row r="776" spans="2:76" ht="12.75">
      <c r="B776" s="296"/>
      <c r="C776" s="182" t="s">
        <v>419</v>
      </c>
      <c r="D776" s="238">
        <f>E753</f>
        <v>340</v>
      </c>
      <c r="E776" s="238">
        <f>MAX(ABS(G624),ABS(G640))*1000</f>
        <v>204240.50000000003</v>
      </c>
      <c r="F776" s="203">
        <f t="shared" si="21"/>
        <v>0.6007073529411766</v>
      </c>
      <c r="G776" s="255">
        <f>MAX(ABS(H624),ABS(H640))*1000</f>
        <v>121324.95373134324</v>
      </c>
      <c r="H776" s="203">
        <f t="shared" si="23"/>
        <v>0.35683809920983306</v>
      </c>
      <c r="BO776" s="176">
        <f t="shared" si="25"/>
        <v>-0.5651982724762519</v>
      </c>
      <c r="BQ776" s="176">
        <f t="shared" si="26"/>
        <v>0.685</v>
      </c>
      <c r="BV776" s="176">
        <f t="shared" si="27"/>
        <v>-0.6216754907715415</v>
      </c>
      <c r="BX776" s="176">
        <f t="shared" si="24"/>
        <v>0.685</v>
      </c>
    </row>
    <row r="777" spans="2:76" ht="15">
      <c r="B777" s="336" t="s">
        <v>822</v>
      </c>
      <c r="C777" s="337"/>
      <c r="D777" s="337"/>
      <c r="E777" s="337"/>
      <c r="F777" s="233">
        <f>MAX(F769:F776)</f>
        <v>0.6007073529411766</v>
      </c>
      <c r="G777" s="180"/>
      <c r="H777" s="233">
        <f>MAX(H769:H776)</f>
        <v>0.3818988308457713</v>
      </c>
      <c r="BO777" s="176">
        <f t="shared" si="25"/>
        <v>-0.35501030372625186</v>
      </c>
      <c r="BQ777" s="176">
        <f t="shared" si="26"/>
        <v>1.0275</v>
      </c>
      <c r="BV777" s="176">
        <f t="shared" si="27"/>
        <v>-0.39436252202154143</v>
      </c>
      <c r="BX777" s="176">
        <f t="shared" si="24"/>
        <v>1.0275</v>
      </c>
    </row>
    <row r="778" spans="2:76" ht="15">
      <c r="B778" s="329" t="s">
        <v>823</v>
      </c>
      <c r="C778" s="330"/>
      <c r="D778" s="330"/>
      <c r="E778" s="330"/>
      <c r="F778" s="183">
        <f>$L$60*2</f>
        <v>0.78</v>
      </c>
      <c r="G778" s="197"/>
      <c r="H778" s="183">
        <f>$L$60</f>
        <v>0.39</v>
      </c>
      <c r="BO778" s="176">
        <f t="shared" si="25"/>
        <v>-0.15537989747625175</v>
      </c>
      <c r="BQ778" s="176">
        <f t="shared" si="26"/>
        <v>1.37</v>
      </c>
      <c r="BV778" s="176">
        <f t="shared" si="27"/>
        <v>-0.1776071157715414</v>
      </c>
      <c r="BX778" s="176">
        <f t="shared" si="24"/>
        <v>1.37</v>
      </c>
    </row>
    <row r="779" spans="2:76" ht="12.75">
      <c r="B779" s="331" t="s">
        <v>454</v>
      </c>
      <c r="C779" s="332"/>
      <c r="D779" s="332"/>
      <c r="E779" s="332"/>
      <c r="F779" s="182" t="str">
        <f>IF(F777&lt;=F778,"SAFE","OUT")</f>
        <v>SAFE</v>
      </c>
      <c r="G779" s="201"/>
      <c r="H779" s="182" t="str">
        <f>IF(H777&lt;=H778,"SAFE","OUT")</f>
        <v>SAFE</v>
      </c>
      <c r="BO779" s="176">
        <f t="shared" si="25"/>
        <v>0.03369294627374822</v>
      </c>
      <c r="BQ779" s="176">
        <f t="shared" si="26"/>
        <v>1.7125000000000001</v>
      </c>
      <c r="BV779" s="176">
        <f t="shared" si="27"/>
        <v>0.028590727978458633</v>
      </c>
      <c r="BX779" s="176">
        <f t="shared" si="24"/>
        <v>1.7125000000000001</v>
      </c>
    </row>
    <row r="780" spans="66:76" ht="12.75">
      <c r="BN780" s="176">
        <v>1</v>
      </c>
      <c r="BO780" s="176">
        <f t="shared" si="25"/>
        <v>0.21220822752374818</v>
      </c>
      <c r="BQ780" s="176">
        <f>BQ779+$BP$769/10</f>
        <v>2.055</v>
      </c>
      <c r="BV780" s="176">
        <f t="shared" si="27"/>
        <v>0.22423100922845865</v>
      </c>
      <c r="BX780" s="176">
        <f t="shared" si="24"/>
        <v>2.055</v>
      </c>
    </row>
    <row r="781" spans="1:76" ht="12.75">
      <c r="A781" s="176" t="s">
        <v>824</v>
      </c>
      <c r="BN781" s="176">
        <v>2</v>
      </c>
      <c r="BO781" s="176">
        <f t="shared" si="25"/>
        <v>0.3801659462737482</v>
      </c>
      <c r="BQ781" s="176">
        <f t="shared" si="26"/>
        <v>2.3975</v>
      </c>
      <c r="BV781" s="176">
        <f t="shared" si="27"/>
        <v>0.4093137279784587</v>
      </c>
      <c r="BX781" s="176">
        <f t="shared" si="24"/>
        <v>2.3975</v>
      </c>
    </row>
    <row r="782" spans="66:76" ht="12.75">
      <c r="BN782" s="176">
        <v>3</v>
      </c>
      <c r="BO782" s="176">
        <f t="shared" si="25"/>
        <v>0.5375661025237484</v>
      </c>
      <c r="BQ782" s="176">
        <f>BQ781+$BP$769/10</f>
        <v>2.74</v>
      </c>
      <c r="BV782" s="176">
        <f t="shared" si="27"/>
        <v>0.5838388842284588</v>
      </c>
      <c r="BX782" s="176">
        <f t="shared" si="24"/>
        <v>2.74</v>
      </c>
    </row>
    <row r="783" spans="2:76" ht="12.75">
      <c r="B783" s="176" t="s">
        <v>825</v>
      </c>
      <c r="BN783" s="176">
        <v>4</v>
      </c>
      <c r="BO783" s="176">
        <f t="shared" si="25"/>
        <v>0.6844086962737483</v>
      </c>
      <c r="BQ783" s="176">
        <f t="shared" si="26"/>
        <v>3.0825000000000005</v>
      </c>
      <c r="BV783" s="176">
        <f t="shared" si="27"/>
        <v>0.7478064779784589</v>
      </c>
      <c r="BX783" s="176">
        <f t="shared" si="24"/>
        <v>3.0825000000000005</v>
      </c>
    </row>
    <row r="784" spans="66:76" ht="12.75">
      <c r="BN784" s="176">
        <v>5</v>
      </c>
      <c r="BO784" s="176">
        <f t="shared" si="25"/>
        <v>0.8206937275237484</v>
      </c>
      <c r="BQ784" s="176">
        <f t="shared" si="26"/>
        <v>3.4250000000000007</v>
      </c>
      <c r="BV784" s="176">
        <f t="shared" si="27"/>
        <v>0.9012165092284589</v>
      </c>
      <c r="BX784" s="176">
        <f t="shared" si="24"/>
        <v>3.4250000000000007</v>
      </c>
    </row>
    <row r="785" spans="2:76" ht="15">
      <c r="B785" s="176" t="s">
        <v>826</v>
      </c>
      <c r="F785" s="10" t="s">
        <v>827</v>
      </c>
      <c r="G785" s="175">
        <f>E121</f>
        <v>26.474626865671638</v>
      </c>
      <c r="H785" s="176" t="s">
        <v>828</v>
      </c>
      <c r="BO785" s="176">
        <v>0</v>
      </c>
      <c r="BQ785" s="176">
        <f>BQ784</f>
        <v>3.4250000000000007</v>
      </c>
      <c r="BV785" s="176">
        <f>BO785</f>
        <v>0</v>
      </c>
      <c r="BX785" s="176">
        <f t="shared" si="24"/>
        <v>3.4250000000000007</v>
      </c>
    </row>
    <row r="786" spans="6:77" ht="12.75">
      <c r="F786" s="184"/>
      <c r="BO786" s="176">
        <v>0</v>
      </c>
      <c r="BR786" s="176">
        <f>BQ785</f>
        <v>3.4250000000000007</v>
      </c>
      <c r="BV786" s="176">
        <f aca="true" t="shared" si="28" ref="BV786:BV799">BO786</f>
        <v>0</v>
      </c>
      <c r="BY786" s="176">
        <f>BX785</f>
        <v>3.4250000000000007</v>
      </c>
    </row>
    <row r="787" spans="2:77" ht="15">
      <c r="B787" s="176" t="s">
        <v>829</v>
      </c>
      <c r="F787" s="10" t="s">
        <v>830</v>
      </c>
      <c r="G787" s="175">
        <f>D170</f>
        <v>87.48</v>
      </c>
      <c r="H787" s="176" t="s">
        <v>700</v>
      </c>
      <c r="BO787" s="176">
        <v>0</v>
      </c>
      <c r="BR787" s="176">
        <f aca="true" t="shared" si="29" ref="BR787:BR797">(IF(BO787&lt;$E$522,$E$527-$E$519*BO787,IF(BO787&lt;=($E$522+$E$523),$E$527-$E$519*BO787-$E$520*(BO787-$E$522),IF(BO787&lt;=($D$516-$E$524),$E$527-$E$519*BO787-$E$520*$E$523,$E$527-$E$519*BO787-$E$520*$E$523-$E$521*($E$524-$D$516+BO787)))))/$BQ$765+$BR$786</f>
        <v>5.210155000000001</v>
      </c>
      <c r="BV787" s="176">
        <f t="shared" si="28"/>
        <v>0</v>
      </c>
      <c r="BY787" s="176">
        <f>$F$527/BX765+BY786</f>
        <v>5.0764900000000015</v>
      </c>
    </row>
    <row r="788" spans="6:77" ht="12.75">
      <c r="F788" s="184"/>
      <c r="BO788" s="176">
        <f aca="true" t="shared" si="30" ref="BO788:BO797">BO787+$BO$770/10</f>
        <v>0.335</v>
      </c>
      <c r="BR788" s="176">
        <f t="shared" si="29"/>
        <v>4.853124000000001</v>
      </c>
      <c r="BV788" s="176">
        <f t="shared" si="28"/>
        <v>0.335</v>
      </c>
      <c r="BY788" s="176">
        <f aca="true" t="shared" si="31" ref="BY788:BY797">(IF(BV788&lt;$F$522,$F$527-$F$519*BV788,IF(BV788&lt;=($F$522+$F$523),$F$527-$F$519*BV788-$F$520*(BV788-$F$522),IF(BV788&lt;=($D$516-$F$524),$F$527-$F$519*BV788-$F$520*$F$523,$F$527-$F$519*BV788-$F$520*$F$523-$F$521*($F$524-$D$516+BV788)))))/$BQ$765+$BR$786</f>
        <v>4.7461920000000015</v>
      </c>
    </row>
    <row r="789" spans="2:77" ht="15">
      <c r="B789" s="176" t="s">
        <v>831</v>
      </c>
      <c r="F789" s="10" t="s">
        <v>832</v>
      </c>
      <c r="G789" s="175">
        <f>MAX(F243,F246)</f>
        <v>7.9799999999999995</v>
      </c>
      <c r="H789" s="176" t="s">
        <v>636</v>
      </c>
      <c r="BO789" s="176">
        <f t="shared" si="30"/>
        <v>0.67</v>
      </c>
      <c r="BR789" s="176">
        <f t="shared" si="29"/>
        <v>4.496093000000001</v>
      </c>
      <c r="BV789" s="176">
        <f t="shared" si="28"/>
        <v>0.67</v>
      </c>
      <c r="BY789" s="176">
        <f t="shared" si="31"/>
        <v>4.4158940000000015</v>
      </c>
    </row>
    <row r="790" spans="67:77" ht="12.75">
      <c r="BO790" s="176">
        <f>BO789+$BO$770/10</f>
        <v>1.0050000000000001</v>
      </c>
      <c r="BR790" s="176">
        <f t="shared" si="29"/>
        <v>4.139062000000001</v>
      </c>
      <c r="BV790" s="176">
        <f t="shared" si="28"/>
        <v>1.0050000000000001</v>
      </c>
      <c r="BY790" s="176">
        <f t="shared" si="31"/>
        <v>4.085596000000001</v>
      </c>
    </row>
    <row r="791" spans="67:77" ht="14.25">
      <c r="BO791" s="176">
        <f t="shared" si="30"/>
        <v>1.34</v>
      </c>
      <c r="BR791" s="176">
        <f t="shared" si="29"/>
        <v>3.782031000000001</v>
      </c>
      <c r="BV791" s="176">
        <f t="shared" si="28"/>
        <v>1.34</v>
      </c>
      <c r="BY791" s="176">
        <f t="shared" si="31"/>
        <v>3.755298000000001</v>
      </c>
    </row>
    <row r="792" spans="2:77" ht="14.25">
      <c r="B792" s="176" t="s">
        <v>833</v>
      </c>
      <c r="H792" s="175">
        <f>L50/O109*((O109+L5)*L7+L10*L11)</f>
        <v>12.469402985074629</v>
      </c>
      <c r="I792" s="176" t="s">
        <v>828</v>
      </c>
      <c r="BO792" s="176">
        <f t="shared" si="30"/>
        <v>1.675</v>
      </c>
      <c r="BR792" s="176">
        <f t="shared" si="29"/>
        <v>3.4250000000000007</v>
      </c>
      <c r="BV792" s="176">
        <f t="shared" si="28"/>
        <v>1.675</v>
      </c>
      <c r="BY792" s="176">
        <f t="shared" si="31"/>
        <v>3.425000000000001</v>
      </c>
    </row>
    <row r="793" spans="67:77" ht="14.25">
      <c r="BO793" s="176">
        <f t="shared" si="30"/>
        <v>2.0100000000000002</v>
      </c>
      <c r="BR793" s="176">
        <f t="shared" si="29"/>
        <v>3.0679690000000006</v>
      </c>
      <c r="BV793" s="176">
        <f t="shared" si="28"/>
        <v>2.0100000000000002</v>
      </c>
      <c r="BY793" s="176">
        <f t="shared" si="31"/>
        <v>3.0947020000000007</v>
      </c>
    </row>
    <row r="794" spans="67:77" ht="14.25">
      <c r="BO794" s="176">
        <f t="shared" si="30"/>
        <v>2.345</v>
      </c>
      <c r="BR794" s="176">
        <f t="shared" si="29"/>
        <v>2.7109380000000005</v>
      </c>
      <c r="BV794" s="176">
        <f t="shared" si="28"/>
        <v>2.345</v>
      </c>
      <c r="BY794" s="176">
        <f t="shared" si="31"/>
        <v>2.7644040000000007</v>
      </c>
    </row>
    <row r="795" spans="67:77" ht="14.25">
      <c r="BO795" s="176">
        <f>BO794+$BO$770/10</f>
        <v>2.68</v>
      </c>
      <c r="BR795" s="176">
        <f t="shared" si="29"/>
        <v>2.353907000000001</v>
      </c>
      <c r="BV795" s="176">
        <f t="shared" si="28"/>
        <v>2.68</v>
      </c>
      <c r="BY795" s="176">
        <f t="shared" si="31"/>
        <v>2.434106000000001</v>
      </c>
    </row>
    <row r="796" spans="2:77" ht="14.25">
      <c r="B796" s="176" t="s">
        <v>834</v>
      </c>
      <c r="H796" s="175">
        <f>L47*L3/O109</f>
        <v>0</v>
      </c>
      <c r="I796" s="176" t="s">
        <v>835</v>
      </c>
      <c r="J796" s="186">
        <v>0</v>
      </c>
      <c r="BO796" s="176">
        <f t="shared" si="30"/>
        <v>3.015</v>
      </c>
      <c r="BR796" s="176">
        <f t="shared" si="29"/>
        <v>1.9968760000000008</v>
      </c>
      <c r="BV796" s="176">
        <f t="shared" si="28"/>
        <v>3.015</v>
      </c>
      <c r="BY796" s="176">
        <f t="shared" si="31"/>
        <v>2.103808000000001</v>
      </c>
    </row>
    <row r="797" spans="10:77" ht="14.25">
      <c r="J797" s="186">
        <f>H556*2</f>
        <v>0.68</v>
      </c>
      <c r="BO797" s="176">
        <f t="shared" si="30"/>
        <v>3.35</v>
      </c>
      <c r="BR797" s="176">
        <f t="shared" si="29"/>
        <v>1.6398450000000004</v>
      </c>
      <c r="BV797" s="176">
        <f t="shared" si="28"/>
        <v>3.35</v>
      </c>
      <c r="BY797" s="176">
        <f t="shared" si="31"/>
        <v>1.7735100000000008</v>
      </c>
    </row>
    <row r="798" spans="10:77" ht="14.25">
      <c r="J798" s="176">
        <f>D556-2*H556</f>
        <v>2.67</v>
      </c>
      <c r="BO798" s="176">
        <f>BO797</f>
        <v>3.35</v>
      </c>
      <c r="BR798" s="176">
        <f>BR786</f>
        <v>3.4250000000000007</v>
      </c>
      <c r="BV798" s="176">
        <f t="shared" si="28"/>
        <v>3.35</v>
      </c>
      <c r="BY798" s="176">
        <f>BY786</f>
        <v>3.4250000000000007</v>
      </c>
    </row>
    <row r="799" spans="2:78" ht="14.25">
      <c r="B799" s="176" t="s">
        <v>836</v>
      </c>
      <c r="G799" s="175">
        <f>G785+G787+G789+H792+H796</f>
        <v>134.40402985074627</v>
      </c>
      <c r="H799" s="176" t="s">
        <v>669</v>
      </c>
      <c r="BO799" s="176">
        <f>BO798</f>
        <v>3.35</v>
      </c>
      <c r="BS799" s="176">
        <f>BR798</f>
        <v>3.4250000000000007</v>
      </c>
      <c r="BV799" s="176">
        <f t="shared" si="28"/>
        <v>3.35</v>
      </c>
      <c r="BZ799" s="176">
        <f>BS799</f>
        <v>3.4250000000000007</v>
      </c>
    </row>
    <row r="800" spans="11:78" ht="14.25"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  <c r="AA800" s="186"/>
      <c r="AB800" s="186"/>
      <c r="BO800" s="176">
        <f>$E$545/BQ765+BO799</f>
        <v>4.170693727523749</v>
      </c>
      <c r="BS800" s="176">
        <f>BS799</f>
        <v>3.4250000000000007</v>
      </c>
      <c r="BV800" s="176">
        <f>$F$545/BX765+BV799</f>
        <v>4.251216509228459</v>
      </c>
      <c r="BZ800" s="176">
        <f aca="true" t="shared" si="32" ref="BZ800:BZ811">BS800</f>
        <v>3.4250000000000007</v>
      </c>
    </row>
    <row r="801" spans="3:78" ht="15">
      <c r="C801" s="184" t="s">
        <v>837</v>
      </c>
      <c r="D801" s="176">
        <f>データ!E34</f>
        <v>200</v>
      </c>
      <c r="E801" s="176" t="s">
        <v>649</v>
      </c>
      <c r="F801" s="205" t="str">
        <f>IF(D801&lt;=H801,"&lt;","&gt;")</f>
        <v>&gt;</v>
      </c>
      <c r="G801" s="10" t="s">
        <v>838</v>
      </c>
      <c r="H801" s="175">
        <f>G799</f>
        <v>134.40402985074627</v>
      </c>
      <c r="I801" s="176" t="s">
        <v>649</v>
      </c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  <c r="AA801" s="186"/>
      <c r="AB801" s="186"/>
      <c r="BO801" s="176">
        <f aca="true" t="shared" si="33" ref="BO801:BO810">($E$545-$E$541*($BS$800-BS801)+($E$541-$E$542)/2/$D$538*($BS$800-BS801)^2)/$BQ$765+$BO$799</f>
        <v>4.034408696273749</v>
      </c>
      <c r="BS801" s="176">
        <f>BS800-$BS$800/10</f>
        <v>3.0825000000000005</v>
      </c>
      <c r="BV801" s="176">
        <f aca="true" t="shared" si="34" ref="BV801:BV810">($F$545-$F$541*($BS$800-BZ801)+($F$541-$F$542)/2/$D$538*($BS$800-BZ801)^2)/$BQ$765+$BO$799</f>
        <v>4.097806477978459</v>
      </c>
      <c r="BZ801" s="176">
        <f t="shared" si="32"/>
        <v>3.0825000000000005</v>
      </c>
    </row>
    <row r="802" spans="9:78" ht="12.75">
      <c r="I802" s="205" t="str">
        <f>IF(D801&lt;=H801,"OUT","SAFE")</f>
        <v>SAFE</v>
      </c>
      <c r="BO802" s="176">
        <f t="shared" si="33"/>
        <v>3.8875661025237482</v>
      </c>
      <c r="BS802" s="176">
        <f aca="true" t="shared" si="35" ref="BS802:BS810">BS801-$BS$800/10</f>
        <v>2.74</v>
      </c>
      <c r="BV802" s="176">
        <f t="shared" si="34"/>
        <v>3.9338388842284586</v>
      </c>
      <c r="BZ802" s="176">
        <f t="shared" si="32"/>
        <v>2.74</v>
      </c>
    </row>
    <row r="803" spans="67:78" ht="12.75">
      <c r="BO803" s="176">
        <f t="shared" si="33"/>
        <v>3.730165946273748</v>
      </c>
      <c r="BS803" s="176">
        <f t="shared" si="35"/>
        <v>2.3975</v>
      </c>
      <c r="BV803" s="176">
        <f t="shared" si="34"/>
        <v>3.7593137279784585</v>
      </c>
      <c r="BZ803" s="176">
        <f t="shared" si="32"/>
        <v>2.3975</v>
      </c>
    </row>
    <row r="804" spans="67:78" ht="12.75">
      <c r="BO804" s="176">
        <f t="shared" si="33"/>
        <v>3.562208227523748</v>
      </c>
      <c r="BS804" s="176">
        <f t="shared" si="35"/>
        <v>2.0549999999999997</v>
      </c>
      <c r="BV804" s="176">
        <f t="shared" si="34"/>
        <v>3.574231009228458</v>
      </c>
      <c r="BZ804" s="176">
        <f t="shared" si="32"/>
        <v>2.0549999999999997</v>
      </c>
    </row>
    <row r="805" spans="67:78" ht="12.75">
      <c r="BO805" s="176">
        <f t="shared" si="33"/>
        <v>3.3836929462737477</v>
      </c>
      <c r="BS805" s="176">
        <f t="shared" si="35"/>
        <v>1.7124999999999997</v>
      </c>
      <c r="BV805" s="176">
        <f t="shared" si="34"/>
        <v>3.3785907279784584</v>
      </c>
      <c r="BZ805" s="176">
        <f t="shared" si="32"/>
        <v>1.7124999999999997</v>
      </c>
    </row>
    <row r="806" spans="67:78" ht="12.75">
      <c r="BO806" s="176">
        <f t="shared" si="33"/>
        <v>3.1946201025237477</v>
      </c>
      <c r="BS806" s="176">
        <f t="shared" si="35"/>
        <v>1.3699999999999997</v>
      </c>
      <c r="BV806" s="176">
        <f t="shared" si="34"/>
        <v>3.1723928842284583</v>
      </c>
      <c r="BZ806" s="176">
        <f t="shared" si="32"/>
        <v>1.3699999999999997</v>
      </c>
    </row>
    <row r="807" spans="67:78" ht="12.75">
      <c r="BO807" s="176">
        <f t="shared" si="33"/>
        <v>2.994989696273748</v>
      </c>
      <c r="BS807" s="176">
        <f t="shared" si="35"/>
        <v>1.0274999999999996</v>
      </c>
      <c r="BV807" s="176">
        <f t="shared" si="34"/>
        <v>2.9556374779784584</v>
      </c>
      <c r="BZ807" s="176">
        <f t="shared" si="32"/>
        <v>1.0274999999999996</v>
      </c>
    </row>
    <row r="808" spans="67:78" ht="12.75">
      <c r="BO808" s="176">
        <f t="shared" si="33"/>
        <v>2.7848017275237478</v>
      </c>
      <c r="BS808" s="176">
        <f t="shared" si="35"/>
        <v>0.6849999999999996</v>
      </c>
      <c r="BV808" s="176">
        <f t="shared" si="34"/>
        <v>2.7283245092284583</v>
      </c>
      <c r="BZ808" s="176">
        <f t="shared" si="32"/>
        <v>0.6849999999999996</v>
      </c>
    </row>
    <row r="809" spans="67:78" ht="12.75">
      <c r="BO809" s="176">
        <f t="shared" si="33"/>
        <v>2.5640561962737474</v>
      </c>
      <c r="BS809" s="176">
        <f t="shared" si="35"/>
        <v>0.3424999999999995</v>
      </c>
      <c r="BV809" s="176">
        <f t="shared" si="34"/>
        <v>2.490453977978458</v>
      </c>
      <c r="BZ809" s="176">
        <f t="shared" si="32"/>
        <v>0.3424999999999995</v>
      </c>
    </row>
    <row r="810" spans="67:78" ht="12.75">
      <c r="BO810" s="176">
        <f t="shared" si="33"/>
        <v>2.3327531025237476</v>
      </c>
      <c r="BS810" s="176">
        <f t="shared" si="35"/>
        <v>-5.551115123125783E-16</v>
      </c>
      <c r="BV810" s="176">
        <f t="shared" si="34"/>
        <v>2.242025884228458</v>
      </c>
      <c r="BZ810" s="176">
        <f t="shared" si="32"/>
        <v>-5.551115123125783E-16</v>
      </c>
    </row>
    <row r="811" spans="67:78" ht="12.75">
      <c r="BO811" s="176">
        <f>BO799</f>
        <v>3.35</v>
      </c>
      <c r="BS811" s="176">
        <f>BS810</f>
        <v>-5.551115123125783E-16</v>
      </c>
      <c r="BV811" s="176">
        <f>BO811</f>
        <v>3.35</v>
      </c>
      <c r="BZ811" s="176">
        <f t="shared" si="32"/>
        <v>-5.551115123125783E-16</v>
      </c>
    </row>
    <row r="812" spans="67:79" ht="12.75">
      <c r="BO812" s="176">
        <f>BO811</f>
        <v>3.35</v>
      </c>
      <c r="BT812" s="176">
        <v>0</v>
      </c>
      <c r="BV812" s="176">
        <f aca="true" t="shared" si="36" ref="BV812:BV824">BO812</f>
        <v>3.35</v>
      </c>
      <c r="CA812" s="176">
        <v>0</v>
      </c>
    </row>
    <row r="813" spans="67:79" ht="12.75">
      <c r="BO813" s="176">
        <f>BO812</f>
        <v>3.35</v>
      </c>
      <c r="BT813" s="176">
        <f>-$E$563/BQ765</f>
        <v>-2.0424050000000005</v>
      </c>
      <c r="BV813" s="176">
        <f t="shared" si="36"/>
        <v>3.35</v>
      </c>
      <c r="CA813" s="176">
        <f>-$F$563/BX765</f>
        <v>-1.9087399999999999</v>
      </c>
    </row>
    <row r="814" spans="67:79" ht="12.75">
      <c r="BO814" s="176">
        <f>BO813-$BO$813/10</f>
        <v>3.015</v>
      </c>
      <c r="BT814" s="176">
        <f aca="true" t="shared" si="37" ref="BT814:BT823">-($E$563-$E$559*($BO$813-BO814)+($E$559-$E$560)/2/$D$556*($BO$813-BO814)^2)/$BQ$765</f>
        <v>-1.6339240000000004</v>
      </c>
      <c r="BV814" s="176">
        <f t="shared" si="36"/>
        <v>3.015</v>
      </c>
      <c r="CA814" s="176">
        <f aca="true" t="shared" si="38" ref="CA814:CA823">-($F$563-$F$559*($BO$813-BV814)+($F$559-$F$560)/2/$D$556*($BO$813-BV814)^2)/$BQ$765</f>
        <v>-1.526992</v>
      </c>
    </row>
    <row r="815" spans="67:79" ht="12.75">
      <c r="BO815" s="176">
        <f aca="true" t="shared" si="39" ref="BO815:BO823">BO814-$BO$813/10</f>
        <v>2.68</v>
      </c>
      <c r="BT815" s="176">
        <f t="shared" si="37"/>
        <v>-1.2254430000000003</v>
      </c>
      <c r="BV815" s="176">
        <f t="shared" si="36"/>
        <v>2.68</v>
      </c>
      <c r="CA815" s="176">
        <f t="shared" si="38"/>
        <v>-1.145244</v>
      </c>
    </row>
    <row r="816" spans="67:79" ht="12.75">
      <c r="BO816" s="176">
        <f t="shared" si="39"/>
        <v>2.345</v>
      </c>
      <c r="BT816" s="176">
        <f t="shared" si="37"/>
        <v>-0.8169620000000003</v>
      </c>
      <c r="BV816" s="176">
        <f t="shared" si="36"/>
        <v>2.345</v>
      </c>
      <c r="CA816" s="176">
        <f t="shared" si="38"/>
        <v>-0.7634960000000001</v>
      </c>
    </row>
    <row r="817" spans="67:79" ht="12.75">
      <c r="BO817" s="176">
        <f t="shared" si="39"/>
        <v>2.0100000000000002</v>
      </c>
      <c r="BT817" s="176">
        <f t="shared" si="37"/>
        <v>-0.4084810000000004</v>
      </c>
      <c r="BV817" s="176">
        <f t="shared" si="36"/>
        <v>2.0100000000000002</v>
      </c>
      <c r="CA817" s="176">
        <f t="shared" si="38"/>
        <v>-0.38174800000000003</v>
      </c>
    </row>
    <row r="818" spans="67:79" ht="12.75">
      <c r="BO818" s="176">
        <f t="shared" si="39"/>
        <v>1.6750000000000003</v>
      </c>
      <c r="BT818" s="176">
        <f t="shared" si="37"/>
        <v>-2.842170943040401E-16</v>
      </c>
      <c r="BV818" s="176">
        <f t="shared" si="36"/>
        <v>1.6750000000000003</v>
      </c>
      <c r="CA818" s="176">
        <f t="shared" si="38"/>
        <v>-2.842170943040401E-16</v>
      </c>
    </row>
    <row r="819" spans="67:79" ht="12.75">
      <c r="BO819" s="176">
        <f t="shared" si="39"/>
        <v>1.3400000000000003</v>
      </c>
      <c r="BT819" s="176">
        <f t="shared" si="37"/>
        <v>0.4084809999999996</v>
      </c>
      <c r="BV819" s="176">
        <f t="shared" si="36"/>
        <v>1.3400000000000003</v>
      </c>
      <c r="CA819" s="176">
        <f t="shared" si="38"/>
        <v>0.38174799999999975</v>
      </c>
    </row>
    <row r="820" spans="67:79" ht="12.75">
      <c r="BO820" s="176">
        <f t="shared" si="39"/>
        <v>1.0050000000000003</v>
      </c>
      <c r="BT820" s="176">
        <f t="shared" si="37"/>
        <v>0.8169619999999995</v>
      </c>
      <c r="BV820" s="176">
        <f t="shared" si="36"/>
        <v>1.0050000000000003</v>
      </c>
      <c r="CA820" s="176">
        <f t="shared" si="38"/>
        <v>0.7634959999999998</v>
      </c>
    </row>
    <row r="821" spans="67:79" ht="12.75">
      <c r="BO821" s="176">
        <f t="shared" si="39"/>
        <v>0.6700000000000004</v>
      </c>
      <c r="BT821" s="176">
        <f t="shared" si="37"/>
        <v>1.2254429999999994</v>
      </c>
      <c r="BV821" s="176">
        <f t="shared" si="36"/>
        <v>0.6700000000000004</v>
      </c>
      <c r="CA821" s="176">
        <f t="shared" si="38"/>
        <v>1.145244</v>
      </c>
    </row>
    <row r="822" spans="67:79" ht="12.75">
      <c r="BO822" s="176">
        <f t="shared" si="39"/>
        <v>0.33500000000000035</v>
      </c>
      <c r="BT822" s="176">
        <f t="shared" si="37"/>
        <v>1.6339239999999993</v>
      </c>
      <c r="BV822" s="176">
        <f t="shared" si="36"/>
        <v>0.33500000000000035</v>
      </c>
      <c r="CA822" s="176">
        <f t="shared" si="38"/>
        <v>1.526992</v>
      </c>
    </row>
    <row r="823" spans="67:79" ht="12.75">
      <c r="BO823" s="176">
        <f t="shared" si="39"/>
        <v>0</v>
      </c>
      <c r="BT823" s="176">
        <f t="shared" si="37"/>
        <v>2.0424050000000005</v>
      </c>
      <c r="BV823" s="176">
        <f t="shared" si="36"/>
        <v>0</v>
      </c>
      <c r="CA823" s="176">
        <f t="shared" si="38"/>
        <v>1.9087399999999999</v>
      </c>
    </row>
    <row r="824" spans="67:79" ht="12.75">
      <c r="BO824" s="176">
        <f>BO823</f>
        <v>0</v>
      </c>
      <c r="BT824" s="176">
        <v>0</v>
      </c>
      <c r="BV824" s="176">
        <f t="shared" si="36"/>
        <v>0</v>
      </c>
      <c r="CA824" s="176">
        <v>0</v>
      </c>
    </row>
    <row r="828" spans="67:74" ht="12.75">
      <c r="BO828" s="176" t="s">
        <v>839</v>
      </c>
      <c r="BV828" s="176" t="s">
        <v>840</v>
      </c>
    </row>
    <row r="829" spans="67:76" s="251" customFormat="1" ht="12.75">
      <c r="BO829" s="176"/>
      <c r="BP829" s="176" t="s">
        <v>812</v>
      </c>
      <c r="BQ829" s="250">
        <v>100</v>
      </c>
      <c r="BW829" s="251" t="s">
        <v>812</v>
      </c>
      <c r="BX829" s="250">
        <v>100</v>
      </c>
    </row>
    <row r="830" spans="67:74" s="251" customFormat="1" ht="12.75">
      <c r="BO830" s="251" t="s">
        <v>402</v>
      </c>
      <c r="BV830" s="251" t="s">
        <v>402</v>
      </c>
    </row>
    <row r="831" spans="67:79" s="251" customFormat="1" ht="12.75">
      <c r="BO831" s="251" t="s">
        <v>460</v>
      </c>
      <c r="BP831" s="251" t="s">
        <v>841</v>
      </c>
      <c r="BQ831" s="251" t="s">
        <v>381</v>
      </c>
      <c r="BR831" s="251" t="s">
        <v>382</v>
      </c>
      <c r="BS831" s="251" t="s">
        <v>383</v>
      </c>
      <c r="BT831" s="251" t="s">
        <v>384</v>
      </c>
      <c r="BV831" s="251" t="s">
        <v>817</v>
      </c>
      <c r="BW831" s="251" t="s">
        <v>841</v>
      </c>
      <c r="BX831" s="251" t="s">
        <v>381</v>
      </c>
      <c r="BY831" s="251" t="s">
        <v>382</v>
      </c>
      <c r="BZ831" s="251" t="s">
        <v>383</v>
      </c>
      <c r="CA831" s="251" t="s">
        <v>384</v>
      </c>
    </row>
    <row r="832" spans="67:75" s="251" customFormat="1" ht="12.75">
      <c r="BO832" s="251">
        <f aca="true" t="shared" si="40" ref="BO832:BP836">BO768</f>
        <v>0</v>
      </c>
      <c r="BP832" s="251">
        <f t="shared" si="40"/>
        <v>0</v>
      </c>
      <c r="BV832" s="251">
        <f aca="true" t="shared" si="41" ref="BV832:BW836">BV768</f>
        <v>0</v>
      </c>
      <c r="BW832" s="251">
        <f t="shared" si="41"/>
        <v>0</v>
      </c>
    </row>
    <row r="833" spans="67:75" s="251" customFormat="1" ht="12.75">
      <c r="BO833" s="251">
        <f t="shared" si="40"/>
        <v>0</v>
      </c>
      <c r="BP833" s="251">
        <f t="shared" si="40"/>
        <v>3.4250000000000003</v>
      </c>
      <c r="BV833" s="251">
        <f t="shared" si="41"/>
        <v>0</v>
      </c>
      <c r="BW833" s="251">
        <f t="shared" si="41"/>
        <v>3.4250000000000003</v>
      </c>
    </row>
    <row r="834" spans="67:75" s="251" customFormat="1" ht="12.75">
      <c r="BO834" s="251">
        <f t="shared" si="40"/>
        <v>3.35</v>
      </c>
      <c r="BP834" s="251">
        <f t="shared" si="40"/>
        <v>3.4250000000000003</v>
      </c>
      <c r="BV834" s="251">
        <f t="shared" si="41"/>
        <v>3.35</v>
      </c>
      <c r="BW834" s="251">
        <f t="shared" si="41"/>
        <v>3.4250000000000003</v>
      </c>
    </row>
    <row r="835" spans="67:75" s="251" customFormat="1" ht="12.75">
      <c r="BO835" s="251">
        <f t="shared" si="40"/>
        <v>3.35</v>
      </c>
      <c r="BP835" s="251">
        <f t="shared" si="40"/>
        <v>0</v>
      </c>
      <c r="BV835" s="251">
        <f t="shared" si="41"/>
        <v>3.35</v>
      </c>
      <c r="BW835" s="251">
        <f t="shared" si="41"/>
        <v>0</v>
      </c>
    </row>
    <row r="836" spans="67:75" s="251" customFormat="1" ht="12.75">
      <c r="BO836" s="251">
        <f t="shared" si="40"/>
        <v>0</v>
      </c>
      <c r="BP836" s="251">
        <f t="shared" si="40"/>
        <v>0</v>
      </c>
      <c r="BV836" s="251">
        <f t="shared" si="41"/>
        <v>0</v>
      </c>
      <c r="BW836" s="251">
        <f t="shared" si="41"/>
        <v>0</v>
      </c>
    </row>
    <row r="837" spans="67:76" s="251" customFormat="1" ht="12.75">
      <c r="BO837" s="251">
        <f>BO773</f>
        <v>0</v>
      </c>
      <c r="BQ837" s="251">
        <v>0</v>
      </c>
      <c r="BV837" s="251">
        <f>BV773</f>
        <v>0</v>
      </c>
      <c r="BX837" s="251">
        <v>0</v>
      </c>
    </row>
    <row r="838" spans="67:76" s="251" customFormat="1" ht="12.75">
      <c r="BO838" s="251">
        <f aca="true" t="shared" si="42" ref="BO838:BO848">($E$504*BQ838-0.5*$E$500*BQ838^2+($E$500-$E$501)/6/$D$497*BQ838^3+$E$502)/$BQ$829</f>
        <v>-0.73357514434027</v>
      </c>
      <c r="BQ838" s="251">
        <f aca="true" t="shared" si="43" ref="BQ838:BQ843">BQ774</f>
        <v>0</v>
      </c>
      <c r="BV838" s="251">
        <f aca="true" t="shared" si="44" ref="BV838:BV848">($F$504*BX838-0.5*$F$500*BX838^2+($F$500-$F$501)/6/$D$497*BX838^3+$F$502)/$BQ$829</f>
        <v>-0.7475168566379494</v>
      </c>
      <c r="BX838" s="251">
        <f aca="true" t="shared" si="45" ref="BX838:BX843">BX774</f>
        <v>0</v>
      </c>
    </row>
    <row r="839" spans="67:76" s="251" customFormat="1" ht="12.75">
      <c r="BO839" s="251">
        <f t="shared" si="42"/>
        <v>-0.42508006718902874</v>
      </c>
      <c r="BQ839" s="251">
        <f t="shared" si="43"/>
        <v>0.3425</v>
      </c>
      <c r="BV839" s="251">
        <f t="shared" si="44"/>
        <v>-0.4108803634705715</v>
      </c>
      <c r="BX839" s="251">
        <f t="shared" si="45"/>
        <v>0.3425</v>
      </c>
    </row>
    <row r="840" spans="67:76" s="251" customFormat="1" ht="12.75">
      <c r="BO840" s="251">
        <f t="shared" si="42"/>
        <v>-0.19399831706903747</v>
      </c>
      <c r="BQ840" s="251">
        <f t="shared" si="43"/>
        <v>0.685</v>
      </c>
      <c r="BV840" s="251">
        <f t="shared" si="44"/>
        <v>-0.1575225098344435</v>
      </c>
      <c r="BX840" s="251">
        <f t="shared" si="45"/>
        <v>0.685</v>
      </c>
    </row>
    <row r="841" spans="67:76" s="251" customFormat="1" ht="12.75">
      <c r="BO841" s="251">
        <f t="shared" si="42"/>
        <v>-0.03671392882404618</v>
      </c>
      <c r="BQ841" s="251">
        <f t="shared" si="43"/>
        <v>1.0275</v>
      </c>
      <c r="BV841" s="251">
        <f t="shared" si="44"/>
        <v>0.016172669426684366</v>
      </c>
      <c r="BX841" s="251">
        <f t="shared" si="45"/>
        <v>1.0275</v>
      </c>
    </row>
    <row r="842" spans="67:76" s="251" customFormat="1" ht="12.75">
      <c r="BO842" s="251">
        <f t="shared" si="42"/>
        <v>0.05038906270219499</v>
      </c>
      <c r="BQ842" s="251">
        <f t="shared" si="43"/>
        <v>1.37</v>
      </c>
      <c r="BV842" s="251">
        <f t="shared" si="44"/>
        <v>0.1138211394690623</v>
      </c>
      <c r="BX842" s="251">
        <f t="shared" si="45"/>
        <v>1.37</v>
      </c>
    </row>
    <row r="843" spans="67:76" s="251" customFormat="1" ht="12.75">
      <c r="BO843" s="251">
        <f t="shared" si="42"/>
        <v>0.0709266226659362</v>
      </c>
      <c r="BQ843" s="251">
        <f t="shared" si="43"/>
        <v>1.7125000000000001</v>
      </c>
      <c r="BV843" s="251">
        <f t="shared" si="44"/>
        <v>0.1390388654489402</v>
      </c>
      <c r="BX843" s="251">
        <f t="shared" si="45"/>
        <v>1.7125000000000001</v>
      </c>
    </row>
    <row r="844" spans="67:76" s="251" customFormat="1" ht="12.75">
      <c r="BO844" s="251">
        <f t="shared" si="42"/>
        <v>0.02851471622342757</v>
      </c>
      <c r="BQ844" s="251">
        <f aca="true" t="shared" si="46" ref="BQ844:BQ849">BQ780</f>
        <v>2.055</v>
      </c>
      <c r="BV844" s="251">
        <f t="shared" si="44"/>
        <v>0.0954418125225682</v>
      </c>
      <c r="BX844" s="251">
        <f aca="true" t="shared" si="47" ref="BX844:BX849">BX780</f>
        <v>2.055</v>
      </c>
    </row>
    <row r="845" spans="67:76" s="251" customFormat="1" ht="12.75">
      <c r="BO845" s="251">
        <f t="shared" si="42"/>
        <v>-0.07323069146908111</v>
      </c>
      <c r="BQ845" s="251">
        <f t="shared" si="46"/>
        <v>2.3975</v>
      </c>
      <c r="BV845" s="251">
        <f t="shared" si="44"/>
        <v>-0.013354054153803929</v>
      </c>
      <c r="BX845" s="251">
        <f t="shared" si="47"/>
        <v>2.3975</v>
      </c>
    </row>
    <row r="846" spans="67:76" s="251" customFormat="1" ht="12.75">
      <c r="BO846" s="251">
        <f t="shared" si="42"/>
        <v>-0.23069363525533995</v>
      </c>
      <c r="BQ846" s="251">
        <f t="shared" si="46"/>
        <v>2.74</v>
      </c>
      <c r="BV846" s="251">
        <f t="shared" si="44"/>
        <v>-0.183732769423926</v>
      </c>
      <c r="BX846" s="251">
        <f t="shared" si="47"/>
        <v>2.74</v>
      </c>
    </row>
    <row r="847" spans="67:76" s="251" customFormat="1" ht="12.75">
      <c r="BO847" s="251">
        <f t="shared" si="42"/>
        <v>-0.4402581499790991</v>
      </c>
      <c r="BQ847" s="251">
        <f t="shared" si="46"/>
        <v>3.0825000000000005</v>
      </c>
      <c r="BV847" s="251">
        <f t="shared" si="44"/>
        <v>-0.4120783681315482</v>
      </c>
      <c r="BX847" s="251">
        <f t="shared" si="47"/>
        <v>3.0825000000000005</v>
      </c>
    </row>
    <row r="848" spans="67:76" s="251" customFormat="1" ht="12.75">
      <c r="BO848" s="251">
        <f t="shared" si="42"/>
        <v>-0.6983082704841079</v>
      </c>
      <c r="BQ848" s="251">
        <f t="shared" si="46"/>
        <v>3.4250000000000007</v>
      </c>
      <c r="BV848" s="251">
        <f t="shared" si="44"/>
        <v>-0.6947748851204207</v>
      </c>
      <c r="BX848" s="251">
        <f t="shared" si="47"/>
        <v>3.4250000000000007</v>
      </c>
    </row>
    <row r="849" spans="67:76" s="251" customFormat="1" ht="12.75">
      <c r="BO849" s="251">
        <f>BO785</f>
        <v>0</v>
      </c>
      <c r="BQ849" s="251">
        <f t="shared" si="46"/>
        <v>3.4250000000000007</v>
      </c>
      <c r="BV849" s="251">
        <f>BV785</f>
        <v>0</v>
      </c>
      <c r="BX849" s="251">
        <f t="shared" si="47"/>
        <v>3.4250000000000007</v>
      </c>
    </row>
    <row r="850" spans="67:77" s="251" customFormat="1" ht="12.75">
      <c r="BO850" s="251">
        <f>BO786</f>
        <v>0</v>
      </c>
      <c r="BR850" s="251">
        <f>BQ849</f>
        <v>3.4250000000000007</v>
      </c>
      <c r="BV850" s="251">
        <f>BV786</f>
        <v>0</v>
      </c>
      <c r="BY850" s="251">
        <f>BX849</f>
        <v>3.4250000000000007</v>
      </c>
    </row>
    <row r="851" spans="67:77" s="251" customFormat="1" ht="12.75">
      <c r="BO851" s="251">
        <f>BO787</f>
        <v>0</v>
      </c>
      <c r="BR851" s="251">
        <f aca="true" t="shared" si="48" ref="BR851:BR861">$BR$850-(IF(BO851&lt;=$E$522,$E$527*BO851-0.5*$E$519*BO851^2+$E$525,IF(BO851&lt;=($E$522+$E$523),$E$527*BO851-0.5*$E$519*BO851^2-0.5*$E$520*(BO851-$E$522)^2+$E$525,IF(BO851&lt;=($D$516-$E$524),$E$527*BO851-0.5*$E$519*BO851^2-0.5*$E$520*$E$523*(2*BO851-2*$E$522-$E$523)+$E$525,$E$527*BO851-0.5*$E$519*BO851^2-0.5*$E$520*$E$523*(2*BO851-2*$E$522-$E$523)+0.5*$E$521*($E$524-$D$516+BO851)^2+$E$525))))/$BQ$829</f>
        <v>4.123308270484109</v>
      </c>
      <c r="BV851" s="251">
        <f>BV787</f>
        <v>0</v>
      </c>
      <c r="BY851" s="251">
        <f aca="true" t="shared" si="49" ref="BY851:BY861">$BR$850-(IF(BV851&lt;=$F$522,$F$527*BV851-0.5*$F$519*BV851^2+$F$525,IF(BV851&lt;=($F$522+$F$523),$F$527*BV851-0.5*$F$519*BV851^2-0.5*$F$520*(BV851-$F$522)^2+$F$525,IF(BV851&lt;=($D$516-$F$524),$F$527*BV851-0.5*$F$519*BV851^2-0.5*$F$520*$F$523*(2*BV851-2*$F$522-$F$523)+$F$525,$F$527*BV851-0.5*$F$519*BV851^2-0.5*$F$520*$F$523*(2*BV851-2*$F$522-$F$523)+0.5*$F$521*($F$524-$D$516+BV851)^2+$F$525))))/$BQ$829</f>
        <v>4.119774885120421</v>
      </c>
    </row>
    <row r="852" spans="63:77" s="251" customFormat="1" ht="12.75">
      <c r="BK852" s="256"/>
      <c r="BO852" s="251">
        <f>BO788</f>
        <v>0.335</v>
      </c>
      <c r="BR852" s="251">
        <f t="shared" si="48"/>
        <v>3.5850840379841085</v>
      </c>
      <c r="BV852" s="251">
        <f>BV788</f>
        <v>0.335</v>
      </c>
      <c r="BY852" s="251">
        <f t="shared" si="49"/>
        <v>3.6218506501204213</v>
      </c>
    </row>
    <row r="853" spans="63:77" s="251" customFormat="1" ht="12.75">
      <c r="BK853" s="256"/>
      <c r="BO853" s="251">
        <f>BO789</f>
        <v>0.67</v>
      </c>
      <c r="BR853" s="251">
        <f t="shared" si="48"/>
        <v>3.1664651904841086</v>
      </c>
      <c r="BV853" s="251">
        <f>BV789</f>
        <v>0.67</v>
      </c>
      <c r="BY853" s="251">
        <f t="shared" si="49"/>
        <v>3.234576245120421</v>
      </c>
    </row>
    <row r="854" spans="63:77" s="251" customFormat="1" ht="12.75">
      <c r="BK854" s="256"/>
      <c r="BO854" s="251">
        <f aca="true" t="shared" si="50" ref="BO854:BO863">BO790</f>
        <v>1.0050000000000001</v>
      </c>
      <c r="BR854" s="251">
        <f t="shared" si="48"/>
        <v>2.8674517279841085</v>
      </c>
      <c r="BV854" s="251">
        <f aca="true" t="shared" si="51" ref="BV854:BV863">BV790</f>
        <v>1.0050000000000001</v>
      </c>
      <c r="BY854" s="251">
        <f t="shared" si="49"/>
        <v>2.957951670120421</v>
      </c>
    </row>
    <row r="855" spans="67:77" s="251" customFormat="1" ht="12.75">
      <c r="BO855" s="251">
        <f t="shared" si="50"/>
        <v>1.34</v>
      </c>
      <c r="BR855" s="251">
        <f t="shared" si="48"/>
        <v>2.6880436504841083</v>
      </c>
      <c r="BV855" s="251">
        <f t="shared" si="51"/>
        <v>1.34</v>
      </c>
      <c r="BY855" s="251">
        <f t="shared" si="49"/>
        <v>2.7919769251204203</v>
      </c>
    </row>
    <row r="856" spans="63:77" s="251" customFormat="1" ht="12.75">
      <c r="BK856" s="256"/>
      <c r="BO856" s="251">
        <f t="shared" si="50"/>
        <v>1.675</v>
      </c>
      <c r="BR856" s="251">
        <f t="shared" si="48"/>
        <v>2.6282409579841084</v>
      </c>
      <c r="BV856" s="251">
        <f t="shared" si="51"/>
        <v>1.675</v>
      </c>
      <c r="BY856" s="251">
        <f t="shared" si="49"/>
        <v>2.7366520101204204</v>
      </c>
    </row>
    <row r="857" spans="63:77" s="251" customFormat="1" ht="12.75">
      <c r="BK857" s="256"/>
      <c r="BO857" s="251">
        <f t="shared" si="50"/>
        <v>2.0100000000000002</v>
      </c>
      <c r="BR857" s="251">
        <f t="shared" si="48"/>
        <v>2.6880436504841083</v>
      </c>
      <c r="BV857" s="251">
        <f t="shared" si="51"/>
        <v>2.0100000000000002</v>
      </c>
      <c r="BY857" s="251">
        <f t="shared" si="49"/>
        <v>2.7919769251204203</v>
      </c>
    </row>
    <row r="858" spans="67:77" s="251" customFormat="1" ht="12.75">
      <c r="BO858" s="251">
        <f t="shared" si="50"/>
        <v>2.345</v>
      </c>
      <c r="BR858" s="251">
        <f t="shared" si="48"/>
        <v>2.867451727984108</v>
      </c>
      <c r="BV858" s="251">
        <f t="shared" si="51"/>
        <v>2.345</v>
      </c>
      <c r="BY858" s="251">
        <f t="shared" si="49"/>
        <v>2.95795167012042</v>
      </c>
    </row>
    <row r="859" spans="63:77" s="251" customFormat="1" ht="12.75">
      <c r="BK859" s="257"/>
      <c r="BO859" s="251">
        <f t="shared" si="50"/>
        <v>2.68</v>
      </c>
      <c r="BR859" s="251">
        <f t="shared" si="48"/>
        <v>3.166465190484109</v>
      </c>
      <c r="BV859" s="251">
        <f t="shared" si="51"/>
        <v>2.68</v>
      </c>
      <c r="BY859" s="251">
        <f t="shared" si="49"/>
        <v>3.2345762451204205</v>
      </c>
    </row>
    <row r="860" spans="63:77" s="251" customFormat="1" ht="12.75">
      <c r="BK860" s="258"/>
      <c r="BO860" s="251">
        <f t="shared" si="50"/>
        <v>3.015</v>
      </c>
      <c r="BR860" s="251">
        <f t="shared" si="48"/>
        <v>3.5850840379841085</v>
      </c>
      <c r="BV860" s="251">
        <f t="shared" si="51"/>
        <v>3.015</v>
      </c>
      <c r="BY860" s="251">
        <f t="shared" si="49"/>
        <v>3.62185065012042</v>
      </c>
    </row>
    <row r="861" spans="67:77" s="251" customFormat="1" ht="12.75">
      <c r="BO861" s="251">
        <f t="shared" si="50"/>
        <v>3.35</v>
      </c>
      <c r="BR861" s="251">
        <f t="shared" si="48"/>
        <v>4.123308270484109</v>
      </c>
      <c r="BV861" s="251">
        <f t="shared" si="51"/>
        <v>3.35</v>
      </c>
      <c r="BY861" s="251">
        <f t="shared" si="49"/>
        <v>4.11977488512042</v>
      </c>
    </row>
    <row r="862" spans="67:77" s="251" customFormat="1" ht="12.75">
      <c r="BO862" s="251">
        <f t="shared" si="50"/>
        <v>3.35</v>
      </c>
      <c r="BR862" s="251">
        <f>BR850</f>
        <v>3.4250000000000007</v>
      </c>
      <c r="BV862" s="251">
        <f t="shared" si="51"/>
        <v>3.35</v>
      </c>
      <c r="BY862" s="251">
        <f>BY850</f>
        <v>3.4250000000000007</v>
      </c>
    </row>
    <row r="863" spans="63:78" s="251" customFormat="1" ht="12.75">
      <c r="BK863" s="256"/>
      <c r="BO863" s="251">
        <f t="shared" si="50"/>
        <v>3.35</v>
      </c>
      <c r="BS863" s="251">
        <f aca="true" t="shared" si="52" ref="BS863:BS873">BS799</f>
        <v>3.4250000000000007</v>
      </c>
      <c r="BV863" s="251">
        <f t="shared" si="51"/>
        <v>3.35</v>
      </c>
      <c r="BZ863" s="251">
        <f aca="true" t="shared" si="53" ref="BZ863:BZ873">BZ799</f>
        <v>3.4250000000000007</v>
      </c>
    </row>
    <row r="864" spans="67:78" s="251" customFormat="1" ht="12.75">
      <c r="BO864" s="251">
        <f aca="true" t="shared" si="54" ref="BO864:BO874">$BO$863-($E$545*($BS$863-BS864)-0.5*$E$541*($BS$863-BS864)^2+($E$541-$E$542)/6/$D$538*($BS$863-BS864)^3+$E$543)/$BQ$829</f>
        <v>4.048308270484108</v>
      </c>
      <c r="BS864" s="251">
        <f t="shared" si="52"/>
        <v>3.4250000000000007</v>
      </c>
      <c r="BV864" s="251">
        <f aca="true" t="shared" si="55" ref="BV864:BV874">$BO$863-($F$545*($BS$863-BZ864)-0.5*$F$541*($BS$863-BZ864)^2+($F$541-$E$542)/6/$D$538*($BS$863-BZ864)^3+$F$543)/$BQ$829</f>
        <v>4.04477488512042</v>
      </c>
      <c r="BZ864" s="251">
        <f t="shared" si="53"/>
        <v>3.4250000000000007</v>
      </c>
    </row>
    <row r="865" spans="67:78" s="251" customFormat="1" ht="12.75">
      <c r="BO865" s="251">
        <f t="shared" si="54"/>
        <v>3.790258149979099</v>
      </c>
      <c r="BS865" s="251">
        <f t="shared" si="52"/>
        <v>3.0825000000000005</v>
      </c>
      <c r="BV865" s="251">
        <f t="shared" si="55"/>
        <v>3.7619806129232147</v>
      </c>
      <c r="BZ865" s="251">
        <f t="shared" si="53"/>
        <v>3.0825000000000005</v>
      </c>
    </row>
    <row r="866" spans="67:78" s="251" customFormat="1" ht="12.75">
      <c r="BO866" s="251">
        <f t="shared" si="54"/>
        <v>3.58069363525534</v>
      </c>
      <c r="BS866" s="251">
        <f t="shared" si="52"/>
        <v>2.74</v>
      </c>
      <c r="BV866" s="251">
        <f t="shared" si="55"/>
        <v>3.532950727757259</v>
      </c>
      <c r="BZ866" s="251">
        <f t="shared" si="53"/>
        <v>2.74</v>
      </c>
    </row>
    <row r="867" spans="67:78" s="251" customFormat="1" ht="12.75">
      <c r="BO867" s="251">
        <f t="shared" si="54"/>
        <v>3.4232306914690813</v>
      </c>
      <c r="BS867" s="251">
        <f t="shared" si="52"/>
        <v>2.3975</v>
      </c>
      <c r="BV867" s="251">
        <f t="shared" si="55"/>
        <v>3.3607146635288037</v>
      </c>
      <c r="BZ867" s="251">
        <f t="shared" si="53"/>
        <v>2.3975</v>
      </c>
    </row>
    <row r="868" spans="67:78" s="251" customFormat="1" ht="12.75">
      <c r="BO868" s="251">
        <f t="shared" si="54"/>
        <v>3.3214852837765725</v>
      </c>
      <c r="BS868" s="251">
        <f t="shared" si="52"/>
        <v>2.0549999999999997</v>
      </c>
      <c r="BV868" s="251">
        <f t="shared" si="55"/>
        <v>3.248301854144098</v>
      </c>
      <c r="BZ868" s="251">
        <f t="shared" si="53"/>
        <v>2.0549999999999997</v>
      </c>
    </row>
    <row r="869" spans="67:78" s="251" customFormat="1" ht="12.75">
      <c r="BO869" s="251">
        <f t="shared" si="54"/>
        <v>3.279073377334064</v>
      </c>
      <c r="BS869" s="251">
        <f t="shared" si="52"/>
        <v>1.7124999999999997</v>
      </c>
      <c r="BV869" s="251">
        <f t="shared" si="55"/>
        <v>3.198741733509393</v>
      </c>
      <c r="BZ869" s="251">
        <f t="shared" si="53"/>
        <v>1.7124999999999997</v>
      </c>
    </row>
    <row r="870" spans="67:78" s="251" customFormat="1" ht="12.75">
      <c r="BO870" s="251">
        <f t="shared" si="54"/>
        <v>3.299610937297805</v>
      </c>
      <c r="BS870" s="251">
        <f t="shared" si="52"/>
        <v>1.3699999999999997</v>
      </c>
      <c r="BV870" s="251">
        <f t="shared" si="55"/>
        <v>3.2150637355309377</v>
      </c>
      <c r="BZ870" s="251">
        <f t="shared" si="53"/>
        <v>1.3699999999999997</v>
      </c>
    </row>
    <row r="871" spans="67:78" s="251" customFormat="1" ht="12.75">
      <c r="BO871" s="251">
        <f t="shared" si="54"/>
        <v>3.3867139288240464</v>
      </c>
      <c r="BS871" s="251">
        <f t="shared" si="52"/>
        <v>1.0274999999999996</v>
      </c>
      <c r="BV871" s="251">
        <f t="shared" si="55"/>
        <v>3.3002972941149826</v>
      </c>
      <c r="BZ871" s="251">
        <f t="shared" si="53"/>
        <v>1.0274999999999996</v>
      </c>
    </row>
    <row r="872" spans="67:78" s="251" customFormat="1" ht="12.75">
      <c r="BO872" s="251">
        <f t="shared" si="54"/>
        <v>3.5439983170690383</v>
      </c>
      <c r="BS872" s="251">
        <f t="shared" si="52"/>
        <v>0.6849999999999996</v>
      </c>
      <c r="BV872" s="251">
        <f t="shared" si="55"/>
        <v>3.4574718431677773</v>
      </c>
      <c r="BZ872" s="251">
        <f t="shared" si="53"/>
        <v>0.6849999999999996</v>
      </c>
    </row>
    <row r="873" spans="67:78" s="251" customFormat="1" ht="12.75">
      <c r="BO873" s="251">
        <f t="shared" si="54"/>
        <v>3.7750800671890294</v>
      </c>
      <c r="BS873" s="251">
        <f t="shared" si="52"/>
        <v>0.3424999999999995</v>
      </c>
      <c r="BV873" s="251">
        <f t="shared" si="55"/>
        <v>3.689616816595572</v>
      </c>
      <c r="BZ873" s="251">
        <f t="shared" si="53"/>
        <v>0.3424999999999995</v>
      </c>
    </row>
    <row r="874" spans="67:78" s="251" customFormat="1" ht="12.75">
      <c r="BO874" s="251">
        <f t="shared" si="54"/>
        <v>4.08357514434027</v>
      </c>
      <c r="BS874" s="251">
        <v>0</v>
      </c>
      <c r="BV874" s="251">
        <f t="shared" si="55"/>
        <v>3.9997616483046166</v>
      </c>
      <c r="BZ874" s="251">
        <v>0</v>
      </c>
    </row>
    <row r="875" spans="67:78" s="251" customFormat="1" ht="12.75">
      <c r="BO875" s="251">
        <f aca="true" t="shared" si="56" ref="BO875:BO886">BO811</f>
        <v>3.35</v>
      </c>
      <c r="BS875" s="251">
        <v>0</v>
      </c>
      <c r="BV875" s="251">
        <f aca="true" t="shared" si="57" ref="BV875:BV886">BV811</f>
        <v>3.35</v>
      </c>
      <c r="BZ875" s="251">
        <v>0</v>
      </c>
    </row>
    <row r="876" spans="67:79" s="251" customFormat="1" ht="12.75">
      <c r="BO876" s="251">
        <f t="shared" si="56"/>
        <v>3.35</v>
      </c>
      <c r="BT876" s="251">
        <f>BT812</f>
        <v>0</v>
      </c>
      <c r="BV876" s="251">
        <f t="shared" si="57"/>
        <v>3.35</v>
      </c>
      <c r="CA876" s="251">
        <f>CA812</f>
        <v>0</v>
      </c>
    </row>
    <row r="877" spans="67:79" s="251" customFormat="1" ht="12.75">
      <c r="BO877" s="251">
        <f t="shared" si="56"/>
        <v>3.35</v>
      </c>
      <c r="BT877" s="251">
        <f aca="true" t="shared" si="58" ref="BT877:BT887">($E$563*($BO$876-BO877)-0.5*$E$559*($BO$876-BO877)^2+($E$559-$E$560)/6/$D$556*($BO$876-BO877)^3+$E$561)/$BQ$829</f>
        <v>-0.7335751443402698</v>
      </c>
      <c r="BV877" s="251">
        <f t="shared" si="57"/>
        <v>3.35</v>
      </c>
      <c r="CA877" s="251">
        <f aca="true" t="shared" si="59" ref="CA877:CA887">($F$563*($BO$876-BV877)-0.5*$F$559*($BO$876-BV877)^2+($F$559-$F$560)/6/$D$556*($BO$876-BV877)^3+$F$561)/$BQ$829</f>
        <v>-0.7475168566379492</v>
      </c>
    </row>
    <row r="878" spans="67:79" s="251" customFormat="1" ht="12.75">
      <c r="BO878" s="251">
        <f t="shared" si="56"/>
        <v>3.015</v>
      </c>
      <c r="BT878" s="251">
        <f t="shared" si="58"/>
        <v>-0.11779003684026974</v>
      </c>
      <c r="BV878" s="251">
        <f t="shared" si="57"/>
        <v>3.015</v>
      </c>
      <c r="CA878" s="251">
        <f t="shared" si="59"/>
        <v>-0.17203174663794918</v>
      </c>
    </row>
    <row r="879" spans="67:79" s="251" customFormat="1" ht="12.75">
      <c r="BO879" s="251">
        <f t="shared" si="56"/>
        <v>2.68</v>
      </c>
      <c r="BT879" s="251">
        <f t="shared" si="58"/>
        <v>0.36115393565973036</v>
      </c>
      <c r="BV879" s="251">
        <f t="shared" si="57"/>
        <v>2.68</v>
      </c>
      <c r="CA879" s="251">
        <f t="shared" si="59"/>
        <v>0.2755677833620507</v>
      </c>
    </row>
    <row r="880" spans="67:79" s="251" customFormat="1" ht="12.75">
      <c r="BO880" s="251">
        <f t="shared" si="56"/>
        <v>2.345</v>
      </c>
      <c r="BT880" s="251">
        <f t="shared" si="58"/>
        <v>0.7032567731597303</v>
      </c>
      <c r="BV880" s="251">
        <f t="shared" si="57"/>
        <v>2.345</v>
      </c>
      <c r="CA880" s="251">
        <f t="shared" si="59"/>
        <v>0.5952817333620507</v>
      </c>
    </row>
    <row r="881" spans="67:79" s="251" customFormat="1" ht="12.75">
      <c r="BO881" s="251">
        <f t="shared" si="56"/>
        <v>2.0100000000000002</v>
      </c>
      <c r="BT881" s="251">
        <f t="shared" si="58"/>
        <v>0.9085184756597308</v>
      </c>
      <c r="BV881" s="251">
        <f t="shared" si="57"/>
        <v>2.0100000000000002</v>
      </c>
      <c r="CA881" s="251">
        <f t="shared" si="59"/>
        <v>0.7871101033620508</v>
      </c>
    </row>
    <row r="882" spans="64:79" s="251" customFormat="1" ht="12.75">
      <c r="BL882" s="259"/>
      <c r="BO882" s="251">
        <f t="shared" si="56"/>
        <v>1.6750000000000003</v>
      </c>
      <c r="BT882" s="251">
        <f t="shared" si="58"/>
        <v>0.9769390431597306</v>
      </c>
      <c r="BV882" s="251">
        <f t="shared" si="57"/>
        <v>1.6750000000000003</v>
      </c>
      <c r="CA882" s="251">
        <f t="shared" si="59"/>
        <v>0.8510528933620506</v>
      </c>
    </row>
    <row r="883" spans="67:79" s="251" customFormat="1" ht="12.75">
      <c r="BO883" s="251">
        <f t="shared" si="56"/>
        <v>1.3400000000000003</v>
      </c>
      <c r="BT883" s="251">
        <f t="shared" si="58"/>
        <v>0.908518475659731</v>
      </c>
      <c r="BV883" s="251">
        <f t="shared" si="57"/>
        <v>1.3400000000000003</v>
      </c>
      <c r="CA883" s="251">
        <f t="shared" si="59"/>
        <v>0.7871101033620511</v>
      </c>
    </row>
    <row r="884" spans="67:79" s="251" customFormat="1" ht="12.75">
      <c r="BO884" s="251">
        <f t="shared" si="56"/>
        <v>1.0050000000000003</v>
      </c>
      <c r="BT884" s="251">
        <f t="shared" si="58"/>
        <v>0.7032567731597312</v>
      </c>
      <c r="BV884" s="251">
        <f t="shared" si="57"/>
        <v>1.0050000000000003</v>
      </c>
      <c r="CA884" s="251">
        <f t="shared" si="59"/>
        <v>0.5952817333620513</v>
      </c>
    </row>
    <row r="885" spans="67:79" s="251" customFormat="1" ht="12.75">
      <c r="BO885" s="251">
        <f t="shared" si="56"/>
        <v>0.6700000000000004</v>
      </c>
      <c r="BT885" s="251">
        <f t="shared" si="58"/>
        <v>0.36115393565973153</v>
      </c>
      <c r="BV885" s="251">
        <f t="shared" si="57"/>
        <v>0.6700000000000004</v>
      </c>
      <c r="CA885" s="251">
        <f t="shared" si="59"/>
        <v>0.275567783362051</v>
      </c>
    </row>
    <row r="886" spans="67:79" s="251" customFormat="1" ht="12.75">
      <c r="BO886" s="251">
        <f t="shared" si="56"/>
        <v>0.33500000000000035</v>
      </c>
      <c r="BT886" s="251">
        <f t="shared" si="58"/>
        <v>-0.11779003684026904</v>
      </c>
      <c r="BV886" s="251">
        <f t="shared" si="57"/>
        <v>0.33500000000000035</v>
      </c>
      <c r="CA886" s="251">
        <f t="shared" si="59"/>
        <v>-0.1720317466379484</v>
      </c>
    </row>
    <row r="887" spans="67:79" s="251" customFormat="1" ht="12.75">
      <c r="BO887" s="251">
        <v>0</v>
      </c>
      <c r="BT887" s="251">
        <f t="shared" si="58"/>
        <v>-0.7335751443402687</v>
      </c>
      <c r="BV887" s="251">
        <v>0</v>
      </c>
      <c r="CA887" s="251">
        <f t="shared" si="59"/>
        <v>-0.7475168566379492</v>
      </c>
    </row>
    <row r="888" spans="16:79" s="251" customFormat="1" ht="12.75">
      <c r="P888" s="251" t="s">
        <v>842</v>
      </c>
      <c r="Q888" s="251" t="s">
        <v>399</v>
      </c>
      <c r="S888" s="251" t="s">
        <v>842</v>
      </c>
      <c r="T888" s="251" t="s">
        <v>400</v>
      </c>
      <c r="W888" s="251" t="s">
        <v>842</v>
      </c>
      <c r="X888" s="251" t="s">
        <v>417</v>
      </c>
      <c r="AA888" s="251" t="s">
        <v>293</v>
      </c>
      <c r="AB888" s="251" t="s">
        <v>403</v>
      </c>
      <c r="AE888" s="251" t="s">
        <v>293</v>
      </c>
      <c r="AF888" s="251" t="s">
        <v>400</v>
      </c>
      <c r="AI888" s="251" t="s">
        <v>293</v>
      </c>
      <c r="AJ888" s="251" t="s">
        <v>404</v>
      </c>
      <c r="AM888" s="251" t="s">
        <v>261</v>
      </c>
      <c r="AN888" s="251" t="s">
        <v>405</v>
      </c>
      <c r="AQ888" s="251" t="s">
        <v>261</v>
      </c>
      <c r="AR888" s="251" t="s">
        <v>406</v>
      </c>
      <c r="AU888" s="251" t="s">
        <v>261</v>
      </c>
      <c r="AV888" s="251" t="s">
        <v>418</v>
      </c>
      <c r="AY888" s="251" t="s">
        <v>298</v>
      </c>
      <c r="AZ888" s="251" t="s">
        <v>408</v>
      </c>
      <c r="BC888" s="251" t="s">
        <v>298</v>
      </c>
      <c r="BD888" s="251" t="s">
        <v>777</v>
      </c>
      <c r="BG888" s="251" t="s">
        <v>23</v>
      </c>
      <c r="BH888" s="251" t="s">
        <v>419</v>
      </c>
      <c r="BO888" s="251">
        <v>0</v>
      </c>
      <c r="BT888" s="251">
        <f>BT824</f>
        <v>0</v>
      </c>
      <c r="BV888" s="251">
        <v>0</v>
      </c>
      <c r="CA888" s="251">
        <f>CA824</f>
        <v>0</v>
      </c>
    </row>
    <row r="890" spans="12:61" s="251" customFormat="1" ht="12.75">
      <c r="L890" s="251" t="s">
        <v>843</v>
      </c>
      <c r="O890" s="251">
        <f>K892</f>
        <v>11.730453757166703</v>
      </c>
      <c r="P890" s="251">
        <f>L892</f>
        <v>91.08365318044366</v>
      </c>
      <c r="Q890" s="251">
        <f>M892</f>
        <v>485.7794836290329</v>
      </c>
      <c r="S890" s="251">
        <f>K893</f>
        <v>14.957043959314799</v>
      </c>
      <c r="T890" s="251">
        <f>L893</f>
        <v>22.249728867950942</v>
      </c>
      <c r="U890" s="251">
        <f>M893</f>
        <v>118.66522062907168</v>
      </c>
      <c r="W890" s="251">
        <f>K894</f>
        <v>12.005464501676283</v>
      </c>
      <c r="X890" s="251">
        <f>L894</f>
        <v>85.21675729757264</v>
      </c>
      <c r="Y890" s="251">
        <f>M894</f>
        <v>454.4893722537207</v>
      </c>
      <c r="AA890" s="251">
        <f>K895</f>
        <v>13.398741189211723</v>
      </c>
      <c r="AB890" s="251">
        <f>L895</f>
        <v>55.493521296816574</v>
      </c>
      <c r="AC890" s="251">
        <f>M895</f>
        <v>295.9654469163551</v>
      </c>
      <c r="AE890" s="251">
        <f>K896</f>
        <v>13.070571950772443</v>
      </c>
      <c r="AF890" s="251">
        <f>L896</f>
        <v>62.49446505018789</v>
      </c>
      <c r="AG890" s="251">
        <f>M896</f>
        <v>333.30381360100205</v>
      </c>
      <c r="AI890" s="251">
        <f>K897</f>
        <v>13.398741189211725</v>
      </c>
      <c r="AJ890" s="251">
        <f>L897</f>
        <v>55.493521296816546</v>
      </c>
      <c r="AK890" s="251">
        <f>M897</f>
        <v>295.9654469163549</v>
      </c>
      <c r="AM890" s="251">
        <f>K898</f>
        <v>12.005464501676283</v>
      </c>
      <c r="AN890" s="251">
        <f>L898</f>
        <v>85.21675729757264</v>
      </c>
      <c r="AO890" s="251">
        <f>M898</f>
        <v>454.4893722537207</v>
      </c>
      <c r="AQ890" s="251">
        <f>K899</f>
        <v>14.957043959314799</v>
      </c>
      <c r="AR890" s="251">
        <f>L899</f>
        <v>22.249728867950957</v>
      </c>
      <c r="AS890" s="251">
        <f>M899</f>
        <v>118.66522062907177</v>
      </c>
      <c r="AU890" s="251">
        <f>K900</f>
        <v>11.730453757166707</v>
      </c>
      <c r="AV890" s="251">
        <f>L900</f>
        <v>91.08365318044362</v>
      </c>
      <c r="AW890" s="251">
        <f>M900</f>
        <v>485.7794836290326</v>
      </c>
      <c r="AY890" s="251">
        <f>K901</f>
        <v>13.79266815514696</v>
      </c>
      <c r="AZ890" s="251">
        <f>L901</f>
        <v>47.08974602353155</v>
      </c>
      <c r="BA890" s="251">
        <f>M901</f>
        <v>251.14531212550156</v>
      </c>
      <c r="BC890" s="251">
        <f>K902</f>
        <v>13.29609410936099</v>
      </c>
      <c r="BD890" s="251">
        <f>L902</f>
        <v>57.683325666965544</v>
      </c>
      <c r="BE890" s="251">
        <f>M902</f>
        <v>307.64440355714953</v>
      </c>
      <c r="BG890" s="251">
        <f>K903</f>
        <v>13.79266815514696</v>
      </c>
      <c r="BH890" s="251">
        <f>L903</f>
        <v>47.08974602353156</v>
      </c>
      <c r="BI890" s="251">
        <f>M903</f>
        <v>251.14531212550162</v>
      </c>
    </row>
    <row r="891" spans="11:63" ht="15">
      <c r="K891" s="260" t="s">
        <v>844</v>
      </c>
      <c r="L891" s="260" t="s">
        <v>845</v>
      </c>
      <c r="M891" s="260" t="s">
        <v>846</v>
      </c>
      <c r="O891" s="260" t="s">
        <v>847</v>
      </c>
      <c r="P891" s="260" t="s">
        <v>848</v>
      </c>
      <c r="Q891" s="205" t="s">
        <v>849</v>
      </c>
      <c r="S891" s="260" t="s">
        <v>847</v>
      </c>
      <c r="T891" s="260" t="s">
        <v>848</v>
      </c>
      <c r="U891" s="205" t="s">
        <v>849</v>
      </c>
      <c r="W891" s="260" t="s">
        <v>847</v>
      </c>
      <c r="X891" s="260" t="s">
        <v>848</v>
      </c>
      <c r="Y891" s="205" t="s">
        <v>849</v>
      </c>
      <c r="AA891" s="260" t="s">
        <v>847</v>
      </c>
      <c r="AB891" s="260" t="s">
        <v>848</v>
      </c>
      <c r="AC891" s="205" t="s">
        <v>849</v>
      </c>
      <c r="AD891" s="205"/>
      <c r="AE891" s="260" t="s">
        <v>847</v>
      </c>
      <c r="AF891" s="260" t="s">
        <v>848</v>
      </c>
      <c r="AG891" s="205" t="s">
        <v>849</v>
      </c>
      <c r="AH891" s="205"/>
      <c r="AI891" s="260" t="s">
        <v>847</v>
      </c>
      <c r="AJ891" s="260" t="s">
        <v>848</v>
      </c>
      <c r="AK891" s="205" t="s">
        <v>849</v>
      </c>
      <c r="AL891" s="205"/>
      <c r="AM891" s="260" t="s">
        <v>847</v>
      </c>
      <c r="AN891" s="260" t="s">
        <v>848</v>
      </c>
      <c r="AO891" s="205" t="s">
        <v>849</v>
      </c>
      <c r="AP891" s="205"/>
      <c r="AQ891" s="260" t="s">
        <v>847</v>
      </c>
      <c r="AR891" s="260" t="s">
        <v>848</v>
      </c>
      <c r="AS891" s="205" t="s">
        <v>849</v>
      </c>
      <c r="AT891" s="205"/>
      <c r="AU891" s="260" t="s">
        <v>847</v>
      </c>
      <c r="AV891" s="260" t="s">
        <v>848</v>
      </c>
      <c r="AW891" s="205" t="s">
        <v>849</v>
      </c>
      <c r="AX891" s="205"/>
      <c r="AY891" s="260" t="s">
        <v>847</v>
      </c>
      <c r="AZ891" s="260" t="s">
        <v>848</v>
      </c>
      <c r="BA891" s="205" t="s">
        <v>849</v>
      </c>
      <c r="BB891" s="205"/>
      <c r="BC891" s="260" t="s">
        <v>847</v>
      </c>
      <c r="BD891" s="260" t="s">
        <v>848</v>
      </c>
      <c r="BE891" s="205" t="s">
        <v>849</v>
      </c>
      <c r="BF891" s="205"/>
      <c r="BG891" s="260" t="s">
        <v>847</v>
      </c>
      <c r="BH891" s="260" t="s">
        <v>848</v>
      </c>
      <c r="BI891" s="205" t="s">
        <v>849</v>
      </c>
      <c r="BJ891" s="205"/>
      <c r="BK891" s="205"/>
    </row>
    <row r="892" spans="11:60" ht="12.75">
      <c r="K892" s="176">
        <f aca="true" t="shared" si="60" ref="K892:K903">3*$D$657/30-3*C663*(D663+F663)/$H$657/E663^2</f>
        <v>11.730453757166703</v>
      </c>
      <c r="L892" s="176">
        <f aca="true" t="shared" si="61" ref="L892:L903">6*C663*(D663+F663)/15/$H$657/E663^2*$D$657</f>
        <v>91.08365318044366</v>
      </c>
      <c r="M892" s="176">
        <f aca="true" t="shared" si="62" ref="M892:M903">3*C663*(D663+F663)/15/15/$H$657/E663^2*$D$657^2</f>
        <v>485.7794836290329</v>
      </c>
      <c r="O892" s="176">
        <v>0</v>
      </c>
      <c r="P892" s="176">
        <f>O892^3+O$890*O892^2-P$890*O892-Q$890</f>
        <v>-485.7794836290329</v>
      </c>
      <c r="S892" s="176">
        <v>0</v>
      </c>
      <c r="T892" s="176">
        <f>S892^3+S$890*S892^2-T$890*S892-U$890</f>
        <v>-118.66522062907168</v>
      </c>
      <c r="W892" s="176">
        <v>0</v>
      </c>
      <c r="X892" s="176">
        <f>W892^3+W$890*W892^2-X$890*W892-Y$890</f>
        <v>-454.4893722537207</v>
      </c>
      <c r="AA892" s="176">
        <v>0</v>
      </c>
      <c r="AB892" s="176">
        <f>AA892^3+AA$890*AA892^2-AB$890*AA892-AC$890</f>
        <v>-295.9654469163551</v>
      </c>
      <c r="AE892" s="176">
        <v>0</v>
      </c>
      <c r="AF892" s="176">
        <f>AE892^3+AE$890*AE892^2-AF$890*AE892-AG$890</f>
        <v>-333.30381360100205</v>
      </c>
      <c r="AI892" s="176">
        <v>0</v>
      </c>
      <c r="AJ892" s="176">
        <f>AI892^3+AI$890*AI892^2-AJ$890*AI892-AK$890</f>
        <v>-295.9654469163549</v>
      </c>
      <c r="AM892" s="176">
        <v>0</v>
      </c>
      <c r="AN892" s="176">
        <f>AM892^3+AM$890*AM892^2-AN$890*AM892-AO$890</f>
        <v>-454.4893722537207</v>
      </c>
      <c r="AQ892" s="176">
        <v>0</v>
      </c>
      <c r="AR892" s="176">
        <f>AQ892^3+AQ$890*AQ892^2-AR$890*AQ892-AS$890</f>
        <v>-118.66522062907177</v>
      </c>
      <c r="AU892" s="176">
        <v>0</v>
      </c>
      <c r="AV892" s="176">
        <f>AU892^3+AU$890*AU892^2-AV$890*AU892-AW$890</f>
        <v>-485.7794836290326</v>
      </c>
      <c r="AY892" s="176">
        <v>0</v>
      </c>
      <c r="AZ892" s="176">
        <f>AY892^3+AY$890*AY892^2-AZ$890*AY892-BA$890</f>
        <v>-251.14531212550156</v>
      </c>
      <c r="BC892" s="176">
        <v>0</v>
      </c>
      <c r="BD892" s="176">
        <f>BC892^3+BC$890*BC892^2-BD$890*BC892-BE$890</f>
        <v>-307.64440355714953</v>
      </c>
      <c r="BG892" s="176">
        <v>0</v>
      </c>
      <c r="BH892" s="176">
        <f>BG892^3+BG$890*BG892^2-BH$890*BG892-BI$890</f>
        <v>-251.14531212550162</v>
      </c>
    </row>
    <row r="893" spans="11:61" ht="12.75">
      <c r="K893" s="176">
        <f t="shared" si="60"/>
        <v>14.957043959314799</v>
      </c>
      <c r="L893" s="176">
        <f t="shared" si="61"/>
        <v>22.249728867950942</v>
      </c>
      <c r="M893" s="176">
        <f t="shared" si="62"/>
        <v>118.66522062907168</v>
      </c>
      <c r="O893" s="176">
        <f>$L$59</f>
        <v>8</v>
      </c>
      <c r="P893" s="176">
        <f aca="true" t="shared" si="63" ref="P893:P907">O893^3+O$890*O893^2-P$890*O893-Q$890</f>
        <v>48.30033138608684</v>
      </c>
      <c r="Q893" s="176">
        <f>IF(O893-O892=0,1,(P893-P892)/(O893-O892))</f>
        <v>66.75997687688997</v>
      </c>
      <c r="S893" s="176">
        <f>$L$59</f>
        <v>8</v>
      </c>
      <c r="T893" s="176">
        <f aca="true" t="shared" si="64" ref="T893:T907">S893^3+S$890*S893^2-T$890*S893-U$890</f>
        <v>1172.5877618234679</v>
      </c>
      <c r="U893" s="176">
        <f>IF(S893-S892=0,1,(T893-T892)/(S893-S892))</f>
        <v>161.40662280656744</v>
      </c>
      <c r="W893" s="176">
        <f>$L$59</f>
        <v>8</v>
      </c>
      <c r="X893" s="176">
        <f aca="true" t="shared" si="65" ref="X893:X907">W893^3+W$890*W893^2-X$890*W893-Y$890</f>
        <v>144.12629747298024</v>
      </c>
      <c r="Y893" s="176">
        <f>IF(W893-W892=0,1,(X893-X892)/(W893-W892))</f>
        <v>74.82695871583762</v>
      </c>
      <c r="AA893" s="176">
        <f>$L$59</f>
        <v>8</v>
      </c>
      <c r="AB893" s="176">
        <f aca="true" t="shared" si="66" ref="AB893:AB907">AA893^3+AA$890*AA893^2-AB$890*AA893-AC$890</f>
        <v>629.6058188186626</v>
      </c>
      <c r="AC893" s="176">
        <f>IF(AA893-AA892=0,1,(AB893-AB892)/(AA893-AA892))</f>
        <v>115.69640821687722</v>
      </c>
      <c r="AE893" s="176">
        <f>$L$59</f>
        <v>8</v>
      </c>
      <c r="AF893" s="176">
        <f aca="true" t="shared" si="67" ref="AF893:AF907">AE893^3+AE$890*AE893^2-AF$890*AE893-AG$890</f>
        <v>515.2570708469311</v>
      </c>
      <c r="AG893" s="176">
        <f>IF(AE893-AE892=0,1,(AF893-AF892)/(AE893-AE892))</f>
        <v>106.07011055599165</v>
      </c>
      <c r="AI893" s="176">
        <f>$L$59</f>
        <v>8</v>
      </c>
      <c r="AJ893" s="176">
        <f aca="true" t="shared" si="68" ref="AJ893:AJ907">AI893^3+AI$890*AI893^2-AJ$890*AI893-AK$890</f>
        <v>629.6058188186632</v>
      </c>
      <c r="AK893" s="176">
        <f>IF(AI893-AI892=0,1,(AJ893-AJ892)/(AI893-AI892))</f>
        <v>115.69640821687727</v>
      </c>
      <c r="AM893" s="176">
        <f>$L$59</f>
        <v>8</v>
      </c>
      <c r="AN893" s="176">
        <f aca="true" t="shared" si="69" ref="AN893:AN907">AM893^3+AM$890*AM893^2-AN$890*AM893-AO$890</f>
        <v>144.12629747298024</v>
      </c>
      <c r="AO893" s="176">
        <f>IF(AM893-AM892=0,1,(AN893-AN892)/(AM893-AM892))</f>
        <v>74.82695871583762</v>
      </c>
      <c r="AQ893" s="176">
        <f>$L$59</f>
        <v>8</v>
      </c>
      <c r="AR893" s="176">
        <f aca="true" t="shared" si="70" ref="AR893:AR907">AQ893^3+AQ$890*AQ893^2-AR$890*AQ893-AS$890</f>
        <v>1172.5877618234676</v>
      </c>
      <c r="AS893" s="176">
        <f>IF(AQ893-AQ892=0,1,(AR893-AR892)/(AQ893-AQ892))</f>
        <v>161.40662280656744</v>
      </c>
      <c r="AU893" s="176">
        <f>$L$59</f>
        <v>8</v>
      </c>
      <c r="AV893" s="176">
        <f aca="true" t="shared" si="71" ref="AV893:AV907">AU893^3+AU$890*AU893^2-AV$890*AU893-AW$890</f>
        <v>48.30033138608769</v>
      </c>
      <c r="AW893" s="176">
        <f>IF(AU893-AU892=0,1,(AV893-AV892)/(AU893-AU892))</f>
        <v>66.75997687689004</v>
      </c>
      <c r="AY893" s="176">
        <f>$L$59</f>
        <v>8</v>
      </c>
      <c r="AZ893" s="176">
        <f aca="true" t="shared" si="72" ref="AZ893:AZ907">AY893^3+AY$890*AY893^2-AZ$890*AY893-BA$890</f>
        <v>766.8674816156515</v>
      </c>
      <c r="BA893" s="176">
        <f>IF(AY893-AY892=0,1,(AZ893-AZ892)/(AY893-AY892))</f>
        <v>127.25159921764413</v>
      </c>
      <c r="BC893" s="176">
        <f>$L$59</f>
        <v>8</v>
      </c>
      <c r="BD893" s="176">
        <f aca="true" t="shared" si="73" ref="BD893:BD907">BC893^3+BC$890*BC893^2-BD$890*BC893-BE$890</f>
        <v>593.8390141062295</v>
      </c>
      <c r="BE893" s="176">
        <f>IF(BC893-BC892=0,1,(BD893-BD892)/(BC893-BC892))</f>
        <v>112.68542720792237</v>
      </c>
      <c r="BG893" s="176">
        <f>$L$59</f>
        <v>8</v>
      </c>
      <c r="BH893" s="176">
        <f aca="true" t="shared" si="74" ref="BH893:BH907">BG893^3+BG$890*BG893^2-BH$890*BG893-BI$890</f>
        <v>766.8674816156513</v>
      </c>
      <c r="BI893" s="176">
        <f>IF(BG893-BG892=0,1,(BH893-BH892)/(BG893-BG892))</f>
        <v>127.25159921764411</v>
      </c>
    </row>
    <row r="894" spans="11:61" ht="12.75">
      <c r="K894" s="176">
        <f t="shared" si="60"/>
        <v>12.005464501676283</v>
      </c>
      <c r="L894" s="176">
        <f t="shared" si="61"/>
        <v>85.21675729757264</v>
      </c>
      <c r="M894" s="176">
        <f t="shared" si="62"/>
        <v>454.4893722537207</v>
      </c>
      <c r="O894" s="176">
        <f aca="true" t="shared" si="75" ref="O894:O901">O893-P893/Q893</f>
        <v>7.2765076675332585</v>
      </c>
      <c r="P894" s="176">
        <f>IF(P893=0,0,O894^3+O$890*O894^2-P$890*O894-Q$890)</f>
        <v>-142.17808102704709</v>
      </c>
      <c r="Q894" s="176">
        <f>IF(O894-O893=0,1,(P894-P893)/(O894-O893))</f>
        <v>263.2763387604942</v>
      </c>
      <c r="S894" s="176">
        <f>S893-T893/U893</f>
        <v>0.7351942477061932</v>
      </c>
      <c r="T894" s="176">
        <f t="shared" si="64"/>
        <v>-126.54127250184469</v>
      </c>
      <c r="U894" s="176">
        <f>IF(S894-S893=0,1,(T894-T893)/(S894-S893))</f>
        <v>178.82502005165418</v>
      </c>
      <c r="W894" s="176">
        <f>W893-X893/Y893</f>
        <v>6.073872038280838</v>
      </c>
      <c r="X894" s="176">
        <f t="shared" si="65"/>
        <v>-305.1035865158873</v>
      </c>
      <c r="Y894" s="176">
        <f>IF(W894-W893=0,1,(X894-X893)/(W894-W893))</f>
        <v>233.2295117027989</v>
      </c>
      <c r="AA894" s="176">
        <f>AA893-AB893/AC893</f>
        <v>2.558121306251418</v>
      </c>
      <c r="AB894" s="176">
        <f t="shared" si="66"/>
        <v>-333.50314339082547</v>
      </c>
      <c r="AC894" s="176">
        <f>IF(AA894-AA893=0,1,(AB894-AB893)/(AA894-AA893))</f>
        <v>176.98096859745698</v>
      </c>
      <c r="AE894" s="176">
        <f>AE893-AF893/AG893</f>
        <v>3.142297220714781</v>
      </c>
      <c r="AF894" s="176">
        <f t="shared" si="67"/>
        <v>-369.5936112918082</v>
      </c>
      <c r="AG894" s="176">
        <f>IF(AE894-AE893=0,1,(AF894-AF893)/(AE894-AE893))</f>
        <v>182.15414205908655</v>
      </c>
      <c r="AI894" s="176">
        <f>AI893-AJ893/AK893</f>
        <v>2.5581213062514143</v>
      </c>
      <c r="AJ894" s="176">
        <f t="shared" si="68"/>
        <v>-333.5031433908253</v>
      </c>
      <c r="AK894" s="176">
        <f>IF(AI894-AI893=0,1,(AJ894-AJ893)/(AI894-AI893))</f>
        <v>176.98096859745695</v>
      </c>
      <c r="AM894" s="176">
        <f>AM893-AN893/AO893</f>
        <v>6.073872038280838</v>
      </c>
      <c r="AN894" s="176">
        <f t="shared" si="69"/>
        <v>-305.1035865158873</v>
      </c>
      <c r="AO894" s="176">
        <f>IF(AM894-AM893=0,1,(AN894-AN893)/(AM894-AM893))</f>
        <v>233.2295117027989</v>
      </c>
      <c r="AQ894" s="176">
        <f>AQ893-AR893/AS893</f>
        <v>0.735194247706195</v>
      </c>
      <c r="AR894" s="176">
        <f t="shared" si="70"/>
        <v>-126.54127250184477</v>
      </c>
      <c r="AS894" s="176">
        <f>IF(AQ894-AQ893=0,1,(AR894-AR893)/(AQ894-AQ893))</f>
        <v>178.8250200516542</v>
      </c>
      <c r="AU894" s="176">
        <f>AU893-AV893/AW893</f>
        <v>7.276507667533247</v>
      </c>
      <c r="AV894" s="176">
        <f t="shared" si="71"/>
        <v>-142.17808102704907</v>
      </c>
      <c r="AW894" s="176">
        <f>IF(AU894-AU893=0,1,(AV894-AV893)/(AU894-AU893))</f>
        <v>263.2763387604939</v>
      </c>
      <c r="AY894" s="176">
        <f>AY893-AZ893/BA893</f>
        <v>1.973612227033441</v>
      </c>
      <c r="AZ894" s="176">
        <f t="shared" si="72"/>
        <v>-282.67025893510873</v>
      </c>
      <c r="BA894" s="176">
        <f>IF(AY894-AY893=0,1,(AZ894-AZ893)/(AY894-AY893))</f>
        <v>174.15702077102037</v>
      </c>
      <c r="BC894" s="176">
        <f>BC893-BD893/BE893</f>
        <v>2.7301170273729998</v>
      </c>
      <c r="BD894" s="176">
        <f t="shared" si="73"/>
        <v>-345.6746436961629</v>
      </c>
      <c r="BE894" s="176">
        <f>IF(BC894-BC893=0,1,(BD894-BD893)/(BC894-BC893))</f>
        <v>178.27979533557863</v>
      </c>
      <c r="BG894" s="176">
        <f>BG893-BH893/BI893</f>
        <v>1.973612227033442</v>
      </c>
      <c r="BH894" s="176">
        <f t="shared" si="74"/>
        <v>-282.6702589351088</v>
      </c>
      <c r="BI894" s="176">
        <f>IF(BG894-BG893=0,1,(BH894-BH893)/(BG894-BG893))</f>
        <v>174.1570207710204</v>
      </c>
    </row>
    <row r="895" spans="11:61" ht="12.75">
      <c r="K895" s="176">
        <f t="shared" si="60"/>
        <v>13.398741189211723</v>
      </c>
      <c r="L895" s="176">
        <f t="shared" si="61"/>
        <v>55.493521296816574</v>
      </c>
      <c r="M895" s="176">
        <f t="shared" si="62"/>
        <v>295.9654469163551</v>
      </c>
      <c r="O895" s="176">
        <f t="shared" si="75"/>
        <v>7.816541313156036</v>
      </c>
      <c r="P895" s="176">
        <f t="shared" si="63"/>
        <v>-3.450098956059094</v>
      </c>
      <c r="Q895" s="176">
        <f aca="true" t="shared" si="76" ref="Q895:Q905">IF(O895-O894=0,1,(P895-P894)/(O895-O894))</f>
        <v>256.88766467690004</v>
      </c>
      <c r="S895" s="176">
        <f aca="true" t="shared" si="77" ref="S895:S901">S894-T894/U894</f>
        <v>1.442820465029098</v>
      </c>
      <c r="T895" s="176">
        <f t="shared" si="64"/>
        <v>-116.6274803465006</v>
      </c>
      <c r="U895" s="176">
        <f aca="true" t="shared" si="78" ref="U895:U905">IF(S895-S894=0,1,(T895-T894)/(S895-S894))</f>
        <v>14.009927716994422</v>
      </c>
      <c r="W895" s="176">
        <f aca="true" t="shared" si="79" ref="W895:W905">W894-X894/Y894</f>
        <v>7.38204090717028</v>
      </c>
      <c r="X895" s="176">
        <f t="shared" si="65"/>
        <v>-27.05000511807532</v>
      </c>
      <c r="Y895" s="176">
        <f aca="true" t="shared" si="80" ref="Y895:Y905">IF(W895-W894=0,1,(X895-X894)/(W895-W894))</f>
        <v>212.55174925073928</v>
      </c>
      <c r="AA895" s="176">
        <f aca="true" t="shared" si="81" ref="AA895:AA905">AA894-AB894/AC894</f>
        <v>4.442522471155074</v>
      </c>
      <c r="AB895" s="176">
        <f t="shared" si="66"/>
        <v>-190.38137729667687</v>
      </c>
      <c r="AC895" s="176">
        <f aca="true" t="shared" si="82" ref="AC895:AC905">IF(AA895-AA894=0,1,(AB895-AB894)/(AA895-AA894))</f>
        <v>75.95079474569629</v>
      </c>
      <c r="AE895" s="176">
        <f aca="true" t="shared" si="83" ref="AE895:AE905">AE894-AF894/AG894</f>
        <v>5.171312905529242</v>
      </c>
      <c r="AF895" s="176">
        <f t="shared" si="67"/>
        <v>-168.64905798844052</v>
      </c>
      <c r="AG895" s="176">
        <f aca="true" t="shared" si="84" ref="AG895:AG905">IF(AE895-AE894=0,1,(AF895-AF894)/(AE895-AE894))</f>
        <v>99.03548543625112</v>
      </c>
      <c r="AI895" s="176">
        <f aca="true" t="shared" si="85" ref="AI895:AI905">AI894-AJ894/AK894</f>
        <v>4.442522471155071</v>
      </c>
      <c r="AJ895" s="176">
        <f t="shared" si="68"/>
        <v>-190.38137729667693</v>
      </c>
      <c r="AK895" s="176">
        <f aca="true" t="shared" si="86" ref="AK895:AK905">IF(AI895-AI894=0,1,(AJ895-AJ894)/(AI895-AI894))</f>
        <v>75.95079474569617</v>
      </c>
      <c r="AM895" s="176">
        <f aca="true" t="shared" si="87" ref="AM895:AM905">AM894-AN894/AO894</f>
        <v>7.38204090717028</v>
      </c>
      <c r="AN895" s="176">
        <f t="shared" si="69"/>
        <v>-27.05000511807532</v>
      </c>
      <c r="AO895" s="176">
        <f aca="true" t="shared" si="88" ref="AO895:AO905">IF(AM895-AM894=0,1,(AN895-AN894)/(AM895-AM894))</f>
        <v>212.55174925073928</v>
      </c>
      <c r="AQ895" s="176">
        <f aca="true" t="shared" si="89" ref="AQ895:AQ905">AQ894-AR894/AS894</f>
        <v>1.4428204650291003</v>
      </c>
      <c r="AR895" s="176">
        <f t="shared" si="70"/>
        <v>-116.62748034650065</v>
      </c>
      <c r="AS895" s="176">
        <f aca="true" t="shared" si="90" ref="AS895:AS905">IF(AQ895-AQ894=0,1,(AR895-AR894)/(AQ895-AQ894))</f>
        <v>14.009927716994474</v>
      </c>
      <c r="AU895" s="176">
        <f aca="true" t="shared" si="91" ref="AU895:AU905">AU894-AV894/AW894</f>
        <v>7.816541313156033</v>
      </c>
      <c r="AV895" s="176">
        <f t="shared" si="71"/>
        <v>-3.4500989560591506</v>
      </c>
      <c r="AW895" s="176">
        <f aca="true" t="shared" si="92" ref="AW895:AW905">IF(AU895-AU894=0,1,(AV895-AV894)/(AU895-AU894))</f>
        <v>256.8876646768998</v>
      </c>
      <c r="AY895" s="176">
        <f aca="true" t="shared" si="93" ref="AY895:AY905">AY894-AZ894/BA894</f>
        <v>3.5966892507657215</v>
      </c>
      <c r="AZ895" s="176">
        <f t="shared" si="72"/>
        <v>-195.56074985555537</v>
      </c>
      <c r="BA895" s="176">
        <f aca="true" t="shared" si="94" ref="BA895:BA905">IF(AY895-AY894=0,1,(AZ895-AZ894)/(AY895-AY894))</f>
        <v>53.66936245529756</v>
      </c>
      <c r="BC895" s="176">
        <f aca="true" t="shared" si="95" ref="BC895:BC905">BC894-BD894/BE894</f>
        <v>4.669061611898098</v>
      </c>
      <c r="BD895" s="176">
        <f t="shared" si="73"/>
        <v>-185.3285610598573</v>
      </c>
      <c r="BE895" s="176">
        <f aca="true" t="shared" si="96" ref="BE895:BE905">IF(BC895-BC894=0,1,(BD895-BD894)/(BC895-BC894))</f>
        <v>82.69760978010564</v>
      </c>
      <c r="BG895" s="176">
        <f aca="true" t="shared" si="97" ref="BG895:BG905">BG894-BH894/BI894</f>
        <v>3.5966892507657224</v>
      </c>
      <c r="BH895" s="176">
        <f t="shared" si="74"/>
        <v>-195.56074985555537</v>
      </c>
      <c r="BI895" s="176">
        <f aca="true" t="shared" si="98" ref="BI895:BI905">IF(BG895-BG894=0,1,(BH895-BH894)/(BG895-BG894))</f>
        <v>53.669362455297595</v>
      </c>
    </row>
    <row r="896" spans="11:61" ht="12.75">
      <c r="K896" s="176">
        <f t="shared" si="60"/>
        <v>13.070571950772443</v>
      </c>
      <c r="L896" s="176">
        <f t="shared" si="61"/>
        <v>62.49446505018789</v>
      </c>
      <c r="M896" s="176">
        <f t="shared" si="62"/>
        <v>333.30381360100205</v>
      </c>
      <c r="O896" s="176">
        <f t="shared" si="75"/>
        <v>7.82997169316435</v>
      </c>
      <c r="P896" s="176">
        <f t="shared" si="63"/>
        <v>0.2575873214682929</v>
      </c>
      <c r="Q896" s="176">
        <f t="shared" si="76"/>
        <v>276.06711613760064</v>
      </c>
      <c r="S896" s="176">
        <f t="shared" si="77"/>
        <v>9.767451591071833</v>
      </c>
      <c r="T896" s="176">
        <f t="shared" si="64"/>
        <v>2022.8054128642068</v>
      </c>
      <c r="U896" s="176">
        <f t="shared" si="78"/>
        <v>257.0003235960469</v>
      </c>
      <c r="W896" s="176">
        <f t="shared" si="79"/>
        <v>7.509304057031096</v>
      </c>
      <c r="X896" s="176">
        <f t="shared" si="65"/>
        <v>6.023004971409023</v>
      </c>
      <c r="Y896" s="176">
        <f t="shared" si="80"/>
        <v>259.87892116182474</v>
      </c>
      <c r="AA896" s="176">
        <f t="shared" si="81"/>
        <v>6.949163487014421</v>
      </c>
      <c r="AB896" s="176">
        <f t="shared" si="66"/>
        <v>301.0190851016659</v>
      </c>
      <c r="AC896" s="176">
        <f t="shared" si="82"/>
        <v>196.039424588238</v>
      </c>
      <c r="AE896" s="176">
        <f t="shared" si="83"/>
        <v>6.874228352911983</v>
      </c>
      <c r="AF896" s="176">
        <f t="shared" si="67"/>
        <v>179.58680930839307</v>
      </c>
      <c r="AG896" s="176">
        <f t="shared" si="84"/>
        <v>204.49392706610726</v>
      </c>
      <c r="AI896" s="176">
        <f t="shared" si="85"/>
        <v>6.949163487014422</v>
      </c>
      <c r="AJ896" s="176">
        <f t="shared" si="68"/>
        <v>301.01908510166646</v>
      </c>
      <c r="AK896" s="176">
        <f t="shared" si="86"/>
        <v>196.03942458823792</v>
      </c>
      <c r="AM896" s="176">
        <f t="shared" si="87"/>
        <v>7.509304057031096</v>
      </c>
      <c r="AN896" s="176">
        <f t="shared" si="69"/>
        <v>6.023004971409023</v>
      </c>
      <c r="AO896" s="176">
        <f t="shared" si="88"/>
        <v>259.87892116182474</v>
      </c>
      <c r="AQ896" s="176">
        <f t="shared" si="89"/>
        <v>9.767451591071808</v>
      </c>
      <c r="AR896" s="176">
        <f t="shared" si="70"/>
        <v>2022.8054128641925</v>
      </c>
      <c r="AS896" s="176">
        <f t="shared" si="90"/>
        <v>257.0003235960461</v>
      </c>
      <c r="AU896" s="176">
        <f t="shared" si="91"/>
        <v>7.829971693164347</v>
      </c>
      <c r="AV896" s="176">
        <f t="shared" si="71"/>
        <v>0.25758732146812235</v>
      </c>
      <c r="AW896" s="176">
        <f t="shared" si="92"/>
        <v>276.06711613759217</v>
      </c>
      <c r="AY896" s="176">
        <f t="shared" si="93"/>
        <v>7.240495342526964</v>
      </c>
      <c r="AZ896" s="176">
        <f t="shared" si="72"/>
        <v>510.56041884956807</v>
      </c>
      <c r="BA896" s="176">
        <f t="shared" si="94"/>
        <v>193.78670294824005</v>
      </c>
      <c r="BC896" s="176">
        <f t="shared" si="95"/>
        <v>6.910100519221406</v>
      </c>
      <c r="BD896" s="176">
        <f t="shared" si="73"/>
        <v>258.59348970366693</v>
      </c>
      <c r="BE896" s="176">
        <f t="shared" si="96"/>
        <v>198.0876143260465</v>
      </c>
      <c r="BG896" s="176">
        <f t="shared" si="97"/>
        <v>7.2404953425269625</v>
      </c>
      <c r="BH896" s="176">
        <f t="shared" si="74"/>
        <v>510.56041884956755</v>
      </c>
      <c r="BI896" s="176">
        <f t="shared" si="98"/>
        <v>193.78670294824005</v>
      </c>
    </row>
    <row r="897" spans="11:61" ht="12.75">
      <c r="K897" s="176">
        <f t="shared" si="60"/>
        <v>13.398741189211725</v>
      </c>
      <c r="L897" s="176">
        <f t="shared" si="61"/>
        <v>55.493521296816546</v>
      </c>
      <c r="M897" s="176">
        <f t="shared" si="62"/>
        <v>295.9654469163549</v>
      </c>
      <c r="O897" s="176">
        <f t="shared" si="75"/>
        <v>7.829038632664164</v>
      </c>
      <c r="P897" s="176">
        <f t="shared" si="63"/>
        <v>-0.0004105286104163497</v>
      </c>
      <c r="Q897" s="176">
        <f t="shared" si="76"/>
        <v>276.5070968359142</v>
      </c>
      <c r="S897" s="176">
        <f t="shared" si="77"/>
        <v>1.8966233191057151</v>
      </c>
      <c r="T897" s="176">
        <f t="shared" si="64"/>
        <v>-100.23890013756639</v>
      </c>
      <c r="U897" s="176">
        <f t="shared" si="78"/>
        <v>269.73581936268585</v>
      </c>
      <c r="W897" s="176">
        <f t="shared" si="79"/>
        <v>7.4861278604219885</v>
      </c>
      <c r="X897" s="176">
        <f t="shared" si="65"/>
        <v>-0.08294332447439956</v>
      </c>
      <c r="Y897" s="176">
        <f t="shared" si="80"/>
        <v>263.4577363519643</v>
      </c>
      <c r="AA897" s="176">
        <f t="shared" si="81"/>
        <v>5.413660688360897</v>
      </c>
      <c r="AB897" s="176">
        <f t="shared" si="66"/>
        <v>-45.039896323230096</v>
      </c>
      <c r="AC897" s="176">
        <f t="shared" si="82"/>
        <v>225.37176860136867</v>
      </c>
      <c r="AE897" s="176">
        <f t="shared" si="83"/>
        <v>5.996027166769483</v>
      </c>
      <c r="AF897" s="176">
        <f t="shared" si="67"/>
        <v>-22.53343567011632</v>
      </c>
      <c r="AG897" s="176">
        <f t="shared" si="84"/>
        <v>230.1525529318891</v>
      </c>
      <c r="AI897" s="176">
        <f t="shared" si="85"/>
        <v>5.413660688360895</v>
      </c>
      <c r="AJ897" s="176">
        <f t="shared" si="68"/>
        <v>-45.03989632323015</v>
      </c>
      <c r="AK897" s="176">
        <f t="shared" si="86"/>
        <v>225.37176860136856</v>
      </c>
      <c r="AM897" s="176">
        <f t="shared" si="87"/>
        <v>7.4861278604219885</v>
      </c>
      <c r="AN897" s="176">
        <f t="shared" si="69"/>
        <v>-0.08294332447439956</v>
      </c>
      <c r="AO897" s="176">
        <f t="shared" si="88"/>
        <v>263.4577363519643</v>
      </c>
      <c r="AQ897" s="176">
        <f t="shared" si="89"/>
        <v>1.8966233191057214</v>
      </c>
      <c r="AR897" s="176">
        <f t="shared" si="70"/>
        <v>-100.2389001375662</v>
      </c>
      <c r="AS897" s="176">
        <f t="shared" si="90"/>
        <v>269.73581936268505</v>
      </c>
      <c r="AU897" s="176">
        <f t="shared" si="91"/>
        <v>7.829038632664162</v>
      </c>
      <c r="AV897" s="176">
        <f t="shared" si="71"/>
        <v>-0.00041052861024581944</v>
      </c>
      <c r="AW897" s="176">
        <f t="shared" si="92"/>
        <v>276.50709683581186</v>
      </c>
      <c r="AY897" s="176">
        <f t="shared" si="93"/>
        <v>4.605843887695528</v>
      </c>
      <c r="AZ897" s="176">
        <f t="shared" si="72"/>
        <v>-77.73101455563952</v>
      </c>
      <c r="BA897" s="176">
        <f t="shared" si="94"/>
        <v>223.29004177246898</v>
      </c>
      <c r="BC897" s="176">
        <f t="shared" si="95"/>
        <v>5.604650450657152</v>
      </c>
      <c r="BD897" s="176">
        <f t="shared" si="73"/>
        <v>-37.22707641362439</v>
      </c>
      <c r="BE897" s="176">
        <f t="shared" si="96"/>
        <v>226.60427483269234</v>
      </c>
      <c r="BG897" s="176">
        <f t="shared" si="97"/>
        <v>4.605843887695529</v>
      </c>
      <c r="BH897" s="176">
        <f t="shared" si="74"/>
        <v>-77.73101455563949</v>
      </c>
      <c r="BI897" s="176">
        <f t="shared" si="98"/>
        <v>223.290041772469</v>
      </c>
    </row>
    <row r="898" spans="11:61" ht="12.75">
      <c r="K898" s="176">
        <f t="shared" si="60"/>
        <v>12.005464501676283</v>
      </c>
      <c r="L898" s="176">
        <f t="shared" si="61"/>
        <v>85.21675729757264</v>
      </c>
      <c r="M898" s="176">
        <f t="shared" si="62"/>
        <v>454.4893722537207</v>
      </c>
      <c r="O898" s="176">
        <f t="shared" si="75"/>
        <v>7.829040117358826</v>
      </c>
      <c r="P898" s="176">
        <f t="shared" si="63"/>
        <v>-4.871066039413563E-08</v>
      </c>
      <c r="Q898" s="176">
        <f t="shared" si="76"/>
        <v>276.474288227769</v>
      </c>
      <c r="S898" s="176">
        <f t="shared" si="77"/>
        <v>2.2682421140229208</v>
      </c>
      <c r="T898" s="176">
        <f t="shared" si="64"/>
        <v>-80.51023444003539</v>
      </c>
      <c r="U898" s="176">
        <f t="shared" si="78"/>
        <v>53.08844968922098</v>
      </c>
      <c r="W898" s="176">
        <f t="shared" si="79"/>
        <v>7.486442686342923</v>
      </c>
      <c r="X898" s="176">
        <f t="shared" si="65"/>
        <v>-0.000248217521971128</v>
      </c>
      <c r="Y898" s="176">
        <f t="shared" si="80"/>
        <v>262.6693085083864</v>
      </c>
      <c r="AA898" s="176">
        <f t="shared" si="81"/>
        <v>5.613507796997185</v>
      </c>
      <c r="AB898" s="176">
        <f t="shared" si="66"/>
        <v>-8.374851888005992</v>
      </c>
      <c r="AC898" s="176">
        <f t="shared" si="82"/>
        <v>183.46547360839114</v>
      </c>
      <c r="AE898" s="176">
        <f t="shared" si="83"/>
        <v>6.093933687392719</v>
      </c>
      <c r="AF898" s="176">
        <f t="shared" si="67"/>
        <v>-2.447325555561406</v>
      </c>
      <c r="AG898" s="176">
        <f t="shared" si="84"/>
        <v>205.1559996892389</v>
      </c>
      <c r="AI898" s="176">
        <f t="shared" si="85"/>
        <v>5.613507796997183</v>
      </c>
      <c r="AJ898" s="176">
        <f t="shared" si="68"/>
        <v>-8.374851888005821</v>
      </c>
      <c r="AK898" s="176">
        <f t="shared" si="86"/>
        <v>183.46547360839145</v>
      </c>
      <c r="AM898" s="176">
        <f t="shared" si="87"/>
        <v>7.486442686342923</v>
      </c>
      <c r="AN898" s="176">
        <f t="shared" si="69"/>
        <v>-0.000248217521971128</v>
      </c>
      <c r="AO898" s="176">
        <f t="shared" si="88"/>
        <v>262.6693085083864</v>
      </c>
      <c r="AQ898" s="176">
        <f t="shared" si="89"/>
        <v>2.2682421140229274</v>
      </c>
      <c r="AR898" s="176">
        <f t="shared" si="70"/>
        <v>-80.51023444003508</v>
      </c>
      <c r="AS898" s="176">
        <f t="shared" si="90"/>
        <v>53.08844968922126</v>
      </c>
      <c r="AU898" s="176">
        <f t="shared" si="91"/>
        <v>7.829040117358822</v>
      </c>
      <c r="AV898" s="176">
        <f t="shared" si="71"/>
        <v>-4.871083092439221E-08</v>
      </c>
      <c r="AW898" s="176">
        <f t="shared" si="92"/>
        <v>276.47428816344467</v>
      </c>
      <c r="AY898" s="176">
        <f t="shared" si="93"/>
        <v>4.953960686539817</v>
      </c>
      <c r="AZ898" s="176">
        <f t="shared" si="72"/>
        <v>-24.35142513956461</v>
      </c>
      <c r="BA898" s="176">
        <f t="shared" si="94"/>
        <v>153.33816004654022</v>
      </c>
      <c r="BC898" s="176">
        <f t="shared" si="95"/>
        <v>5.768932772520277</v>
      </c>
      <c r="BD898" s="176">
        <f t="shared" si="73"/>
        <v>-5.92037739051176</v>
      </c>
      <c r="BE898" s="176">
        <f t="shared" si="96"/>
        <v>190.56645090027692</v>
      </c>
      <c r="BG898" s="176">
        <f t="shared" si="97"/>
        <v>4.953960686539817</v>
      </c>
      <c r="BH898" s="176">
        <f t="shared" si="74"/>
        <v>-24.351425139564697</v>
      </c>
      <c r="BI898" s="176">
        <f t="shared" si="98"/>
        <v>153.33816004654028</v>
      </c>
    </row>
    <row r="899" spans="11:61" ht="12.75">
      <c r="K899" s="176">
        <f t="shared" si="60"/>
        <v>14.957043959314799</v>
      </c>
      <c r="L899" s="176">
        <f t="shared" si="61"/>
        <v>22.249728867950957</v>
      </c>
      <c r="M899" s="176">
        <f t="shared" si="62"/>
        <v>118.66522062907177</v>
      </c>
      <c r="O899" s="176">
        <f t="shared" si="75"/>
        <v>7.829040117535011</v>
      </c>
      <c r="P899" s="176">
        <f t="shared" si="63"/>
        <v>0</v>
      </c>
      <c r="Q899" s="176">
        <f t="shared" si="76"/>
        <v>276.47405062333956</v>
      </c>
      <c r="S899" s="176">
        <f t="shared" si="77"/>
        <v>3.784772261566146</v>
      </c>
      <c r="T899" s="176">
        <f t="shared" si="64"/>
        <v>65.59178926988653</v>
      </c>
      <c r="U899" s="176">
        <f t="shared" si="78"/>
        <v>96.33967642951696</v>
      </c>
      <c r="W899" s="176">
        <f t="shared" si="79"/>
        <v>7.486443631323985</v>
      </c>
      <c r="X899" s="176">
        <f t="shared" si="65"/>
        <v>1.0283997653459664E-08</v>
      </c>
      <c r="Y899" s="176">
        <f t="shared" si="80"/>
        <v>262.6801912840809</v>
      </c>
      <c r="AA899" s="176">
        <f t="shared" si="81"/>
        <v>5.65915590573007</v>
      </c>
      <c r="AB899" s="176">
        <f t="shared" si="66"/>
        <v>0.33714504954667746</v>
      </c>
      <c r="AC899" s="176">
        <f t="shared" si="82"/>
        <v>190.85121332259183</v>
      </c>
      <c r="AE899" s="176">
        <f t="shared" si="83"/>
        <v>6.105862783101684</v>
      </c>
      <c r="AF899" s="176">
        <f t="shared" si="67"/>
        <v>0.04096646900711676</v>
      </c>
      <c r="AG899" s="176">
        <f t="shared" si="84"/>
        <v>208.59016351913482</v>
      </c>
      <c r="AI899" s="176">
        <f t="shared" si="85"/>
        <v>5.659155905730067</v>
      </c>
      <c r="AJ899" s="176">
        <f t="shared" si="68"/>
        <v>0.3371450495466206</v>
      </c>
      <c r="AK899" s="176">
        <f t="shared" si="86"/>
        <v>190.85121332259055</v>
      </c>
      <c r="AM899" s="176">
        <f t="shared" si="87"/>
        <v>7.486443631323985</v>
      </c>
      <c r="AN899" s="176">
        <f t="shared" si="69"/>
        <v>1.0283997653459664E-08</v>
      </c>
      <c r="AO899" s="176">
        <f t="shared" si="88"/>
        <v>262.6801912840809</v>
      </c>
      <c r="AQ899" s="176">
        <f t="shared" si="89"/>
        <v>3.7847722615661388</v>
      </c>
      <c r="AR899" s="176">
        <f t="shared" si="70"/>
        <v>65.5917892698854</v>
      </c>
      <c r="AS899" s="176">
        <f t="shared" si="90"/>
        <v>96.33967642951689</v>
      </c>
      <c r="AU899" s="176">
        <f t="shared" si="91"/>
        <v>7.829040117535008</v>
      </c>
      <c r="AV899" s="176">
        <f t="shared" si="71"/>
        <v>0</v>
      </c>
      <c r="AW899" s="176">
        <f t="shared" si="92"/>
        <v>276.47362477819</v>
      </c>
      <c r="AY899" s="176">
        <f t="shared" si="93"/>
        <v>5.1127693296862695</v>
      </c>
      <c r="AZ899" s="176">
        <f t="shared" si="72"/>
        <v>2.2915698779412708</v>
      </c>
      <c r="BA899" s="176">
        <f t="shared" si="94"/>
        <v>167.76791545870654</v>
      </c>
      <c r="BC899" s="176">
        <f t="shared" si="95"/>
        <v>5.800000032064349</v>
      </c>
      <c r="BD899" s="176">
        <f t="shared" si="73"/>
        <v>0.184919745144839</v>
      </c>
      <c r="BE899" s="176">
        <f t="shared" si="96"/>
        <v>196.51868961906675</v>
      </c>
      <c r="BG899" s="176">
        <f t="shared" si="97"/>
        <v>5.11276932968627</v>
      </c>
      <c r="BH899" s="176">
        <f t="shared" si="74"/>
        <v>2.291569877941413</v>
      </c>
      <c r="BI899" s="176">
        <f t="shared" si="98"/>
        <v>167.76791545870705</v>
      </c>
    </row>
    <row r="900" spans="11:61" ht="12.75">
      <c r="K900" s="176">
        <f t="shared" si="60"/>
        <v>11.730453757166707</v>
      </c>
      <c r="L900" s="176">
        <f t="shared" si="61"/>
        <v>91.08365318044362</v>
      </c>
      <c r="M900" s="176">
        <f t="shared" si="62"/>
        <v>485.7794836290326</v>
      </c>
      <c r="O900" s="176">
        <f t="shared" si="75"/>
        <v>7.829040117535011</v>
      </c>
      <c r="P900" s="176">
        <f t="shared" si="63"/>
        <v>0</v>
      </c>
      <c r="Q900" s="176">
        <f t="shared" si="76"/>
        <v>1</v>
      </c>
      <c r="S900" s="176">
        <f t="shared" si="77"/>
        <v>3.103933465954515</v>
      </c>
      <c r="T900" s="176">
        <f t="shared" si="64"/>
        <v>-13.720164284842284</v>
      </c>
      <c r="U900" s="176">
        <f t="shared" si="78"/>
        <v>116.49153083804369</v>
      </c>
      <c r="W900" s="176">
        <f t="shared" si="79"/>
        <v>7.486443631284835</v>
      </c>
      <c r="X900" s="176">
        <f t="shared" si="65"/>
        <v>0</v>
      </c>
      <c r="Y900" s="176">
        <f t="shared" si="80"/>
        <v>262.6818212754373</v>
      </c>
      <c r="AA900" s="176">
        <f t="shared" si="81"/>
        <v>5.657389372294535</v>
      </c>
      <c r="AB900" s="176">
        <f t="shared" si="66"/>
        <v>-0.0023510356615474848</v>
      </c>
      <c r="AC900" s="176">
        <f t="shared" si="82"/>
        <v>192.18208859174408</v>
      </c>
      <c r="AE900" s="176">
        <f t="shared" si="83"/>
        <v>6.105666386165625</v>
      </c>
      <c r="AF900" s="176">
        <f t="shared" si="67"/>
        <v>-7.229873313008284E-05</v>
      </c>
      <c r="AG900" s="176">
        <f t="shared" si="84"/>
        <v>208.95828908409857</v>
      </c>
      <c r="AI900" s="176">
        <f t="shared" si="85"/>
        <v>5.657389372294533</v>
      </c>
      <c r="AJ900" s="176">
        <f t="shared" si="68"/>
        <v>-0.0023510356613769545</v>
      </c>
      <c r="AK900" s="176">
        <f t="shared" si="86"/>
        <v>192.182088591712</v>
      </c>
      <c r="AM900" s="176">
        <f t="shared" si="87"/>
        <v>7.486443631284835</v>
      </c>
      <c r="AN900" s="176">
        <f t="shared" si="69"/>
        <v>0</v>
      </c>
      <c r="AO900" s="176">
        <f t="shared" si="88"/>
        <v>262.6818212754373</v>
      </c>
      <c r="AQ900" s="176">
        <f t="shared" si="89"/>
        <v>3.1039334659545195</v>
      </c>
      <c r="AR900" s="176">
        <f t="shared" si="70"/>
        <v>-13.720164284841971</v>
      </c>
      <c r="AS900" s="176">
        <f t="shared" si="90"/>
        <v>116.49153083804353</v>
      </c>
      <c r="AU900" s="176">
        <f t="shared" si="91"/>
        <v>7.829040117535008</v>
      </c>
      <c r="AV900" s="176">
        <f t="shared" si="71"/>
        <v>0</v>
      </c>
      <c r="AW900" s="176">
        <f t="shared" si="92"/>
        <v>1</v>
      </c>
      <c r="AY900" s="176">
        <f t="shared" si="93"/>
        <v>5.0991101632617735</v>
      </c>
      <c r="AZ900" s="176">
        <f t="shared" si="72"/>
        <v>-0.05741374266901289</v>
      </c>
      <c r="BA900" s="176">
        <f t="shared" si="94"/>
        <v>171.97122779012838</v>
      </c>
      <c r="BC900" s="176">
        <f t="shared" si="95"/>
        <v>5.799059054157855</v>
      </c>
      <c r="BD900" s="176">
        <f t="shared" si="73"/>
        <v>-0.000869270581517867</v>
      </c>
      <c r="BE900" s="176">
        <f t="shared" si="96"/>
        <v>197.4424845090289</v>
      </c>
      <c r="BG900" s="176">
        <f t="shared" si="97"/>
        <v>5.0991101632617735</v>
      </c>
      <c r="BH900" s="176">
        <f t="shared" si="74"/>
        <v>-0.057413742669098156</v>
      </c>
      <c r="BI900" s="176">
        <f t="shared" si="98"/>
        <v>171.97122779013384</v>
      </c>
    </row>
    <row r="901" spans="11:61" ht="12.75">
      <c r="K901" s="176">
        <f t="shared" si="60"/>
        <v>13.79266815514696</v>
      </c>
      <c r="L901" s="176">
        <f t="shared" si="61"/>
        <v>47.08974602353155</v>
      </c>
      <c r="M901" s="176">
        <f t="shared" si="62"/>
        <v>251.14531212550156</v>
      </c>
      <c r="O901" s="176">
        <f t="shared" si="75"/>
        <v>7.829040117535011</v>
      </c>
      <c r="P901" s="176">
        <f t="shared" si="63"/>
        <v>0</v>
      </c>
      <c r="Q901" s="176">
        <f t="shared" si="76"/>
        <v>1</v>
      </c>
      <c r="S901" s="176">
        <f t="shared" si="77"/>
        <v>3.2217116785519373</v>
      </c>
      <c r="T901" s="176">
        <f t="shared" si="64"/>
        <v>-1.6623805123444981</v>
      </c>
      <c r="U901" s="176">
        <f t="shared" si="78"/>
        <v>102.37703142696263</v>
      </c>
      <c r="W901" s="176">
        <f t="shared" si="79"/>
        <v>7.486443631284835</v>
      </c>
      <c r="X901" s="176">
        <f t="shared" si="65"/>
        <v>0</v>
      </c>
      <c r="Y901" s="176">
        <f t="shared" si="80"/>
        <v>1</v>
      </c>
      <c r="AA901" s="176">
        <f t="shared" si="81"/>
        <v>5.657401605670073</v>
      </c>
      <c r="AB901" s="176">
        <f t="shared" si="66"/>
        <v>-6.518287136714207E-07</v>
      </c>
      <c r="AC901" s="176">
        <f t="shared" si="82"/>
        <v>192.1288057793632</v>
      </c>
      <c r="AE901" s="176">
        <f t="shared" si="83"/>
        <v>6.105666732161629</v>
      </c>
      <c r="AF901" s="176">
        <f t="shared" si="67"/>
        <v>-2.129070253431564E-09</v>
      </c>
      <c r="AG901" s="176">
        <f t="shared" si="84"/>
        <v>208.95213575607622</v>
      </c>
      <c r="AI901" s="176">
        <f t="shared" si="85"/>
        <v>5.657401605670071</v>
      </c>
      <c r="AJ901" s="176">
        <f t="shared" si="68"/>
        <v>-6.518287705148396E-07</v>
      </c>
      <c r="AK901" s="176">
        <f t="shared" si="86"/>
        <v>192.12880577472598</v>
      </c>
      <c r="AM901" s="176">
        <f t="shared" si="87"/>
        <v>7.486443631284835</v>
      </c>
      <c r="AN901" s="176">
        <f t="shared" si="69"/>
        <v>0</v>
      </c>
      <c r="AO901" s="176">
        <f t="shared" si="88"/>
        <v>1</v>
      </c>
      <c r="AQ901" s="176">
        <f t="shared" si="89"/>
        <v>3.221711678551939</v>
      </c>
      <c r="AR901" s="176">
        <f t="shared" si="70"/>
        <v>-1.6623805123444413</v>
      </c>
      <c r="AS901" s="176">
        <f t="shared" si="90"/>
        <v>102.37703142696277</v>
      </c>
      <c r="AU901" s="176">
        <f t="shared" si="91"/>
        <v>7.829040117535008</v>
      </c>
      <c r="AV901" s="176">
        <f t="shared" si="71"/>
        <v>0</v>
      </c>
      <c r="AW901" s="176">
        <f t="shared" si="92"/>
        <v>1</v>
      </c>
      <c r="AY901" s="176">
        <f t="shared" si="93"/>
        <v>5.099444019938886</v>
      </c>
      <c r="AZ901" s="176">
        <f t="shared" si="72"/>
        <v>-0.00012947619757142093</v>
      </c>
      <c r="BA901" s="176">
        <f t="shared" si="94"/>
        <v>171.58340808652002</v>
      </c>
      <c r="BC901" s="176">
        <f t="shared" si="95"/>
        <v>5.799063456810018</v>
      </c>
      <c r="BD901" s="176">
        <f t="shared" si="73"/>
        <v>-1.2656516901188297E-07</v>
      </c>
      <c r="BE901" s="176">
        <f t="shared" si="96"/>
        <v>197.4137370390298</v>
      </c>
      <c r="BG901" s="176">
        <f t="shared" si="97"/>
        <v>5.099444019938887</v>
      </c>
      <c r="BH901" s="176">
        <f t="shared" si="74"/>
        <v>-0.00012947619759984264</v>
      </c>
      <c r="BI901" s="176">
        <f t="shared" si="98"/>
        <v>171.58340808623382</v>
      </c>
    </row>
    <row r="902" spans="11:61" ht="12.75">
      <c r="K902" s="176">
        <f t="shared" si="60"/>
        <v>13.29609410936099</v>
      </c>
      <c r="L902" s="176">
        <f t="shared" si="61"/>
        <v>57.683325666965544</v>
      </c>
      <c r="M902" s="176">
        <f t="shared" si="62"/>
        <v>307.64440355714953</v>
      </c>
      <c r="O902" s="176">
        <f aca="true" t="shared" si="99" ref="O902:O907">O901-P901/Q901</f>
        <v>7.829040117535011</v>
      </c>
      <c r="P902" s="176">
        <f t="shared" si="63"/>
        <v>0</v>
      </c>
      <c r="Q902" s="176">
        <f t="shared" si="76"/>
        <v>1</v>
      </c>
      <c r="S902" s="176">
        <f aca="true" t="shared" si="100" ref="S902:S907">S901-T901/U901</f>
        <v>3.2379495054274945</v>
      </c>
      <c r="T902" s="176">
        <f t="shared" si="64"/>
        <v>0.053360078845173575</v>
      </c>
      <c r="U902" s="176">
        <f t="shared" si="78"/>
        <v>105.66319029872012</v>
      </c>
      <c r="W902" s="176">
        <f t="shared" si="79"/>
        <v>7.486443631284835</v>
      </c>
      <c r="X902" s="176">
        <f t="shared" si="65"/>
        <v>0</v>
      </c>
      <c r="Y902" s="176">
        <f t="shared" si="80"/>
        <v>1</v>
      </c>
      <c r="AA902" s="176">
        <f t="shared" si="81"/>
        <v>5.657401609062738</v>
      </c>
      <c r="AB902" s="176">
        <f t="shared" si="66"/>
        <v>1.3073986337985843E-12</v>
      </c>
      <c r="AC902" s="176">
        <f t="shared" si="82"/>
        <v>192.12921301397637</v>
      </c>
      <c r="AE902" s="176">
        <f t="shared" si="83"/>
        <v>6.1056667321718185</v>
      </c>
      <c r="AF902" s="176">
        <f t="shared" si="67"/>
        <v>0</v>
      </c>
      <c r="AG902" s="176">
        <f t="shared" si="84"/>
        <v>208.9539748953975</v>
      </c>
      <c r="AI902" s="176">
        <f t="shared" si="85"/>
        <v>5.657401609062736</v>
      </c>
      <c r="AJ902" s="176">
        <f t="shared" si="68"/>
        <v>1.4779288903810084E-12</v>
      </c>
      <c r="AK902" s="176">
        <f t="shared" si="86"/>
        <v>192.12922973494437</v>
      </c>
      <c r="AM902" s="176">
        <f t="shared" si="87"/>
        <v>7.486443631284835</v>
      </c>
      <c r="AN902" s="176">
        <f t="shared" si="69"/>
        <v>0</v>
      </c>
      <c r="AO902" s="176">
        <f t="shared" si="88"/>
        <v>1</v>
      </c>
      <c r="AQ902" s="176">
        <f t="shared" si="89"/>
        <v>3.237949505427496</v>
      </c>
      <c r="AR902" s="176">
        <f t="shared" si="70"/>
        <v>0.053360078845187786</v>
      </c>
      <c r="AS902" s="176">
        <f t="shared" si="90"/>
        <v>105.6631902987204</v>
      </c>
      <c r="AU902" s="176">
        <f t="shared" si="91"/>
        <v>7.829040117535008</v>
      </c>
      <c r="AV902" s="176">
        <f t="shared" si="71"/>
        <v>0</v>
      </c>
      <c r="AW902" s="176">
        <f t="shared" si="92"/>
        <v>1</v>
      </c>
      <c r="AY902" s="176">
        <f t="shared" si="93"/>
        <v>5.099444774535144</v>
      </c>
      <c r="AZ902" s="176">
        <f t="shared" si="72"/>
        <v>7.345278163484181E-09</v>
      </c>
      <c r="BA902" s="176">
        <f t="shared" si="94"/>
        <v>171.59314211559848</v>
      </c>
      <c r="BC902" s="176">
        <f t="shared" si="95"/>
        <v>5.799063457451134</v>
      </c>
      <c r="BD902" s="176">
        <f t="shared" si="73"/>
        <v>0</v>
      </c>
      <c r="BE902" s="176">
        <f t="shared" si="96"/>
        <v>197.41368432864667</v>
      </c>
      <c r="BG902" s="176">
        <f t="shared" si="97"/>
        <v>5.0994447745351446</v>
      </c>
      <c r="BH902" s="176">
        <f t="shared" si="74"/>
        <v>7.3453634286124725E-09</v>
      </c>
      <c r="BI902" s="176">
        <f t="shared" si="98"/>
        <v>171.59314226625764</v>
      </c>
    </row>
    <row r="903" spans="11:61" ht="12.75">
      <c r="K903" s="176">
        <f t="shared" si="60"/>
        <v>13.79266815514696</v>
      </c>
      <c r="L903" s="176">
        <f t="shared" si="61"/>
        <v>47.08974602353156</v>
      </c>
      <c r="M903" s="176">
        <f t="shared" si="62"/>
        <v>251.14531212550162</v>
      </c>
      <c r="O903" s="176">
        <f t="shared" si="99"/>
        <v>7.829040117535011</v>
      </c>
      <c r="P903" s="176">
        <f t="shared" si="63"/>
        <v>0</v>
      </c>
      <c r="Q903" s="176">
        <f t="shared" si="76"/>
        <v>1</v>
      </c>
      <c r="S903" s="176">
        <f t="shared" si="100"/>
        <v>3.2374445038399564</v>
      </c>
      <c r="T903" s="176">
        <f t="shared" si="64"/>
        <v>-0.0001958797274284052</v>
      </c>
      <c r="U903" s="176">
        <f t="shared" si="78"/>
        <v>106.05106972770398</v>
      </c>
      <c r="W903" s="176">
        <f t="shared" si="79"/>
        <v>7.486443631284835</v>
      </c>
      <c r="X903" s="176">
        <f t="shared" si="65"/>
        <v>0</v>
      </c>
      <c r="Y903" s="176">
        <f t="shared" si="80"/>
        <v>1</v>
      </c>
      <c r="AA903" s="176">
        <f t="shared" si="81"/>
        <v>5.657401609062731</v>
      </c>
      <c r="AB903" s="176">
        <f t="shared" si="66"/>
        <v>0</v>
      </c>
      <c r="AC903" s="176">
        <f t="shared" si="82"/>
        <v>184</v>
      </c>
      <c r="AE903" s="176">
        <f t="shared" si="83"/>
        <v>6.1056667321718185</v>
      </c>
      <c r="AF903" s="176">
        <f t="shared" si="67"/>
        <v>0</v>
      </c>
      <c r="AG903" s="176">
        <f t="shared" si="84"/>
        <v>1</v>
      </c>
      <c r="AI903" s="176">
        <f t="shared" si="85"/>
        <v>5.657401609062728</v>
      </c>
      <c r="AJ903" s="176">
        <f t="shared" si="68"/>
        <v>0</v>
      </c>
      <c r="AK903" s="176">
        <f t="shared" si="86"/>
        <v>184.88888888888889</v>
      </c>
      <c r="AM903" s="176">
        <f t="shared" si="87"/>
        <v>7.486443631284835</v>
      </c>
      <c r="AN903" s="176">
        <f t="shared" si="69"/>
        <v>0</v>
      </c>
      <c r="AO903" s="176">
        <f t="shared" si="88"/>
        <v>1</v>
      </c>
      <c r="AQ903" s="176">
        <f t="shared" si="89"/>
        <v>3.2374445038399577</v>
      </c>
      <c r="AR903" s="176">
        <f t="shared" si="70"/>
        <v>-0.00019587972744261606</v>
      </c>
      <c r="AS903" s="176">
        <f t="shared" si="90"/>
        <v>106.05106972776025</v>
      </c>
      <c r="AU903" s="176">
        <f t="shared" si="91"/>
        <v>7.829040117535008</v>
      </c>
      <c r="AV903" s="176">
        <f t="shared" si="71"/>
        <v>0</v>
      </c>
      <c r="AW903" s="176">
        <f t="shared" si="92"/>
        <v>1</v>
      </c>
      <c r="AY903" s="176">
        <f t="shared" si="93"/>
        <v>5.099444774492337</v>
      </c>
      <c r="AZ903" s="176">
        <f t="shared" si="72"/>
        <v>0</v>
      </c>
      <c r="BA903" s="176">
        <f t="shared" si="94"/>
        <v>171.5919993360445</v>
      </c>
      <c r="BC903" s="176">
        <f t="shared" si="95"/>
        <v>5.799063457451134</v>
      </c>
      <c r="BD903" s="176">
        <f t="shared" si="73"/>
        <v>0</v>
      </c>
      <c r="BE903" s="176">
        <f t="shared" si="96"/>
        <v>1</v>
      </c>
      <c r="BG903" s="176">
        <f t="shared" si="97"/>
        <v>5.099444774492338</v>
      </c>
      <c r="BH903" s="176">
        <f t="shared" si="74"/>
        <v>0</v>
      </c>
      <c r="BI903" s="176">
        <f t="shared" si="98"/>
        <v>171.59399120258942</v>
      </c>
    </row>
    <row r="904" spans="15:61" ht="12.75">
      <c r="O904" s="176">
        <f t="shared" si="99"/>
        <v>7.829040117535011</v>
      </c>
      <c r="P904" s="176">
        <f t="shared" si="63"/>
        <v>0</v>
      </c>
      <c r="Q904" s="176">
        <f t="shared" si="76"/>
        <v>1</v>
      </c>
      <c r="S904" s="176">
        <f t="shared" si="100"/>
        <v>3.2374463508720317</v>
      </c>
      <c r="T904" s="176">
        <f t="shared" si="64"/>
        <v>-2.292679823767685E-08</v>
      </c>
      <c r="U904" s="176">
        <f t="shared" si="78"/>
        <v>106.03865696259008</v>
      </c>
      <c r="W904" s="176">
        <f t="shared" si="79"/>
        <v>7.486443631284835</v>
      </c>
      <c r="X904" s="176">
        <f t="shared" si="65"/>
        <v>0</v>
      </c>
      <c r="Y904" s="176">
        <f t="shared" si="80"/>
        <v>1</v>
      </c>
      <c r="AA904" s="176">
        <f t="shared" si="81"/>
        <v>5.657401609062731</v>
      </c>
      <c r="AB904" s="176">
        <f t="shared" si="66"/>
        <v>0</v>
      </c>
      <c r="AC904" s="176">
        <f t="shared" si="82"/>
        <v>1</v>
      </c>
      <c r="AE904" s="176">
        <f t="shared" si="83"/>
        <v>6.1056667321718185</v>
      </c>
      <c r="AF904" s="176">
        <f t="shared" si="67"/>
        <v>0</v>
      </c>
      <c r="AG904" s="176">
        <f t="shared" si="84"/>
        <v>1</v>
      </c>
      <c r="AI904" s="176">
        <f t="shared" si="85"/>
        <v>5.657401609062728</v>
      </c>
      <c r="AJ904" s="176">
        <f t="shared" si="68"/>
        <v>0</v>
      </c>
      <c r="AK904" s="176">
        <f t="shared" si="86"/>
        <v>1</v>
      </c>
      <c r="AM904" s="176">
        <f t="shared" si="87"/>
        <v>7.486443631284835</v>
      </c>
      <c r="AN904" s="176">
        <f t="shared" si="69"/>
        <v>0</v>
      </c>
      <c r="AO904" s="176">
        <f t="shared" si="88"/>
        <v>1</v>
      </c>
      <c r="AQ904" s="176">
        <f t="shared" si="89"/>
        <v>3.2374463508720335</v>
      </c>
      <c r="AR904" s="176">
        <f t="shared" si="70"/>
        <v>-2.2926741394257988E-08</v>
      </c>
      <c r="AS904" s="176">
        <f t="shared" si="90"/>
        <v>106.03865697556422</v>
      </c>
      <c r="AU904" s="176">
        <f t="shared" si="91"/>
        <v>7.829040117535008</v>
      </c>
      <c r="AV904" s="176">
        <f t="shared" si="71"/>
        <v>0</v>
      </c>
      <c r="AW904" s="176">
        <f t="shared" si="92"/>
        <v>1</v>
      </c>
      <c r="AY904" s="176">
        <f t="shared" si="93"/>
        <v>5.099444774492337</v>
      </c>
      <c r="AZ904" s="176">
        <f t="shared" si="72"/>
        <v>0</v>
      </c>
      <c r="BA904" s="176">
        <f t="shared" si="94"/>
        <v>1</v>
      </c>
      <c r="BC904" s="176">
        <f t="shared" si="95"/>
        <v>5.799063457451134</v>
      </c>
      <c r="BD904" s="176">
        <f t="shared" si="73"/>
        <v>0</v>
      </c>
      <c r="BE904" s="176">
        <f t="shared" si="96"/>
        <v>1</v>
      </c>
      <c r="BG904" s="176">
        <f t="shared" si="97"/>
        <v>5.099444774492338</v>
      </c>
      <c r="BH904" s="176">
        <f t="shared" si="74"/>
        <v>0</v>
      </c>
      <c r="BI904" s="176">
        <f t="shared" si="98"/>
        <v>1</v>
      </c>
    </row>
    <row r="905" spans="15:61" ht="12.75">
      <c r="O905" s="176">
        <f t="shared" si="99"/>
        <v>7.829040117535011</v>
      </c>
      <c r="P905" s="176">
        <f t="shared" si="63"/>
        <v>0</v>
      </c>
      <c r="Q905" s="176">
        <f t="shared" si="76"/>
        <v>1</v>
      </c>
      <c r="S905" s="176">
        <f t="shared" si="100"/>
        <v>3.237446351088243</v>
      </c>
      <c r="T905" s="176">
        <f t="shared" si="64"/>
        <v>0</v>
      </c>
      <c r="U905" s="176">
        <f t="shared" si="78"/>
        <v>106.03875817731814</v>
      </c>
      <c r="W905" s="176">
        <f t="shared" si="79"/>
        <v>7.486443631284835</v>
      </c>
      <c r="X905" s="176">
        <f t="shared" si="65"/>
        <v>0</v>
      </c>
      <c r="Y905" s="176">
        <f t="shared" si="80"/>
        <v>1</v>
      </c>
      <c r="AA905" s="176">
        <f t="shared" si="81"/>
        <v>5.657401609062731</v>
      </c>
      <c r="AB905" s="176">
        <f t="shared" si="66"/>
        <v>0</v>
      </c>
      <c r="AC905" s="176">
        <f t="shared" si="82"/>
        <v>1</v>
      </c>
      <c r="AE905" s="176">
        <f t="shared" si="83"/>
        <v>6.1056667321718185</v>
      </c>
      <c r="AF905" s="176">
        <f t="shared" si="67"/>
        <v>0</v>
      </c>
      <c r="AG905" s="176">
        <f t="shared" si="84"/>
        <v>1</v>
      </c>
      <c r="AI905" s="176">
        <f t="shared" si="85"/>
        <v>5.657401609062728</v>
      </c>
      <c r="AJ905" s="176">
        <f t="shared" si="68"/>
        <v>0</v>
      </c>
      <c r="AK905" s="176">
        <f t="shared" si="86"/>
        <v>1</v>
      </c>
      <c r="AM905" s="176">
        <f t="shared" si="87"/>
        <v>7.486443631284835</v>
      </c>
      <c r="AN905" s="176">
        <f t="shared" si="69"/>
        <v>0</v>
      </c>
      <c r="AO905" s="176">
        <f t="shared" si="88"/>
        <v>1</v>
      </c>
      <c r="AQ905" s="176">
        <f t="shared" si="89"/>
        <v>3.2374463510882445</v>
      </c>
      <c r="AR905" s="176">
        <f t="shared" si="70"/>
        <v>0</v>
      </c>
      <c r="AS905" s="176">
        <f t="shared" si="90"/>
        <v>106.03871306976897</v>
      </c>
      <c r="AU905" s="176">
        <f t="shared" si="91"/>
        <v>7.829040117535008</v>
      </c>
      <c r="AV905" s="176">
        <f t="shared" si="71"/>
        <v>0</v>
      </c>
      <c r="AW905" s="176">
        <f t="shared" si="92"/>
        <v>1</v>
      </c>
      <c r="AY905" s="176">
        <f t="shared" si="93"/>
        <v>5.099444774492337</v>
      </c>
      <c r="AZ905" s="176">
        <f t="shared" si="72"/>
        <v>0</v>
      </c>
      <c r="BA905" s="176">
        <f t="shared" si="94"/>
        <v>1</v>
      </c>
      <c r="BC905" s="176">
        <f t="shared" si="95"/>
        <v>5.799063457451134</v>
      </c>
      <c r="BD905" s="176">
        <f t="shared" si="73"/>
        <v>0</v>
      </c>
      <c r="BE905" s="176">
        <f t="shared" si="96"/>
        <v>1</v>
      </c>
      <c r="BG905" s="176">
        <f t="shared" si="97"/>
        <v>5.099444774492338</v>
      </c>
      <c r="BH905" s="176">
        <f t="shared" si="74"/>
        <v>0</v>
      </c>
      <c r="BI905" s="176">
        <f t="shared" si="98"/>
        <v>1</v>
      </c>
    </row>
    <row r="906" spans="15:61" ht="12.75">
      <c r="O906" s="176">
        <f t="shared" si="99"/>
        <v>7.829040117535011</v>
      </c>
      <c r="P906" s="176">
        <f t="shared" si="63"/>
        <v>0</v>
      </c>
      <c r="Q906" s="176">
        <f>IF(O906-O905=0,1,(P906-P905)/(O906-O905))</f>
        <v>1</v>
      </c>
      <c r="S906" s="176">
        <f t="shared" si="100"/>
        <v>3.237446351088243</v>
      </c>
      <c r="T906" s="176">
        <f t="shared" si="64"/>
        <v>0</v>
      </c>
      <c r="U906" s="176">
        <f>IF(S906-S905=0,1,(T906-T905)/(S906-S905))</f>
        <v>1</v>
      </c>
      <c r="W906" s="176">
        <f>W905-X905/Y905</f>
        <v>7.486443631284835</v>
      </c>
      <c r="X906" s="176">
        <f t="shared" si="65"/>
        <v>0</v>
      </c>
      <c r="Y906" s="176">
        <f>IF(W906-W905=0,1,(X906-X905)/(W906-W905))</f>
        <v>1</v>
      </c>
      <c r="AA906" s="176">
        <f>AA905-AB905/AC905</f>
        <v>5.657401609062731</v>
      </c>
      <c r="AB906" s="176">
        <f t="shared" si="66"/>
        <v>0</v>
      </c>
      <c r="AC906" s="176">
        <f>IF(AA906-AA905=0,1,(AB906-AB905)/(AA906-AA905))</f>
        <v>1</v>
      </c>
      <c r="AE906" s="176">
        <f>AE905-AF905/AG905</f>
        <v>6.1056667321718185</v>
      </c>
      <c r="AF906" s="176">
        <f t="shared" si="67"/>
        <v>0</v>
      </c>
      <c r="AG906" s="176">
        <f>IF(AE906-AE905=0,1,(AF906-AF905)/(AE906-AE905))</f>
        <v>1</v>
      </c>
      <c r="AI906" s="176">
        <f>AI905-AJ905/AK905</f>
        <v>5.657401609062728</v>
      </c>
      <c r="AJ906" s="176">
        <f t="shared" si="68"/>
        <v>0</v>
      </c>
      <c r="AK906" s="176">
        <f>IF(AI906-AI905=0,1,(AJ906-AJ905)/(AI906-AI905))</f>
        <v>1</v>
      </c>
      <c r="AM906" s="176">
        <f>AM905-AN905/AO905</f>
        <v>7.486443631284835</v>
      </c>
      <c r="AN906" s="176">
        <f t="shared" si="69"/>
        <v>0</v>
      </c>
      <c r="AO906" s="176">
        <f>IF(AM906-AM905=0,1,(AN906-AN905)/(AM906-AM905))</f>
        <v>1</v>
      </c>
      <c r="AQ906" s="176">
        <f>AQ905-AR905/AS905</f>
        <v>3.2374463510882445</v>
      </c>
      <c r="AR906" s="176">
        <f t="shared" si="70"/>
        <v>0</v>
      </c>
      <c r="AS906" s="176">
        <f>IF(AQ906-AQ905=0,1,(AR906-AR905)/(AQ906-AQ905))</f>
        <v>1</v>
      </c>
      <c r="AU906" s="176">
        <f>AU905-AV905/AW905</f>
        <v>7.829040117535008</v>
      </c>
      <c r="AV906" s="176">
        <f t="shared" si="71"/>
        <v>0</v>
      </c>
      <c r="AW906" s="176">
        <f>IF(AU906-AU905=0,1,(AV906-AV905)/(AU906-AU905))</f>
        <v>1</v>
      </c>
      <c r="AY906" s="176">
        <f>AY905-AZ905/BA905</f>
        <v>5.099444774492337</v>
      </c>
      <c r="AZ906" s="176">
        <f t="shared" si="72"/>
        <v>0</v>
      </c>
      <c r="BA906" s="176">
        <f>IF(AY906-AY905=0,1,(AZ906-AZ905)/(AY906-AY905))</f>
        <v>1</v>
      </c>
      <c r="BC906" s="176">
        <f>BC905-BD905/BE905</f>
        <v>5.799063457451134</v>
      </c>
      <c r="BD906" s="176">
        <f t="shared" si="73"/>
        <v>0</v>
      </c>
      <c r="BE906" s="176">
        <f>IF(BC906-BC905=0,1,(BD906-BD905)/(BC906-BC905))</f>
        <v>1</v>
      </c>
      <c r="BG906" s="176">
        <f>BG905-BH905/BI905</f>
        <v>5.099444774492338</v>
      </c>
      <c r="BH906" s="176">
        <f t="shared" si="74"/>
        <v>0</v>
      </c>
      <c r="BI906" s="176">
        <f>IF(BG906-BG905=0,1,(BH906-BH905)/(BG906-BG905))</f>
        <v>1</v>
      </c>
    </row>
    <row r="907" spans="15:61" ht="12.75">
      <c r="O907" s="176">
        <f t="shared" si="99"/>
        <v>7.829040117535011</v>
      </c>
      <c r="P907" s="176">
        <f t="shared" si="63"/>
        <v>0</v>
      </c>
      <c r="Q907" s="176">
        <f>IF(O907-O906=0,1,(P907-P906)/(O907-O906))</f>
        <v>1</v>
      </c>
      <c r="S907" s="176">
        <f t="shared" si="100"/>
        <v>3.237446351088243</v>
      </c>
      <c r="T907" s="176">
        <f t="shared" si="64"/>
        <v>0</v>
      </c>
      <c r="U907" s="176">
        <f>IF(S907-S906=0,1,(T907-T906)/(S907-S906))</f>
        <v>1</v>
      </c>
      <c r="W907" s="176">
        <f>W906-X906/Y906</f>
        <v>7.486443631284835</v>
      </c>
      <c r="X907" s="176">
        <f t="shared" si="65"/>
        <v>0</v>
      </c>
      <c r="Y907" s="176">
        <f>IF(W907-W906=0,1,(X907-X906)/(W907-W906))</f>
        <v>1</v>
      </c>
      <c r="AA907" s="176">
        <f>AA906-AB906/AC906</f>
        <v>5.657401609062731</v>
      </c>
      <c r="AB907" s="176">
        <f t="shared" si="66"/>
        <v>0</v>
      </c>
      <c r="AC907" s="176">
        <f>IF(AA907-AA906=0,1,(AB907-AB906)/(AA907-AA906))</f>
        <v>1</v>
      </c>
      <c r="AE907" s="176">
        <f>AE906-AF906/AG906</f>
        <v>6.1056667321718185</v>
      </c>
      <c r="AF907" s="176">
        <f t="shared" si="67"/>
        <v>0</v>
      </c>
      <c r="AG907" s="176">
        <f>IF(AE907-AE906=0,1,(AF907-AF906)/(AE907-AE906))</f>
        <v>1</v>
      </c>
      <c r="AI907" s="176">
        <f>AI906-AJ906/AK906</f>
        <v>5.657401609062728</v>
      </c>
      <c r="AJ907" s="176">
        <f t="shared" si="68"/>
        <v>0</v>
      </c>
      <c r="AK907" s="176">
        <f>IF(AI907-AI906=0,1,(AJ907-AJ906)/(AI907-AI906))</f>
        <v>1</v>
      </c>
      <c r="AM907" s="176">
        <f>AM906-AN906/AO906</f>
        <v>7.486443631284835</v>
      </c>
      <c r="AN907" s="176">
        <f t="shared" si="69"/>
        <v>0</v>
      </c>
      <c r="AO907" s="176">
        <f>IF(AM907-AM906=0,1,(AN907-AN906)/(AM907-AM906))</f>
        <v>1</v>
      </c>
      <c r="AQ907" s="176">
        <f>AQ906-AR906/AS906</f>
        <v>3.2374463510882445</v>
      </c>
      <c r="AR907" s="176">
        <f t="shared" si="70"/>
        <v>0</v>
      </c>
      <c r="AS907" s="176">
        <f>IF(AQ907-AQ906=0,1,(AR907-AR906)/(AQ907-AQ906))</f>
        <v>1</v>
      </c>
      <c r="AU907" s="176">
        <f>AU906-AV906/AW906</f>
        <v>7.829040117535008</v>
      </c>
      <c r="AV907" s="176">
        <f t="shared" si="71"/>
        <v>0</v>
      </c>
      <c r="AW907" s="176">
        <f>IF(AU907-AU906=0,1,(AV907-AV906)/(AU907-AU906))</f>
        <v>1</v>
      </c>
      <c r="AY907" s="176">
        <f>AY906-AZ906/BA906</f>
        <v>5.099444774492337</v>
      </c>
      <c r="AZ907" s="176">
        <f t="shared" si="72"/>
        <v>0</v>
      </c>
      <c r="BA907" s="176">
        <f>IF(AY907-AY906=0,1,(AZ907-AZ906)/(AY907-AY906))</f>
        <v>1</v>
      </c>
      <c r="BC907" s="176">
        <f>BC906-BD906/BE906</f>
        <v>5.799063457451134</v>
      </c>
      <c r="BD907" s="176">
        <f t="shared" si="73"/>
        <v>0</v>
      </c>
      <c r="BE907" s="176">
        <f>IF(BC907-BC906=0,1,(BD907-BD906)/(BC907-BC906))</f>
        <v>1</v>
      </c>
      <c r="BG907" s="176">
        <f>BG906-BH906/BI906</f>
        <v>5.099444774492338</v>
      </c>
      <c r="BH907" s="176">
        <f t="shared" si="74"/>
        <v>0</v>
      </c>
      <c r="BI907" s="176">
        <f>IF(BG907-BG906=0,1,(BH907-BH906)/(BG907-BG906))</f>
        <v>1</v>
      </c>
    </row>
    <row r="908" spans="16:60" ht="12.75">
      <c r="P908" s="176" t="s">
        <v>734</v>
      </c>
      <c r="Q908" s="176" t="s">
        <v>399</v>
      </c>
      <c r="S908" s="176" t="s">
        <v>734</v>
      </c>
      <c r="T908" s="176" t="s">
        <v>400</v>
      </c>
      <c r="W908" s="176" t="s">
        <v>734</v>
      </c>
      <c r="X908" s="176" t="s">
        <v>417</v>
      </c>
      <c r="AA908" s="176" t="s">
        <v>293</v>
      </c>
      <c r="AB908" s="176" t="s">
        <v>403</v>
      </c>
      <c r="AE908" s="176" t="s">
        <v>293</v>
      </c>
      <c r="AF908" s="176" t="s">
        <v>400</v>
      </c>
      <c r="AI908" s="176" t="s">
        <v>293</v>
      </c>
      <c r="AJ908" s="176" t="s">
        <v>404</v>
      </c>
      <c r="AM908" s="176" t="s">
        <v>261</v>
      </c>
      <c r="AN908" s="176" t="s">
        <v>405</v>
      </c>
      <c r="AQ908" s="176" t="s">
        <v>261</v>
      </c>
      <c r="AR908" s="176" t="s">
        <v>406</v>
      </c>
      <c r="AU908" s="176" t="s">
        <v>261</v>
      </c>
      <c r="AV908" s="176" t="s">
        <v>418</v>
      </c>
      <c r="AY908" s="176" t="s">
        <v>298</v>
      </c>
      <c r="AZ908" s="176" t="s">
        <v>408</v>
      </c>
      <c r="BC908" s="176" t="s">
        <v>298</v>
      </c>
      <c r="BD908" s="176" t="s">
        <v>777</v>
      </c>
      <c r="BG908" s="176" t="s">
        <v>23</v>
      </c>
      <c r="BH908" s="176" t="s">
        <v>419</v>
      </c>
    </row>
    <row r="910" spans="12:61" ht="12.75">
      <c r="L910" s="176" t="s">
        <v>843</v>
      </c>
      <c r="O910" s="176">
        <f>K912</f>
        <v>11.711652938137842</v>
      </c>
      <c r="P910" s="176">
        <f>L912</f>
        <v>91.48473731972604</v>
      </c>
      <c r="Q910" s="176">
        <f>M912</f>
        <v>487.91859903853896</v>
      </c>
      <c r="S910" s="176">
        <f>K913</f>
        <v>14.680377243429488</v>
      </c>
      <c r="T910" s="176">
        <f>L913</f>
        <v>28.151952140170916</v>
      </c>
      <c r="U910" s="176">
        <f>M913</f>
        <v>150.1437447475782</v>
      </c>
      <c r="W910" s="176">
        <f>K914</f>
        <v>12.070544151421982</v>
      </c>
      <c r="X910" s="176">
        <f>L914</f>
        <v>83.82839143633105</v>
      </c>
      <c r="Y910" s="176">
        <f>M914</f>
        <v>447.0847543270989</v>
      </c>
      <c r="AA910" s="176">
        <f>K915</f>
        <v>13.383678213189112</v>
      </c>
      <c r="AB910" s="176">
        <f>L915</f>
        <v>55.81486478529895</v>
      </c>
      <c r="AC910" s="176">
        <f>M915</f>
        <v>297.6792788549277</v>
      </c>
      <c r="AE910" s="176">
        <f>K916</f>
        <v>13.405101197325248</v>
      </c>
      <c r="AF910" s="176">
        <f>L916</f>
        <v>55.357841123728036</v>
      </c>
      <c r="AG910" s="176">
        <f>M916</f>
        <v>295.2418193265496</v>
      </c>
      <c r="AI910" s="176">
        <f>K917</f>
        <v>13.383678213189114</v>
      </c>
      <c r="AJ910" s="176">
        <f>L917</f>
        <v>55.81486478529891</v>
      </c>
      <c r="AK910" s="176">
        <f>M917</f>
        <v>297.67927885492753</v>
      </c>
      <c r="AM910" s="176">
        <f>K918</f>
        <v>12.070544151421982</v>
      </c>
      <c r="AN910" s="176">
        <f>L918</f>
        <v>83.82839143633103</v>
      </c>
      <c r="AO910" s="176">
        <f>M918</f>
        <v>447.08475432709884</v>
      </c>
      <c r="AQ910" s="176">
        <f>K919</f>
        <v>14.680377243429488</v>
      </c>
      <c r="AR910" s="176">
        <f>L919</f>
        <v>28.151952140170913</v>
      </c>
      <c r="AS910" s="176">
        <f>M919</f>
        <v>150.14374474757818</v>
      </c>
      <c r="AU910" s="176">
        <f>K920</f>
        <v>11.711652938137842</v>
      </c>
      <c r="AV910" s="176">
        <f>L920</f>
        <v>91.48473731972601</v>
      </c>
      <c r="AW910" s="176">
        <f>M920</f>
        <v>487.9185990385387</v>
      </c>
      <c r="AY910" s="176">
        <f>K921</f>
        <v>13.72941034614617</v>
      </c>
      <c r="AZ910" s="176">
        <f>L921</f>
        <v>48.439245948881734</v>
      </c>
      <c r="BA910" s="176">
        <f>M921</f>
        <v>258.34264506070264</v>
      </c>
      <c r="BC910" s="176">
        <f>K922</f>
        <v>13.57661308285675</v>
      </c>
      <c r="BD910" s="176">
        <f>L922</f>
        <v>51.698920899055985</v>
      </c>
      <c r="BE910" s="176">
        <f>M922</f>
        <v>275.7275781282986</v>
      </c>
      <c r="BG910" s="176">
        <f>K923</f>
        <v>13.729410346146167</v>
      </c>
      <c r="BH910" s="176">
        <f>L923</f>
        <v>48.43924594888175</v>
      </c>
      <c r="BI910" s="176">
        <f>M923</f>
        <v>258.34264506070264</v>
      </c>
    </row>
    <row r="911" spans="11:61" ht="15">
      <c r="K911" s="260" t="s">
        <v>844</v>
      </c>
      <c r="L911" s="260" t="s">
        <v>845</v>
      </c>
      <c r="M911" s="260" t="s">
        <v>846</v>
      </c>
      <c r="O911" s="260" t="s">
        <v>847</v>
      </c>
      <c r="P911" s="260" t="s">
        <v>848</v>
      </c>
      <c r="Q911" s="205" t="s">
        <v>849</v>
      </c>
      <c r="S911" s="260" t="s">
        <v>847</v>
      </c>
      <c r="T911" s="260" t="s">
        <v>848</v>
      </c>
      <c r="U911" s="205" t="s">
        <v>849</v>
      </c>
      <c r="W911" s="260" t="s">
        <v>847</v>
      </c>
      <c r="X911" s="260" t="s">
        <v>848</v>
      </c>
      <c r="Y911" s="205" t="s">
        <v>849</v>
      </c>
      <c r="AA911" s="260" t="s">
        <v>847</v>
      </c>
      <c r="AB911" s="260" t="s">
        <v>848</v>
      </c>
      <c r="AC911" s="205" t="s">
        <v>849</v>
      </c>
      <c r="AD911" s="205"/>
      <c r="AE911" s="260" t="s">
        <v>847</v>
      </c>
      <c r="AF911" s="260" t="s">
        <v>848</v>
      </c>
      <c r="AG911" s="205" t="s">
        <v>849</v>
      </c>
      <c r="AH911" s="205"/>
      <c r="AI911" s="260" t="s">
        <v>847</v>
      </c>
      <c r="AJ911" s="260" t="s">
        <v>848</v>
      </c>
      <c r="AK911" s="205" t="s">
        <v>849</v>
      </c>
      <c r="AL911" s="205"/>
      <c r="AM911" s="260" t="s">
        <v>847</v>
      </c>
      <c r="AN911" s="260" t="s">
        <v>848</v>
      </c>
      <c r="AO911" s="205" t="s">
        <v>849</v>
      </c>
      <c r="AP911" s="205"/>
      <c r="AQ911" s="260" t="s">
        <v>847</v>
      </c>
      <c r="AR911" s="260" t="s">
        <v>848</v>
      </c>
      <c r="AS911" s="205" t="s">
        <v>849</v>
      </c>
      <c r="AT911" s="205"/>
      <c r="AU911" s="260" t="s">
        <v>847</v>
      </c>
      <c r="AV911" s="260" t="s">
        <v>848</v>
      </c>
      <c r="AW911" s="205" t="s">
        <v>849</v>
      </c>
      <c r="AX911" s="205"/>
      <c r="AY911" s="260" t="s">
        <v>847</v>
      </c>
      <c r="AZ911" s="260" t="s">
        <v>848</v>
      </c>
      <c r="BA911" s="205" t="s">
        <v>849</v>
      </c>
      <c r="BB911" s="205"/>
      <c r="BC911" s="260" t="s">
        <v>847</v>
      </c>
      <c r="BD911" s="260" t="s">
        <v>848</v>
      </c>
      <c r="BE911" s="205" t="s">
        <v>849</v>
      </c>
      <c r="BF911" s="205"/>
      <c r="BG911" s="260" t="s">
        <v>847</v>
      </c>
      <c r="BH911" s="260" t="s">
        <v>848</v>
      </c>
      <c r="BI911" s="205" t="s">
        <v>849</v>
      </c>
    </row>
    <row r="912" spans="11:60" ht="12.75">
      <c r="K912" s="176">
        <f aca="true" t="shared" si="101" ref="K912:K923">3*$D$657/30-3*C679*(D679+F679)/$H$657/E679^2</f>
        <v>11.711652938137842</v>
      </c>
      <c r="L912" s="176">
        <f aca="true" t="shared" si="102" ref="L912:L923">6*C679*(D679+F679)/15/$H$657/E679^2*$D$657</f>
        <v>91.48473731972604</v>
      </c>
      <c r="M912" s="176">
        <f aca="true" t="shared" si="103" ref="M912:M923">3*C679*(D679+F679)/15/15/$H$657/E679^2*$D$657^2</f>
        <v>487.91859903853896</v>
      </c>
      <c r="O912" s="176">
        <v>0</v>
      </c>
      <c r="P912" s="176">
        <f>O912^3+O$890*O912^2-P$890*O912-Q$890</f>
        <v>-485.7794836290329</v>
      </c>
      <c r="S912" s="176">
        <v>0</v>
      </c>
      <c r="T912" s="176">
        <f>S912^3+S$890*S912^2-T$890*S912-U$890</f>
        <v>-118.66522062907168</v>
      </c>
      <c r="W912" s="176">
        <v>0</v>
      </c>
      <c r="X912" s="176">
        <f>W912^3+W$890*W912^2-X$890*W912-Y$890</f>
        <v>-454.4893722537207</v>
      </c>
      <c r="AA912" s="176">
        <v>0</v>
      </c>
      <c r="AB912" s="176">
        <f>AA912^3+AA$890*AA912^2-AB$890*AA912-AC$890</f>
        <v>-295.9654469163551</v>
      </c>
      <c r="AE912" s="176">
        <v>0</v>
      </c>
      <c r="AF912" s="176">
        <f>AE912^3+AE$890*AE912^2-AF$890*AE912-AG$890</f>
        <v>-333.30381360100205</v>
      </c>
      <c r="AI912" s="176">
        <v>0</v>
      </c>
      <c r="AJ912" s="176">
        <f>AI912^3+AI$890*AI912^2-AJ$890*AI912-AK$890</f>
        <v>-295.9654469163549</v>
      </c>
      <c r="AM912" s="176">
        <v>0</v>
      </c>
      <c r="AN912" s="176">
        <f>AM912^3+AM$890*AM912^2-AN$890*AM912-AO$890</f>
        <v>-454.4893722537207</v>
      </c>
      <c r="AQ912" s="176">
        <v>0</v>
      </c>
      <c r="AR912" s="176">
        <f>AQ912^3+AQ$890*AQ912^2-AR$890*AQ912-AS$890</f>
        <v>-118.66522062907177</v>
      </c>
      <c r="AU912" s="176">
        <v>0</v>
      </c>
      <c r="AV912" s="176">
        <f>AU912^3+AU$890*AU912^2-AV$890*AU912-AW$890</f>
        <v>-485.7794836290326</v>
      </c>
      <c r="AY912" s="176">
        <v>0</v>
      </c>
      <c r="AZ912" s="176">
        <f>AY912^3+AY$890*AY912^2-AZ$890*AY912-BA$890</f>
        <v>-251.14531212550156</v>
      </c>
      <c r="BC912" s="176">
        <v>0</v>
      </c>
      <c r="BD912" s="176">
        <f>BC912^3+BC$890*BC912^2-BD$890*BC912-BE$890</f>
        <v>-307.64440355714953</v>
      </c>
      <c r="BG912" s="176">
        <v>0</v>
      </c>
      <c r="BH912" s="176">
        <f>BG912^3+BG$890*BG912^2-BH$890*BG912-BI$890</f>
        <v>-251.14531212550162</v>
      </c>
    </row>
    <row r="913" spans="11:61" ht="12.75">
      <c r="K913" s="176">
        <f t="shared" si="101"/>
        <v>14.680377243429488</v>
      </c>
      <c r="L913" s="176">
        <f t="shared" si="102"/>
        <v>28.151952140170916</v>
      </c>
      <c r="M913" s="176">
        <f t="shared" si="103"/>
        <v>150.1437447475782</v>
      </c>
      <c r="O913" s="176">
        <f>$L$59</f>
        <v>8</v>
      </c>
      <c r="P913" s="176">
        <f aca="true" t="shared" si="104" ref="P913:P927">O913^3+O$890*O913^2-P$890*O913-Q$890</f>
        <v>48.30033138608684</v>
      </c>
      <c r="Q913" s="176">
        <f>IF(O913-O912=0,1,(P913-P912)/(O913-O912))</f>
        <v>66.75997687688997</v>
      </c>
      <c r="S913" s="176">
        <f>$L$59</f>
        <v>8</v>
      </c>
      <c r="T913" s="176">
        <f aca="true" t="shared" si="105" ref="T913:T927">S913^3+S$890*S913^2-T$890*S913-U$890</f>
        <v>1172.5877618234679</v>
      </c>
      <c r="U913" s="176">
        <f>IF(S913-S912=0,1,(T913-T912)/(S913-S912))</f>
        <v>161.40662280656744</v>
      </c>
      <c r="W913" s="176">
        <f>$L$59</f>
        <v>8</v>
      </c>
      <c r="X913" s="176">
        <f aca="true" t="shared" si="106" ref="X913:X927">W913^3+W$890*W913^2-X$890*W913-Y$890</f>
        <v>144.12629747298024</v>
      </c>
      <c r="Y913" s="176">
        <f>IF(W913-W912=0,1,(X913-X912)/(W913-W912))</f>
        <v>74.82695871583762</v>
      </c>
      <c r="AA913" s="176">
        <f>$L$59</f>
        <v>8</v>
      </c>
      <c r="AB913" s="176">
        <f aca="true" t="shared" si="107" ref="AB913:AB927">AA913^3+AA$890*AA913^2-AB$890*AA913-AC$890</f>
        <v>629.6058188186626</v>
      </c>
      <c r="AC913" s="176">
        <f>IF(AA913-AA912=0,1,(AB913-AB912)/(AA913-AA912))</f>
        <v>115.69640821687722</v>
      </c>
      <c r="AE913" s="176">
        <f>$L$59</f>
        <v>8</v>
      </c>
      <c r="AF913" s="176">
        <f aca="true" t="shared" si="108" ref="AF913:AF927">AE913^3+AE$890*AE913^2-AF$890*AE913-AG$890</f>
        <v>515.2570708469311</v>
      </c>
      <c r="AG913" s="176">
        <f>IF(AE913-AE912=0,1,(AF913-AF912)/(AE913-AE912))</f>
        <v>106.07011055599165</v>
      </c>
      <c r="AI913" s="176">
        <f>$L$59</f>
        <v>8</v>
      </c>
      <c r="AJ913" s="176">
        <f aca="true" t="shared" si="109" ref="AJ913:AJ927">AI913^3+AI$890*AI913^2-AJ$890*AI913-AK$890</f>
        <v>629.6058188186632</v>
      </c>
      <c r="AK913" s="176">
        <f>IF(AI913-AI912=0,1,(AJ913-AJ912)/(AI913-AI912))</f>
        <v>115.69640821687727</v>
      </c>
      <c r="AM913" s="176">
        <f>$L$59</f>
        <v>8</v>
      </c>
      <c r="AN913" s="176">
        <f aca="true" t="shared" si="110" ref="AN913:AN927">AM913^3+AM$890*AM913^2-AN$890*AM913-AO$890</f>
        <v>144.12629747298024</v>
      </c>
      <c r="AO913" s="176">
        <f>IF(AM913-AM912=0,1,(AN913-AN912)/(AM913-AM912))</f>
        <v>74.82695871583762</v>
      </c>
      <c r="AQ913" s="176">
        <f>$L$59</f>
        <v>8</v>
      </c>
      <c r="AR913" s="176">
        <f aca="true" t="shared" si="111" ref="AR913:AR927">AQ913^3+AQ$890*AQ913^2-AR$890*AQ913-AS$890</f>
        <v>1172.5877618234676</v>
      </c>
      <c r="AS913" s="176">
        <f>IF(AQ913-AQ912=0,1,(AR913-AR912)/(AQ913-AQ912))</f>
        <v>161.40662280656744</v>
      </c>
      <c r="AU913" s="176">
        <f>$L$59</f>
        <v>8</v>
      </c>
      <c r="AV913" s="176">
        <f aca="true" t="shared" si="112" ref="AV913:AV927">AU913^3+AU$890*AU913^2-AV$890*AU913-AW$890</f>
        <v>48.30033138608769</v>
      </c>
      <c r="AW913" s="176">
        <f>IF(AU913-AU912=0,1,(AV913-AV912)/(AU913-AU912))</f>
        <v>66.75997687689004</v>
      </c>
      <c r="AY913" s="176">
        <f>$L$59</f>
        <v>8</v>
      </c>
      <c r="AZ913" s="176">
        <f aca="true" t="shared" si="113" ref="AZ913:AZ927">AY913^3+AY$890*AY913^2-AZ$890*AY913-BA$890</f>
        <v>766.8674816156515</v>
      </c>
      <c r="BA913" s="176">
        <f>IF(AY913-AY912=0,1,(AZ913-AZ912)/(AY913-AY912))</f>
        <v>127.25159921764413</v>
      </c>
      <c r="BC913" s="176">
        <f>$L$59</f>
        <v>8</v>
      </c>
      <c r="BD913" s="176">
        <f aca="true" t="shared" si="114" ref="BD913:BD927">BC913^3+BC$890*BC913^2-BD$890*BC913-BE$890</f>
        <v>593.8390141062295</v>
      </c>
      <c r="BE913" s="176">
        <f>IF(BC913-BC912=0,1,(BD913-BD912)/(BC913-BC912))</f>
        <v>112.68542720792237</v>
      </c>
      <c r="BG913" s="176">
        <f>$L$59</f>
        <v>8</v>
      </c>
      <c r="BH913" s="176">
        <f aca="true" t="shared" si="115" ref="BH913:BH927">BG913^3+BG$890*BG913^2-BH$890*BG913-BI$890</f>
        <v>766.8674816156513</v>
      </c>
      <c r="BI913" s="176">
        <f>IF(BG913-BG912=0,1,(BH913-BH912)/(BG913-BG912))</f>
        <v>127.25159921764411</v>
      </c>
    </row>
    <row r="914" spans="11:61" ht="12.75">
      <c r="K914" s="176">
        <f t="shared" si="101"/>
        <v>12.070544151421982</v>
      </c>
      <c r="L914" s="176">
        <f t="shared" si="102"/>
        <v>83.82839143633105</v>
      </c>
      <c r="M914" s="176">
        <f t="shared" si="103"/>
        <v>447.0847543270989</v>
      </c>
      <c r="O914" s="176">
        <f>O913-P913/Q913</f>
        <v>7.2765076675332585</v>
      </c>
      <c r="P914" s="176">
        <f>IF(P913=0,0,O914^3+O$890*O914^2-P$890*O914-Q$890)</f>
        <v>-142.17808102704709</v>
      </c>
      <c r="Q914" s="176">
        <f>IF(O914-O913=0,1,(P914-P913)/(O914-O913))</f>
        <v>263.2763387604942</v>
      </c>
      <c r="S914" s="176">
        <f>S913-T913/U913</f>
        <v>0.7351942477061932</v>
      </c>
      <c r="T914" s="176">
        <f t="shared" si="105"/>
        <v>-126.54127250184469</v>
      </c>
      <c r="U914" s="176">
        <f>IF(S914-S913=0,1,(T914-T913)/(S914-S913))</f>
        <v>178.82502005165418</v>
      </c>
      <c r="W914" s="176">
        <f>W913-X913/Y913</f>
        <v>6.073872038280838</v>
      </c>
      <c r="X914" s="176">
        <f t="shared" si="106"/>
        <v>-305.1035865158873</v>
      </c>
      <c r="Y914" s="176">
        <f>IF(W914-W913=0,1,(X914-X913)/(W914-W913))</f>
        <v>233.2295117027989</v>
      </c>
      <c r="AA914" s="176">
        <f>AA913-AB913/AC913</f>
        <v>2.558121306251418</v>
      </c>
      <c r="AB914" s="176">
        <f t="shared" si="107"/>
        <v>-333.50314339082547</v>
      </c>
      <c r="AC914" s="176">
        <f>IF(AA914-AA913=0,1,(AB914-AB913)/(AA914-AA913))</f>
        <v>176.98096859745698</v>
      </c>
      <c r="AE914" s="176">
        <f>AE913-AF913/AG913</f>
        <v>3.142297220714781</v>
      </c>
      <c r="AF914" s="176">
        <f t="shared" si="108"/>
        <v>-369.5936112918082</v>
      </c>
      <c r="AG914" s="176">
        <f>IF(AE914-AE913=0,1,(AF914-AF913)/(AE914-AE913))</f>
        <v>182.15414205908655</v>
      </c>
      <c r="AI914" s="176">
        <f>AI913-AJ913/AK913</f>
        <v>2.5581213062514143</v>
      </c>
      <c r="AJ914" s="176">
        <f t="shared" si="109"/>
        <v>-333.5031433908253</v>
      </c>
      <c r="AK914" s="176">
        <f>IF(AI914-AI913=0,1,(AJ914-AJ913)/(AI914-AI913))</f>
        <v>176.98096859745695</v>
      </c>
      <c r="AM914" s="176">
        <f>AM913-AN913/AO913</f>
        <v>6.073872038280838</v>
      </c>
      <c r="AN914" s="176">
        <f t="shared" si="110"/>
        <v>-305.1035865158873</v>
      </c>
      <c r="AO914" s="176">
        <f>IF(AM914-AM913=0,1,(AN914-AN913)/(AM914-AM913))</f>
        <v>233.2295117027989</v>
      </c>
      <c r="AQ914" s="176">
        <f>AQ913-AR913/AS913</f>
        <v>0.735194247706195</v>
      </c>
      <c r="AR914" s="176">
        <f t="shared" si="111"/>
        <v>-126.54127250184477</v>
      </c>
      <c r="AS914" s="176">
        <f>IF(AQ914-AQ913=0,1,(AR914-AR913)/(AQ914-AQ913))</f>
        <v>178.8250200516542</v>
      </c>
      <c r="AU914" s="176">
        <f>AU913-AV913/AW913</f>
        <v>7.276507667533247</v>
      </c>
      <c r="AV914" s="176">
        <f t="shared" si="112"/>
        <v>-142.17808102704907</v>
      </c>
      <c r="AW914" s="176">
        <f>IF(AU914-AU913=0,1,(AV914-AV913)/(AU914-AU913))</f>
        <v>263.2763387604939</v>
      </c>
      <c r="AY914" s="176">
        <f>AY913-AZ913/BA913</f>
        <v>1.973612227033441</v>
      </c>
      <c r="AZ914" s="176">
        <f t="shared" si="113"/>
        <v>-282.67025893510873</v>
      </c>
      <c r="BA914" s="176">
        <f>IF(AY914-AY913=0,1,(AZ914-AZ913)/(AY914-AY913))</f>
        <v>174.15702077102037</v>
      </c>
      <c r="BC914" s="176">
        <f>BC913-BD913/BE913</f>
        <v>2.7301170273729998</v>
      </c>
      <c r="BD914" s="176">
        <f t="shared" si="114"/>
        <v>-345.6746436961629</v>
      </c>
      <c r="BE914" s="176">
        <f>IF(BC914-BC913=0,1,(BD914-BD913)/(BC914-BC913))</f>
        <v>178.27979533557863</v>
      </c>
      <c r="BG914" s="176">
        <f>BG913-BH913/BI913</f>
        <v>1.973612227033442</v>
      </c>
      <c r="BH914" s="176">
        <f t="shared" si="115"/>
        <v>-282.6702589351088</v>
      </c>
      <c r="BI914" s="176">
        <f>IF(BG914-BG913=0,1,(BH914-BH913)/(BG914-BG913))</f>
        <v>174.1570207710204</v>
      </c>
    </row>
    <row r="915" spans="11:61" ht="12.75">
      <c r="K915" s="176">
        <f t="shared" si="101"/>
        <v>13.383678213189112</v>
      </c>
      <c r="L915" s="176">
        <f t="shared" si="102"/>
        <v>55.81486478529895</v>
      </c>
      <c r="M915" s="176">
        <f t="shared" si="103"/>
        <v>297.6792788549277</v>
      </c>
      <c r="O915" s="176">
        <f aca="true" t="shared" si="116" ref="O915:O927">O914-P914/Q914</f>
        <v>7.816541313156036</v>
      </c>
      <c r="P915" s="176">
        <f t="shared" si="104"/>
        <v>-3.450098956059094</v>
      </c>
      <c r="Q915" s="176">
        <f aca="true" t="shared" si="117" ref="Q915:Q927">IF(O915-O914=0,1,(P915-P914)/(O915-O914))</f>
        <v>256.88766467690004</v>
      </c>
      <c r="S915" s="176">
        <f aca="true" t="shared" si="118" ref="S915:S927">S914-T914/U914</f>
        <v>1.442820465029098</v>
      </c>
      <c r="T915" s="176">
        <f t="shared" si="105"/>
        <v>-116.6274803465006</v>
      </c>
      <c r="U915" s="176">
        <f aca="true" t="shared" si="119" ref="U915:U927">IF(S915-S914=0,1,(T915-T914)/(S915-S914))</f>
        <v>14.009927716994422</v>
      </c>
      <c r="W915" s="176">
        <f aca="true" t="shared" si="120" ref="W915:W927">W914-X914/Y914</f>
        <v>7.38204090717028</v>
      </c>
      <c r="X915" s="176">
        <f t="shared" si="106"/>
        <v>-27.05000511807532</v>
      </c>
      <c r="Y915" s="176">
        <f aca="true" t="shared" si="121" ref="Y915:Y927">IF(W915-W914=0,1,(X915-X914)/(W915-W914))</f>
        <v>212.55174925073928</v>
      </c>
      <c r="AA915" s="176">
        <f aca="true" t="shared" si="122" ref="AA915:AA927">AA914-AB914/AC914</f>
        <v>4.442522471155074</v>
      </c>
      <c r="AB915" s="176">
        <f t="shared" si="107"/>
        <v>-190.38137729667687</v>
      </c>
      <c r="AC915" s="176">
        <f aca="true" t="shared" si="123" ref="AC915:AC927">IF(AA915-AA914=0,1,(AB915-AB914)/(AA915-AA914))</f>
        <v>75.95079474569629</v>
      </c>
      <c r="AE915" s="176">
        <f aca="true" t="shared" si="124" ref="AE915:AE927">AE914-AF914/AG914</f>
        <v>5.171312905529242</v>
      </c>
      <c r="AF915" s="176">
        <f t="shared" si="108"/>
        <v>-168.64905798844052</v>
      </c>
      <c r="AG915" s="176">
        <f aca="true" t="shared" si="125" ref="AG915:AG927">IF(AE915-AE914=0,1,(AF915-AF914)/(AE915-AE914))</f>
        <v>99.03548543625112</v>
      </c>
      <c r="AI915" s="176">
        <f aca="true" t="shared" si="126" ref="AI915:AI927">AI914-AJ914/AK914</f>
        <v>4.442522471155071</v>
      </c>
      <c r="AJ915" s="176">
        <f t="shared" si="109"/>
        <v>-190.38137729667693</v>
      </c>
      <c r="AK915" s="176">
        <f aca="true" t="shared" si="127" ref="AK915:AK927">IF(AI915-AI914=0,1,(AJ915-AJ914)/(AI915-AI914))</f>
        <v>75.95079474569617</v>
      </c>
      <c r="AM915" s="176">
        <f aca="true" t="shared" si="128" ref="AM915:AM927">AM914-AN914/AO914</f>
        <v>7.38204090717028</v>
      </c>
      <c r="AN915" s="176">
        <f t="shared" si="110"/>
        <v>-27.05000511807532</v>
      </c>
      <c r="AO915" s="176">
        <f aca="true" t="shared" si="129" ref="AO915:AO927">IF(AM915-AM914=0,1,(AN915-AN914)/(AM915-AM914))</f>
        <v>212.55174925073928</v>
      </c>
      <c r="AQ915" s="176">
        <f aca="true" t="shared" si="130" ref="AQ915:AQ927">AQ914-AR914/AS914</f>
        <v>1.4428204650291003</v>
      </c>
      <c r="AR915" s="176">
        <f t="shared" si="111"/>
        <v>-116.62748034650065</v>
      </c>
      <c r="AS915" s="176">
        <f aca="true" t="shared" si="131" ref="AS915:AS927">IF(AQ915-AQ914=0,1,(AR915-AR914)/(AQ915-AQ914))</f>
        <v>14.009927716994474</v>
      </c>
      <c r="AU915" s="176">
        <f aca="true" t="shared" si="132" ref="AU915:AU927">AU914-AV914/AW914</f>
        <v>7.816541313156033</v>
      </c>
      <c r="AV915" s="176">
        <f t="shared" si="112"/>
        <v>-3.4500989560591506</v>
      </c>
      <c r="AW915" s="176">
        <f aca="true" t="shared" si="133" ref="AW915:AW927">IF(AU915-AU914=0,1,(AV915-AV914)/(AU915-AU914))</f>
        <v>256.8876646768998</v>
      </c>
      <c r="AY915" s="176">
        <f aca="true" t="shared" si="134" ref="AY915:AY927">AY914-AZ914/BA914</f>
        <v>3.5966892507657215</v>
      </c>
      <c r="AZ915" s="176">
        <f t="shared" si="113"/>
        <v>-195.56074985555537</v>
      </c>
      <c r="BA915" s="176">
        <f aca="true" t="shared" si="135" ref="BA915:BA927">IF(AY915-AY914=0,1,(AZ915-AZ914)/(AY915-AY914))</f>
        <v>53.66936245529756</v>
      </c>
      <c r="BC915" s="176">
        <f aca="true" t="shared" si="136" ref="BC915:BC927">BC914-BD914/BE914</f>
        <v>4.669061611898098</v>
      </c>
      <c r="BD915" s="176">
        <f t="shared" si="114"/>
        <v>-185.3285610598573</v>
      </c>
      <c r="BE915" s="176">
        <f aca="true" t="shared" si="137" ref="BE915:BE927">IF(BC915-BC914=0,1,(BD915-BD914)/(BC915-BC914))</f>
        <v>82.69760978010564</v>
      </c>
      <c r="BG915" s="176">
        <f aca="true" t="shared" si="138" ref="BG915:BG927">BG914-BH914/BI914</f>
        <v>3.5966892507657224</v>
      </c>
      <c r="BH915" s="176">
        <f t="shared" si="115"/>
        <v>-195.56074985555537</v>
      </c>
      <c r="BI915" s="176">
        <f aca="true" t="shared" si="139" ref="BI915:BI927">IF(BG915-BG914=0,1,(BH915-BH914)/(BG915-BG914))</f>
        <v>53.669362455297595</v>
      </c>
    </row>
    <row r="916" spans="11:61" ht="12.75">
      <c r="K916" s="176">
        <f t="shared" si="101"/>
        <v>13.405101197325248</v>
      </c>
      <c r="L916" s="176">
        <f t="shared" si="102"/>
        <v>55.357841123728036</v>
      </c>
      <c r="M916" s="176">
        <f t="shared" si="103"/>
        <v>295.2418193265496</v>
      </c>
      <c r="O916" s="176">
        <f t="shared" si="116"/>
        <v>7.82997169316435</v>
      </c>
      <c r="P916" s="176">
        <f t="shared" si="104"/>
        <v>0.2575873214682929</v>
      </c>
      <c r="Q916" s="176">
        <f t="shared" si="117"/>
        <v>276.06711613760064</v>
      </c>
      <c r="S916" s="176">
        <f t="shared" si="118"/>
        <v>9.767451591071833</v>
      </c>
      <c r="T916" s="176">
        <f t="shared" si="105"/>
        <v>2022.8054128642068</v>
      </c>
      <c r="U916" s="176">
        <f t="shared" si="119"/>
        <v>257.0003235960469</v>
      </c>
      <c r="W916" s="176">
        <f t="shared" si="120"/>
        <v>7.509304057031096</v>
      </c>
      <c r="X916" s="176">
        <f t="shared" si="106"/>
        <v>6.023004971409023</v>
      </c>
      <c r="Y916" s="176">
        <f t="shared" si="121"/>
        <v>259.87892116182474</v>
      </c>
      <c r="AA916" s="176">
        <f t="shared" si="122"/>
        <v>6.949163487014421</v>
      </c>
      <c r="AB916" s="176">
        <f t="shared" si="107"/>
        <v>301.0190851016659</v>
      </c>
      <c r="AC916" s="176">
        <f t="shared" si="123"/>
        <v>196.039424588238</v>
      </c>
      <c r="AE916" s="176">
        <f t="shared" si="124"/>
        <v>6.874228352911983</v>
      </c>
      <c r="AF916" s="176">
        <f t="shared" si="108"/>
        <v>179.58680930839307</v>
      </c>
      <c r="AG916" s="176">
        <f t="shared" si="125"/>
        <v>204.49392706610726</v>
      </c>
      <c r="AI916" s="176">
        <f t="shared" si="126"/>
        <v>6.949163487014422</v>
      </c>
      <c r="AJ916" s="176">
        <f t="shared" si="109"/>
        <v>301.01908510166646</v>
      </c>
      <c r="AK916" s="176">
        <f t="shared" si="127"/>
        <v>196.03942458823792</v>
      </c>
      <c r="AM916" s="176">
        <f t="shared" si="128"/>
        <v>7.509304057031096</v>
      </c>
      <c r="AN916" s="176">
        <f t="shared" si="110"/>
        <v>6.023004971409023</v>
      </c>
      <c r="AO916" s="176">
        <f t="shared" si="129"/>
        <v>259.87892116182474</v>
      </c>
      <c r="AQ916" s="176">
        <f t="shared" si="130"/>
        <v>9.767451591071808</v>
      </c>
      <c r="AR916" s="176">
        <f t="shared" si="111"/>
        <v>2022.8054128641925</v>
      </c>
      <c r="AS916" s="176">
        <f t="shared" si="131"/>
        <v>257.0003235960461</v>
      </c>
      <c r="AU916" s="176">
        <f t="shared" si="132"/>
        <v>7.829971693164347</v>
      </c>
      <c r="AV916" s="176">
        <f t="shared" si="112"/>
        <v>0.25758732146812235</v>
      </c>
      <c r="AW916" s="176">
        <f t="shared" si="133"/>
        <v>276.06711613759217</v>
      </c>
      <c r="AY916" s="176">
        <f t="shared" si="134"/>
        <v>7.240495342526964</v>
      </c>
      <c r="AZ916" s="176">
        <f t="shared" si="113"/>
        <v>510.56041884956807</v>
      </c>
      <c r="BA916" s="176">
        <f t="shared" si="135"/>
        <v>193.78670294824005</v>
      </c>
      <c r="BC916" s="176">
        <f t="shared" si="136"/>
        <v>6.910100519221406</v>
      </c>
      <c r="BD916" s="176">
        <f t="shared" si="114"/>
        <v>258.59348970366693</v>
      </c>
      <c r="BE916" s="176">
        <f t="shared" si="137"/>
        <v>198.0876143260465</v>
      </c>
      <c r="BG916" s="176">
        <f t="shared" si="138"/>
        <v>7.2404953425269625</v>
      </c>
      <c r="BH916" s="176">
        <f t="shared" si="115"/>
        <v>510.56041884956755</v>
      </c>
      <c r="BI916" s="176">
        <f t="shared" si="139"/>
        <v>193.78670294824005</v>
      </c>
    </row>
    <row r="917" spans="11:61" ht="12.75">
      <c r="K917" s="176">
        <f t="shared" si="101"/>
        <v>13.383678213189114</v>
      </c>
      <c r="L917" s="176">
        <f t="shared" si="102"/>
        <v>55.81486478529891</v>
      </c>
      <c r="M917" s="176">
        <f t="shared" si="103"/>
        <v>297.67927885492753</v>
      </c>
      <c r="O917" s="176">
        <f t="shared" si="116"/>
        <v>7.829038632664164</v>
      </c>
      <c r="P917" s="176">
        <f t="shared" si="104"/>
        <v>-0.0004105286104163497</v>
      </c>
      <c r="Q917" s="176">
        <f t="shared" si="117"/>
        <v>276.5070968359142</v>
      </c>
      <c r="S917" s="176">
        <f t="shared" si="118"/>
        <v>1.8966233191057151</v>
      </c>
      <c r="T917" s="176">
        <f t="shared" si="105"/>
        <v>-100.23890013756639</v>
      </c>
      <c r="U917" s="176">
        <f t="shared" si="119"/>
        <v>269.73581936268585</v>
      </c>
      <c r="W917" s="176">
        <f t="shared" si="120"/>
        <v>7.4861278604219885</v>
      </c>
      <c r="X917" s="176">
        <f t="shared" si="106"/>
        <v>-0.08294332447439956</v>
      </c>
      <c r="Y917" s="176">
        <f t="shared" si="121"/>
        <v>263.4577363519643</v>
      </c>
      <c r="AA917" s="176">
        <f t="shared" si="122"/>
        <v>5.413660688360897</v>
      </c>
      <c r="AB917" s="176">
        <f t="shared" si="107"/>
        <v>-45.039896323230096</v>
      </c>
      <c r="AC917" s="176">
        <f t="shared" si="123"/>
        <v>225.37176860136867</v>
      </c>
      <c r="AE917" s="176">
        <f t="shared" si="124"/>
        <v>5.996027166769483</v>
      </c>
      <c r="AF917" s="176">
        <f t="shared" si="108"/>
        <v>-22.53343567011632</v>
      </c>
      <c r="AG917" s="176">
        <f t="shared" si="125"/>
        <v>230.1525529318891</v>
      </c>
      <c r="AI917" s="176">
        <f t="shared" si="126"/>
        <v>5.413660688360895</v>
      </c>
      <c r="AJ917" s="176">
        <f t="shared" si="109"/>
        <v>-45.03989632323015</v>
      </c>
      <c r="AK917" s="176">
        <f t="shared" si="127"/>
        <v>225.37176860136856</v>
      </c>
      <c r="AM917" s="176">
        <f t="shared" si="128"/>
        <v>7.4861278604219885</v>
      </c>
      <c r="AN917" s="176">
        <f t="shared" si="110"/>
        <v>-0.08294332447439956</v>
      </c>
      <c r="AO917" s="176">
        <f t="shared" si="129"/>
        <v>263.4577363519643</v>
      </c>
      <c r="AQ917" s="176">
        <f t="shared" si="130"/>
        <v>1.8966233191057214</v>
      </c>
      <c r="AR917" s="176">
        <f t="shared" si="111"/>
        <v>-100.2389001375662</v>
      </c>
      <c r="AS917" s="176">
        <f t="shared" si="131"/>
        <v>269.73581936268505</v>
      </c>
      <c r="AU917" s="176">
        <f t="shared" si="132"/>
        <v>7.829038632664162</v>
      </c>
      <c r="AV917" s="176">
        <f t="shared" si="112"/>
        <v>-0.00041052861024581944</v>
      </c>
      <c r="AW917" s="176">
        <f t="shared" si="133"/>
        <v>276.50709683581186</v>
      </c>
      <c r="AY917" s="176">
        <f t="shared" si="134"/>
        <v>4.605843887695528</v>
      </c>
      <c r="AZ917" s="176">
        <f t="shared" si="113"/>
        <v>-77.73101455563952</v>
      </c>
      <c r="BA917" s="176">
        <f t="shared" si="135"/>
        <v>223.29004177246898</v>
      </c>
      <c r="BC917" s="176">
        <f t="shared" si="136"/>
        <v>5.604650450657152</v>
      </c>
      <c r="BD917" s="176">
        <f t="shared" si="114"/>
        <v>-37.22707641362439</v>
      </c>
      <c r="BE917" s="176">
        <f t="shared" si="137"/>
        <v>226.60427483269234</v>
      </c>
      <c r="BG917" s="176">
        <f t="shared" si="138"/>
        <v>4.605843887695529</v>
      </c>
      <c r="BH917" s="176">
        <f t="shared" si="115"/>
        <v>-77.73101455563949</v>
      </c>
      <c r="BI917" s="176">
        <f t="shared" si="139"/>
        <v>223.290041772469</v>
      </c>
    </row>
    <row r="918" spans="11:61" ht="12.75">
      <c r="K918" s="176">
        <f t="shared" si="101"/>
        <v>12.070544151421982</v>
      </c>
      <c r="L918" s="176">
        <f t="shared" si="102"/>
        <v>83.82839143633103</v>
      </c>
      <c r="M918" s="176">
        <f t="shared" si="103"/>
        <v>447.08475432709884</v>
      </c>
      <c r="O918" s="176">
        <f t="shared" si="116"/>
        <v>7.829040117358826</v>
      </c>
      <c r="P918" s="176">
        <f t="shared" si="104"/>
        <v>-4.871066039413563E-08</v>
      </c>
      <c r="Q918" s="176">
        <f t="shared" si="117"/>
        <v>276.474288227769</v>
      </c>
      <c r="S918" s="176">
        <f t="shared" si="118"/>
        <v>2.2682421140229208</v>
      </c>
      <c r="T918" s="176">
        <f t="shared" si="105"/>
        <v>-80.51023444003539</v>
      </c>
      <c r="U918" s="176">
        <f t="shared" si="119"/>
        <v>53.08844968922098</v>
      </c>
      <c r="W918" s="176">
        <f t="shared" si="120"/>
        <v>7.486442686342923</v>
      </c>
      <c r="X918" s="176">
        <f t="shared" si="106"/>
        <v>-0.000248217521971128</v>
      </c>
      <c r="Y918" s="176">
        <f t="shared" si="121"/>
        <v>262.6693085083864</v>
      </c>
      <c r="AA918" s="176">
        <f t="shared" si="122"/>
        <v>5.613507796997185</v>
      </c>
      <c r="AB918" s="176">
        <f t="shared" si="107"/>
        <v>-8.374851888005992</v>
      </c>
      <c r="AC918" s="176">
        <f t="shared" si="123"/>
        <v>183.46547360839114</v>
      </c>
      <c r="AE918" s="176">
        <f t="shared" si="124"/>
        <v>6.093933687392719</v>
      </c>
      <c r="AF918" s="176">
        <f t="shared" si="108"/>
        <v>-2.447325555561406</v>
      </c>
      <c r="AG918" s="176">
        <f t="shared" si="125"/>
        <v>205.1559996892389</v>
      </c>
      <c r="AI918" s="176">
        <f t="shared" si="126"/>
        <v>5.613507796997183</v>
      </c>
      <c r="AJ918" s="176">
        <f t="shared" si="109"/>
        <v>-8.374851888005821</v>
      </c>
      <c r="AK918" s="176">
        <f t="shared" si="127"/>
        <v>183.46547360839145</v>
      </c>
      <c r="AM918" s="176">
        <f t="shared" si="128"/>
        <v>7.486442686342923</v>
      </c>
      <c r="AN918" s="176">
        <f t="shared" si="110"/>
        <v>-0.000248217521971128</v>
      </c>
      <c r="AO918" s="176">
        <f t="shared" si="129"/>
        <v>262.6693085083864</v>
      </c>
      <c r="AQ918" s="176">
        <f t="shared" si="130"/>
        <v>2.2682421140229274</v>
      </c>
      <c r="AR918" s="176">
        <f t="shared" si="111"/>
        <v>-80.51023444003508</v>
      </c>
      <c r="AS918" s="176">
        <f t="shared" si="131"/>
        <v>53.08844968922126</v>
      </c>
      <c r="AU918" s="176">
        <f t="shared" si="132"/>
        <v>7.829040117358822</v>
      </c>
      <c r="AV918" s="176">
        <f t="shared" si="112"/>
        <v>-4.871083092439221E-08</v>
      </c>
      <c r="AW918" s="176">
        <f t="shared" si="133"/>
        <v>276.47428816344467</v>
      </c>
      <c r="AY918" s="176">
        <f t="shared" si="134"/>
        <v>4.953960686539817</v>
      </c>
      <c r="AZ918" s="176">
        <f t="shared" si="113"/>
        <v>-24.35142513956461</v>
      </c>
      <c r="BA918" s="176">
        <f t="shared" si="135"/>
        <v>153.33816004654022</v>
      </c>
      <c r="BC918" s="176">
        <f t="shared" si="136"/>
        <v>5.768932772520277</v>
      </c>
      <c r="BD918" s="176">
        <f t="shared" si="114"/>
        <v>-5.92037739051176</v>
      </c>
      <c r="BE918" s="176">
        <f t="shared" si="137"/>
        <v>190.56645090027692</v>
      </c>
      <c r="BG918" s="176">
        <f t="shared" si="138"/>
        <v>4.953960686539817</v>
      </c>
      <c r="BH918" s="176">
        <f t="shared" si="115"/>
        <v>-24.351425139564697</v>
      </c>
      <c r="BI918" s="176">
        <f t="shared" si="139"/>
        <v>153.33816004654028</v>
      </c>
    </row>
    <row r="919" spans="11:61" ht="12.75">
      <c r="K919" s="176">
        <f t="shared" si="101"/>
        <v>14.680377243429488</v>
      </c>
      <c r="L919" s="176">
        <f t="shared" si="102"/>
        <v>28.151952140170913</v>
      </c>
      <c r="M919" s="176">
        <f t="shared" si="103"/>
        <v>150.14374474757818</v>
      </c>
      <c r="O919" s="176">
        <f t="shared" si="116"/>
        <v>7.829040117535011</v>
      </c>
      <c r="P919" s="176">
        <f t="shared" si="104"/>
        <v>0</v>
      </c>
      <c r="Q919" s="176">
        <f t="shared" si="117"/>
        <v>276.47405062333956</v>
      </c>
      <c r="S919" s="176">
        <f t="shared" si="118"/>
        <v>3.784772261566146</v>
      </c>
      <c r="T919" s="176">
        <f t="shared" si="105"/>
        <v>65.59178926988653</v>
      </c>
      <c r="U919" s="176">
        <f t="shared" si="119"/>
        <v>96.33967642951696</v>
      </c>
      <c r="W919" s="176">
        <f t="shared" si="120"/>
        <v>7.486443631323985</v>
      </c>
      <c r="X919" s="176">
        <f t="shared" si="106"/>
        <v>1.0283997653459664E-08</v>
      </c>
      <c r="Y919" s="176">
        <f t="shared" si="121"/>
        <v>262.6801912840809</v>
      </c>
      <c r="AA919" s="176">
        <f t="shared" si="122"/>
        <v>5.65915590573007</v>
      </c>
      <c r="AB919" s="176">
        <f t="shared" si="107"/>
        <v>0.33714504954667746</v>
      </c>
      <c r="AC919" s="176">
        <f t="shared" si="123"/>
        <v>190.85121332259183</v>
      </c>
      <c r="AE919" s="176">
        <f t="shared" si="124"/>
        <v>6.105862783101684</v>
      </c>
      <c r="AF919" s="176">
        <f t="shared" si="108"/>
        <v>0.04096646900711676</v>
      </c>
      <c r="AG919" s="176">
        <f t="shared" si="125"/>
        <v>208.59016351913482</v>
      </c>
      <c r="AI919" s="176">
        <f t="shared" si="126"/>
        <v>5.659155905730067</v>
      </c>
      <c r="AJ919" s="176">
        <f t="shared" si="109"/>
        <v>0.3371450495466206</v>
      </c>
      <c r="AK919" s="176">
        <f t="shared" si="127"/>
        <v>190.85121332259055</v>
      </c>
      <c r="AM919" s="176">
        <f t="shared" si="128"/>
        <v>7.486443631323985</v>
      </c>
      <c r="AN919" s="176">
        <f t="shared" si="110"/>
        <v>1.0283997653459664E-08</v>
      </c>
      <c r="AO919" s="176">
        <f t="shared" si="129"/>
        <v>262.6801912840809</v>
      </c>
      <c r="AQ919" s="176">
        <f t="shared" si="130"/>
        <v>3.7847722615661388</v>
      </c>
      <c r="AR919" s="176">
        <f t="shared" si="111"/>
        <v>65.5917892698854</v>
      </c>
      <c r="AS919" s="176">
        <f t="shared" si="131"/>
        <v>96.33967642951689</v>
      </c>
      <c r="AU919" s="176">
        <f t="shared" si="132"/>
        <v>7.829040117535008</v>
      </c>
      <c r="AV919" s="176">
        <f t="shared" si="112"/>
        <v>0</v>
      </c>
      <c r="AW919" s="176">
        <f t="shared" si="133"/>
        <v>276.47362477819</v>
      </c>
      <c r="AY919" s="176">
        <f t="shared" si="134"/>
        <v>5.1127693296862695</v>
      </c>
      <c r="AZ919" s="176">
        <f t="shared" si="113"/>
        <v>2.2915698779412708</v>
      </c>
      <c r="BA919" s="176">
        <f t="shared" si="135"/>
        <v>167.76791545870654</v>
      </c>
      <c r="BC919" s="176">
        <f t="shared" si="136"/>
        <v>5.800000032064349</v>
      </c>
      <c r="BD919" s="176">
        <f t="shared" si="114"/>
        <v>0.184919745144839</v>
      </c>
      <c r="BE919" s="176">
        <f t="shared" si="137"/>
        <v>196.51868961906675</v>
      </c>
      <c r="BG919" s="176">
        <f t="shared" si="138"/>
        <v>5.11276932968627</v>
      </c>
      <c r="BH919" s="176">
        <f t="shared" si="115"/>
        <v>2.291569877941413</v>
      </c>
      <c r="BI919" s="176">
        <f t="shared" si="139"/>
        <v>167.76791545870705</v>
      </c>
    </row>
    <row r="920" spans="11:61" ht="12.75">
      <c r="K920" s="176">
        <f t="shared" si="101"/>
        <v>11.711652938137842</v>
      </c>
      <c r="L920" s="176">
        <f t="shared" si="102"/>
        <v>91.48473731972601</v>
      </c>
      <c r="M920" s="176">
        <f t="shared" si="103"/>
        <v>487.9185990385387</v>
      </c>
      <c r="O920" s="176">
        <f t="shared" si="116"/>
        <v>7.829040117535011</v>
      </c>
      <c r="P920" s="176">
        <f t="shared" si="104"/>
        <v>0</v>
      </c>
      <c r="Q920" s="176">
        <f t="shared" si="117"/>
        <v>1</v>
      </c>
      <c r="S920" s="176">
        <f t="shared" si="118"/>
        <v>3.103933465954515</v>
      </c>
      <c r="T920" s="176">
        <f t="shared" si="105"/>
        <v>-13.720164284842284</v>
      </c>
      <c r="U920" s="176">
        <f t="shared" si="119"/>
        <v>116.49153083804369</v>
      </c>
      <c r="W920" s="176">
        <f t="shared" si="120"/>
        <v>7.486443631284835</v>
      </c>
      <c r="X920" s="176">
        <f t="shared" si="106"/>
        <v>0</v>
      </c>
      <c r="Y920" s="176">
        <f t="shared" si="121"/>
        <v>262.6818212754373</v>
      </c>
      <c r="AA920" s="176">
        <f t="shared" si="122"/>
        <v>5.657389372294535</v>
      </c>
      <c r="AB920" s="176">
        <f t="shared" si="107"/>
        <v>-0.0023510356615474848</v>
      </c>
      <c r="AC920" s="176">
        <f t="shared" si="123"/>
        <v>192.18208859174408</v>
      </c>
      <c r="AE920" s="176">
        <f t="shared" si="124"/>
        <v>6.105666386165625</v>
      </c>
      <c r="AF920" s="176">
        <f t="shared" si="108"/>
        <v>-7.229873313008284E-05</v>
      </c>
      <c r="AG920" s="176">
        <f t="shared" si="125"/>
        <v>208.95828908409857</v>
      </c>
      <c r="AI920" s="176">
        <f t="shared" si="126"/>
        <v>5.657389372294533</v>
      </c>
      <c r="AJ920" s="176">
        <f t="shared" si="109"/>
        <v>-0.0023510356613769545</v>
      </c>
      <c r="AK920" s="176">
        <f t="shared" si="127"/>
        <v>192.182088591712</v>
      </c>
      <c r="AM920" s="176">
        <f t="shared" si="128"/>
        <v>7.486443631284835</v>
      </c>
      <c r="AN920" s="176">
        <f t="shared" si="110"/>
        <v>0</v>
      </c>
      <c r="AO920" s="176">
        <f t="shared" si="129"/>
        <v>262.6818212754373</v>
      </c>
      <c r="AQ920" s="176">
        <f t="shared" si="130"/>
        <v>3.1039334659545195</v>
      </c>
      <c r="AR920" s="176">
        <f t="shared" si="111"/>
        <v>-13.720164284841971</v>
      </c>
      <c r="AS920" s="176">
        <f t="shared" si="131"/>
        <v>116.49153083804353</v>
      </c>
      <c r="AU920" s="176">
        <f t="shared" si="132"/>
        <v>7.829040117535008</v>
      </c>
      <c r="AV920" s="176">
        <f t="shared" si="112"/>
        <v>0</v>
      </c>
      <c r="AW920" s="176">
        <f t="shared" si="133"/>
        <v>1</v>
      </c>
      <c r="AY920" s="176">
        <f t="shared" si="134"/>
        <v>5.0991101632617735</v>
      </c>
      <c r="AZ920" s="176">
        <f t="shared" si="113"/>
        <v>-0.05741374266901289</v>
      </c>
      <c r="BA920" s="176">
        <f t="shared" si="135"/>
        <v>171.97122779012838</v>
      </c>
      <c r="BC920" s="176">
        <f t="shared" si="136"/>
        <v>5.799059054157855</v>
      </c>
      <c r="BD920" s="176">
        <f t="shared" si="114"/>
        <v>-0.000869270581517867</v>
      </c>
      <c r="BE920" s="176">
        <f t="shared" si="137"/>
        <v>197.4424845090289</v>
      </c>
      <c r="BG920" s="176">
        <f t="shared" si="138"/>
        <v>5.0991101632617735</v>
      </c>
      <c r="BH920" s="176">
        <f t="shared" si="115"/>
        <v>-0.057413742669098156</v>
      </c>
      <c r="BI920" s="176">
        <f t="shared" si="139"/>
        <v>171.97122779013384</v>
      </c>
    </row>
    <row r="921" spans="11:61" ht="12.75">
      <c r="K921" s="176">
        <f t="shared" si="101"/>
        <v>13.72941034614617</v>
      </c>
      <c r="L921" s="176">
        <f t="shared" si="102"/>
        <v>48.439245948881734</v>
      </c>
      <c r="M921" s="176">
        <f t="shared" si="103"/>
        <v>258.34264506070264</v>
      </c>
      <c r="O921" s="176">
        <f t="shared" si="116"/>
        <v>7.829040117535011</v>
      </c>
      <c r="P921" s="176">
        <f t="shared" si="104"/>
        <v>0</v>
      </c>
      <c r="Q921" s="176">
        <f t="shared" si="117"/>
        <v>1</v>
      </c>
      <c r="S921" s="176">
        <f t="shared" si="118"/>
        <v>3.2217116785519373</v>
      </c>
      <c r="T921" s="176">
        <f t="shared" si="105"/>
        <v>-1.6623805123444981</v>
      </c>
      <c r="U921" s="176">
        <f t="shared" si="119"/>
        <v>102.37703142696263</v>
      </c>
      <c r="W921" s="176">
        <f t="shared" si="120"/>
        <v>7.486443631284835</v>
      </c>
      <c r="X921" s="176">
        <f t="shared" si="106"/>
        <v>0</v>
      </c>
      <c r="Y921" s="176">
        <f t="shared" si="121"/>
        <v>1</v>
      </c>
      <c r="AA921" s="176">
        <f t="shared" si="122"/>
        <v>5.657401605670073</v>
      </c>
      <c r="AB921" s="176">
        <f t="shared" si="107"/>
        <v>-6.518287136714207E-07</v>
      </c>
      <c r="AC921" s="176">
        <f t="shared" si="123"/>
        <v>192.1288057793632</v>
      </c>
      <c r="AE921" s="176">
        <f t="shared" si="124"/>
        <v>6.105666732161629</v>
      </c>
      <c r="AF921" s="176">
        <f t="shared" si="108"/>
        <v>-2.129070253431564E-09</v>
      </c>
      <c r="AG921" s="176">
        <f t="shared" si="125"/>
        <v>208.95213575607622</v>
      </c>
      <c r="AI921" s="176">
        <f t="shared" si="126"/>
        <v>5.657401605670071</v>
      </c>
      <c r="AJ921" s="176">
        <f t="shared" si="109"/>
        <v>-6.518287705148396E-07</v>
      </c>
      <c r="AK921" s="176">
        <f t="shared" si="127"/>
        <v>192.12880577472598</v>
      </c>
      <c r="AM921" s="176">
        <f t="shared" si="128"/>
        <v>7.486443631284835</v>
      </c>
      <c r="AN921" s="176">
        <f t="shared" si="110"/>
        <v>0</v>
      </c>
      <c r="AO921" s="176">
        <f t="shared" si="129"/>
        <v>1</v>
      </c>
      <c r="AQ921" s="176">
        <f t="shared" si="130"/>
        <v>3.221711678551939</v>
      </c>
      <c r="AR921" s="176">
        <f t="shared" si="111"/>
        <v>-1.6623805123444413</v>
      </c>
      <c r="AS921" s="176">
        <f t="shared" si="131"/>
        <v>102.37703142696277</v>
      </c>
      <c r="AU921" s="176">
        <f t="shared" si="132"/>
        <v>7.829040117535008</v>
      </c>
      <c r="AV921" s="176">
        <f t="shared" si="112"/>
        <v>0</v>
      </c>
      <c r="AW921" s="176">
        <f t="shared" si="133"/>
        <v>1</v>
      </c>
      <c r="AY921" s="176">
        <f t="shared" si="134"/>
        <v>5.099444019938886</v>
      </c>
      <c r="AZ921" s="176">
        <f t="shared" si="113"/>
        <v>-0.00012947619757142093</v>
      </c>
      <c r="BA921" s="176">
        <f t="shared" si="135"/>
        <v>171.58340808652002</v>
      </c>
      <c r="BC921" s="176">
        <f t="shared" si="136"/>
        <v>5.799063456810018</v>
      </c>
      <c r="BD921" s="176">
        <f t="shared" si="114"/>
        <v>-1.2656516901188297E-07</v>
      </c>
      <c r="BE921" s="176">
        <f t="shared" si="137"/>
        <v>197.4137370390298</v>
      </c>
      <c r="BG921" s="176">
        <f t="shared" si="138"/>
        <v>5.099444019938887</v>
      </c>
      <c r="BH921" s="176">
        <f t="shared" si="115"/>
        <v>-0.00012947619759984264</v>
      </c>
      <c r="BI921" s="176">
        <f t="shared" si="139"/>
        <v>171.58340808623382</v>
      </c>
    </row>
    <row r="922" spans="11:61" ht="12.75">
      <c r="K922" s="176">
        <f t="shared" si="101"/>
        <v>13.57661308285675</v>
      </c>
      <c r="L922" s="176">
        <f t="shared" si="102"/>
        <v>51.698920899055985</v>
      </c>
      <c r="M922" s="176">
        <f t="shared" si="103"/>
        <v>275.7275781282986</v>
      </c>
      <c r="O922" s="176">
        <f t="shared" si="116"/>
        <v>7.829040117535011</v>
      </c>
      <c r="P922" s="176">
        <f t="shared" si="104"/>
        <v>0</v>
      </c>
      <c r="Q922" s="176">
        <f t="shared" si="117"/>
        <v>1</v>
      </c>
      <c r="S922" s="176">
        <f t="shared" si="118"/>
        <v>3.2379495054274945</v>
      </c>
      <c r="T922" s="176">
        <f t="shared" si="105"/>
        <v>0.053360078845173575</v>
      </c>
      <c r="U922" s="176">
        <f t="shared" si="119"/>
        <v>105.66319029872012</v>
      </c>
      <c r="W922" s="176">
        <f t="shared" si="120"/>
        <v>7.486443631284835</v>
      </c>
      <c r="X922" s="176">
        <f t="shared" si="106"/>
        <v>0</v>
      </c>
      <c r="Y922" s="176">
        <f t="shared" si="121"/>
        <v>1</v>
      </c>
      <c r="AA922" s="176">
        <f t="shared" si="122"/>
        <v>5.657401609062738</v>
      </c>
      <c r="AB922" s="176">
        <f t="shared" si="107"/>
        <v>1.3073986337985843E-12</v>
      </c>
      <c r="AC922" s="176">
        <f t="shared" si="123"/>
        <v>192.12921301397637</v>
      </c>
      <c r="AE922" s="176">
        <f t="shared" si="124"/>
        <v>6.1056667321718185</v>
      </c>
      <c r="AF922" s="176">
        <f t="shared" si="108"/>
        <v>0</v>
      </c>
      <c r="AG922" s="176">
        <f t="shared" si="125"/>
        <v>208.9539748953975</v>
      </c>
      <c r="AI922" s="176">
        <f t="shared" si="126"/>
        <v>5.657401609062736</v>
      </c>
      <c r="AJ922" s="176">
        <f t="shared" si="109"/>
        <v>1.4779288903810084E-12</v>
      </c>
      <c r="AK922" s="176">
        <f t="shared" si="127"/>
        <v>192.12922973494437</v>
      </c>
      <c r="AM922" s="176">
        <f t="shared" si="128"/>
        <v>7.486443631284835</v>
      </c>
      <c r="AN922" s="176">
        <f t="shared" si="110"/>
        <v>0</v>
      </c>
      <c r="AO922" s="176">
        <f t="shared" si="129"/>
        <v>1</v>
      </c>
      <c r="AQ922" s="176">
        <f t="shared" si="130"/>
        <v>3.237949505427496</v>
      </c>
      <c r="AR922" s="176">
        <f t="shared" si="111"/>
        <v>0.053360078845187786</v>
      </c>
      <c r="AS922" s="176">
        <f t="shared" si="131"/>
        <v>105.6631902987204</v>
      </c>
      <c r="AU922" s="176">
        <f t="shared" si="132"/>
        <v>7.829040117535008</v>
      </c>
      <c r="AV922" s="176">
        <f t="shared" si="112"/>
        <v>0</v>
      </c>
      <c r="AW922" s="176">
        <f t="shared" si="133"/>
        <v>1</v>
      </c>
      <c r="AY922" s="176">
        <f t="shared" si="134"/>
        <v>5.099444774535144</v>
      </c>
      <c r="AZ922" s="176">
        <f t="shared" si="113"/>
        <v>7.345278163484181E-09</v>
      </c>
      <c r="BA922" s="176">
        <f t="shared" si="135"/>
        <v>171.59314211559848</v>
      </c>
      <c r="BC922" s="176">
        <f t="shared" si="136"/>
        <v>5.799063457451134</v>
      </c>
      <c r="BD922" s="176">
        <f t="shared" si="114"/>
        <v>0</v>
      </c>
      <c r="BE922" s="176">
        <f t="shared" si="137"/>
        <v>197.41368432864667</v>
      </c>
      <c r="BG922" s="176">
        <f t="shared" si="138"/>
        <v>5.0994447745351446</v>
      </c>
      <c r="BH922" s="176">
        <f t="shared" si="115"/>
        <v>7.3453634286124725E-09</v>
      </c>
      <c r="BI922" s="176">
        <f t="shared" si="139"/>
        <v>171.59314226625764</v>
      </c>
    </row>
    <row r="923" spans="11:61" ht="12.75">
      <c r="K923" s="176">
        <f t="shared" si="101"/>
        <v>13.729410346146167</v>
      </c>
      <c r="L923" s="176">
        <f t="shared" si="102"/>
        <v>48.43924594888175</v>
      </c>
      <c r="M923" s="176">
        <f t="shared" si="103"/>
        <v>258.34264506070264</v>
      </c>
      <c r="O923" s="176">
        <f t="shared" si="116"/>
        <v>7.829040117535011</v>
      </c>
      <c r="P923" s="176">
        <f t="shared" si="104"/>
        <v>0</v>
      </c>
      <c r="Q923" s="176">
        <f t="shared" si="117"/>
        <v>1</v>
      </c>
      <c r="S923" s="176">
        <f t="shared" si="118"/>
        <v>3.2374445038399564</v>
      </c>
      <c r="T923" s="176">
        <f t="shared" si="105"/>
        <v>-0.0001958797274284052</v>
      </c>
      <c r="U923" s="176">
        <f t="shared" si="119"/>
        <v>106.05106972770398</v>
      </c>
      <c r="W923" s="176">
        <f t="shared" si="120"/>
        <v>7.486443631284835</v>
      </c>
      <c r="X923" s="176">
        <f t="shared" si="106"/>
        <v>0</v>
      </c>
      <c r="Y923" s="176">
        <f t="shared" si="121"/>
        <v>1</v>
      </c>
      <c r="AA923" s="176">
        <f t="shared" si="122"/>
        <v>5.657401609062731</v>
      </c>
      <c r="AB923" s="176">
        <f t="shared" si="107"/>
        <v>0</v>
      </c>
      <c r="AC923" s="176">
        <f t="shared" si="123"/>
        <v>184</v>
      </c>
      <c r="AE923" s="176">
        <f t="shared" si="124"/>
        <v>6.1056667321718185</v>
      </c>
      <c r="AF923" s="176">
        <f t="shared" si="108"/>
        <v>0</v>
      </c>
      <c r="AG923" s="176">
        <f t="shared" si="125"/>
        <v>1</v>
      </c>
      <c r="AI923" s="176">
        <f t="shared" si="126"/>
        <v>5.657401609062728</v>
      </c>
      <c r="AJ923" s="176">
        <f t="shared" si="109"/>
        <v>0</v>
      </c>
      <c r="AK923" s="176">
        <f t="shared" si="127"/>
        <v>184.88888888888889</v>
      </c>
      <c r="AM923" s="176">
        <f t="shared" si="128"/>
        <v>7.486443631284835</v>
      </c>
      <c r="AN923" s="176">
        <f t="shared" si="110"/>
        <v>0</v>
      </c>
      <c r="AO923" s="176">
        <f t="shared" si="129"/>
        <v>1</v>
      </c>
      <c r="AQ923" s="176">
        <f t="shared" si="130"/>
        <v>3.2374445038399577</v>
      </c>
      <c r="AR923" s="176">
        <f t="shared" si="111"/>
        <v>-0.00019587972744261606</v>
      </c>
      <c r="AS923" s="176">
        <f t="shared" si="131"/>
        <v>106.05106972776025</v>
      </c>
      <c r="AU923" s="176">
        <f t="shared" si="132"/>
        <v>7.829040117535008</v>
      </c>
      <c r="AV923" s="176">
        <f t="shared" si="112"/>
        <v>0</v>
      </c>
      <c r="AW923" s="176">
        <f t="shared" si="133"/>
        <v>1</v>
      </c>
      <c r="AY923" s="176">
        <f t="shared" si="134"/>
        <v>5.099444774492337</v>
      </c>
      <c r="AZ923" s="176">
        <f t="shared" si="113"/>
        <v>0</v>
      </c>
      <c r="BA923" s="176">
        <f t="shared" si="135"/>
        <v>171.5919993360445</v>
      </c>
      <c r="BC923" s="176">
        <f t="shared" si="136"/>
        <v>5.799063457451134</v>
      </c>
      <c r="BD923" s="176">
        <f t="shared" si="114"/>
        <v>0</v>
      </c>
      <c r="BE923" s="176">
        <f t="shared" si="137"/>
        <v>1</v>
      </c>
      <c r="BG923" s="176">
        <f t="shared" si="138"/>
        <v>5.099444774492338</v>
      </c>
      <c r="BH923" s="176">
        <f t="shared" si="115"/>
        <v>0</v>
      </c>
      <c r="BI923" s="176">
        <f t="shared" si="139"/>
        <v>171.59399120258942</v>
      </c>
    </row>
    <row r="924" spans="15:61" ht="12.75">
      <c r="O924" s="176">
        <f t="shared" si="116"/>
        <v>7.829040117535011</v>
      </c>
      <c r="P924" s="176">
        <f t="shared" si="104"/>
        <v>0</v>
      </c>
      <c r="Q924" s="176">
        <f t="shared" si="117"/>
        <v>1</v>
      </c>
      <c r="S924" s="176">
        <f t="shared" si="118"/>
        <v>3.2374463508720317</v>
      </c>
      <c r="T924" s="176">
        <f t="shared" si="105"/>
        <v>-2.292679823767685E-08</v>
      </c>
      <c r="U924" s="176">
        <f t="shared" si="119"/>
        <v>106.03865696259008</v>
      </c>
      <c r="W924" s="176">
        <f t="shared" si="120"/>
        <v>7.486443631284835</v>
      </c>
      <c r="X924" s="176">
        <f t="shared" si="106"/>
        <v>0</v>
      </c>
      <c r="Y924" s="176">
        <f t="shared" si="121"/>
        <v>1</v>
      </c>
      <c r="AA924" s="176">
        <f t="shared" si="122"/>
        <v>5.657401609062731</v>
      </c>
      <c r="AB924" s="176">
        <f t="shared" si="107"/>
        <v>0</v>
      </c>
      <c r="AC924" s="176">
        <f t="shared" si="123"/>
        <v>1</v>
      </c>
      <c r="AE924" s="176">
        <f t="shared" si="124"/>
        <v>6.1056667321718185</v>
      </c>
      <c r="AF924" s="176">
        <f t="shared" si="108"/>
        <v>0</v>
      </c>
      <c r="AG924" s="176">
        <f t="shared" si="125"/>
        <v>1</v>
      </c>
      <c r="AI924" s="176">
        <f t="shared" si="126"/>
        <v>5.657401609062728</v>
      </c>
      <c r="AJ924" s="176">
        <f t="shared" si="109"/>
        <v>0</v>
      </c>
      <c r="AK924" s="176">
        <f t="shared" si="127"/>
        <v>1</v>
      </c>
      <c r="AM924" s="176">
        <f t="shared" si="128"/>
        <v>7.486443631284835</v>
      </c>
      <c r="AN924" s="176">
        <f t="shared" si="110"/>
        <v>0</v>
      </c>
      <c r="AO924" s="176">
        <f t="shared" si="129"/>
        <v>1</v>
      </c>
      <c r="AQ924" s="176">
        <f t="shared" si="130"/>
        <v>3.2374463508720335</v>
      </c>
      <c r="AR924" s="176">
        <f t="shared" si="111"/>
        <v>-2.2926741394257988E-08</v>
      </c>
      <c r="AS924" s="176">
        <f t="shared" si="131"/>
        <v>106.03865697556422</v>
      </c>
      <c r="AU924" s="176">
        <f t="shared" si="132"/>
        <v>7.829040117535008</v>
      </c>
      <c r="AV924" s="176">
        <f t="shared" si="112"/>
        <v>0</v>
      </c>
      <c r="AW924" s="176">
        <f t="shared" si="133"/>
        <v>1</v>
      </c>
      <c r="AY924" s="176">
        <f t="shared" si="134"/>
        <v>5.099444774492337</v>
      </c>
      <c r="AZ924" s="176">
        <f t="shared" si="113"/>
        <v>0</v>
      </c>
      <c r="BA924" s="176">
        <f t="shared" si="135"/>
        <v>1</v>
      </c>
      <c r="BC924" s="176">
        <f t="shared" si="136"/>
        <v>5.799063457451134</v>
      </c>
      <c r="BD924" s="176">
        <f t="shared" si="114"/>
        <v>0</v>
      </c>
      <c r="BE924" s="176">
        <f t="shared" si="137"/>
        <v>1</v>
      </c>
      <c r="BG924" s="176">
        <f t="shared" si="138"/>
        <v>5.099444774492338</v>
      </c>
      <c r="BH924" s="176">
        <f t="shared" si="115"/>
        <v>0</v>
      </c>
      <c r="BI924" s="176">
        <f t="shared" si="139"/>
        <v>1</v>
      </c>
    </row>
    <row r="925" spans="15:61" ht="12.75">
      <c r="O925" s="176">
        <f t="shared" si="116"/>
        <v>7.829040117535011</v>
      </c>
      <c r="P925" s="176">
        <f t="shared" si="104"/>
        <v>0</v>
      </c>
      <c r="Q925" s="176">
        <f t="shared" si="117"/>
        <v>1</v>
      </c>
      <c r="S925" s="176">
        <f t="shared" si="118"/>
        <v>3.237446351088243</v>
      </c>
      <c r="T925" s="176">
        <f t="shared" si="105"/>
        <v>0</v>
      </c>
      <c r="U925" s="176">
        <f t="shared" si="119"/>
        <v>106.03875817731814</v>
      </c>
      <c r="W925" s="176">
        <f t="shared" si="120"/>
        <v>7.486443631284835</v>
      </c>
      <c r="X925" s="176">
        <f t="shared" si="106"/>
        <v>0</v>
      </c>
      <c r="Y925" s="176">
        <f t="shared" si="121"/>
        <v>1</v>
      </c>
      <c r="AA925" s="176">
        <f t="shared" si="122"/>
        <v>5.657401609062731</v>
      </c>
      <c r="AB925" s="176">
        <f t="shared" si="107"/>
        <v>0</v>
      </c>
      <c r="AC925" s="176">
        <f t="shared" si="123"/>
        <v>1</v>
      </c>
      <c r="AE925" s="176">
        <f t="shared" si="124"/>
        <v>6.1056667321718185</v>
      </c>
      <c r="AF925" s="176">
        <f t="shared" si="108"/>
        <v>0</v>
      </c>
      <c r="AG925" s="176">
        <f t="shared" si="125"/>
        <v>1</v>
      </c>
      <c r="AI925" s="176">
        <f t="shared" si="126"/>
        <v>5.657401609062728</v>
      </c>
      <c r="AJ925" s="176">
        <f t="shared" si="109"/>
        <v>0</v>
      </c>
      <c r="AK925" s="176">
        <f t="shared" si="127"/>
        <v>1</v>
      </c>
      <c r="AM925" s="176">
        <f t="shared" si="128"/>
        <v>7.486443631284835</v>
      </c>
      <c r="AN925" s="176">
        <f t="shared" si="110"/>
        <v>0</v>
      </c>
      <c r="AO925" s="176">
        <f t="shared" si="129"/>
        <v>1</v>
      </c>
      <c r="AQ925" s="176">
        <f t="shared" si="130"/>
        <v>3.2374463510882445</v>
      </c>
      <c r="AR925" s="176">
        <f t="shared" si="111"/>
        <v>0</v>
      </c>
      <c r="AS925" s="176">
        <f t="shared" si="131"/>
        <v>106.03871306976897</v>
      </c>
      <c r="AU925" s="176">
        <f t="shared" si="132"/>
        <v>7.829040117535008</v>
      </c>
      <c r="AV925" s="176">
        <f t="shared" si="112"/>
        <v>0</v>
      </c>
      <c r="AW925" s="176">
        <f t="shared" si="133"/>
        <v>1</v>
      </c>
      <c r="AY925" s="176">
        <f t="shared" si="134"/>
        <v>5.099444774492337</v>
      </c>
      <c r="AZ925" s="176">
        <f t="shared" si="113"/>
        <v>0</v>
      </c>
      <c r="BA925" s="176">
        <f t="shared" si="135"/>
        <v>1</v>
      </c>
      <c r="BC925" s="176">
        <f t="shared" si="136"/>
        <v>5.799063457451134</v>
      </c>
      <c r="BD925" s="176">
        <f t="shared" si="114"/>
        <v>0</v>
      </c>
      <c r="BE925" s="176">
        <f t="shared" si="137"/>
        <v>1</v>
      </c>
      <c r="BG925" s="176">
        <f t="shared" si="138"/>
        <v>5.099444774492338</v>
      </c>
      <c r="BH925" s="176">
        <f t="shared" si="115"/>
        <v>0</v>
      </c>
      <c r="BI925" s="176">
        <f t="shared" si="139"/>
        <v>1</v>
      </c>
    </row>
    <row r="926" spans="15:61" ht="12.75">
      <c r="O926" s="176">
        <f t="shared" si="116"/>
        <v>7.829040117535011</v>
      </c>
      <c r="P926" s="176">
        <f t="shared" si="104"/>
        <v>0</v>
      </c>
      <c r="Q926" s="176">
        <f t="shared" si="117"/>
        <v>1</v>
      </c>
      <c r="S926" s="176">
        <f t="shared" si="118"/>
        <v>3.237446351088243</v>
      </c>
      <c r="T926" s="176">
        <f t="shared" si="105"/>
        <v>0</v>
      </c>
      <c r="U926" s="176">
        <f t="shared" si="119"/>
        <v>1</v>
      </c>
      <c r="W926" s="176">
        <f t="shared" si="120"/>
        <v>7.486443631284835</v>
      </c>
      <c r="X926" s="176">
        <f t="shared" si="106"/>
        <v>0</v>
      </c>
      <c r="Y926" s="176">
        <f t="shared" si="121"/>
        <v>1</v>
      </c>
      <c r="AA926" s="176">
        <f t="shared" si="122"/>
        <v>5.657401609062731</v>
      </c>
      <c r="AB926" s="176">
        <f t="shared" si="107"/>
        <v>0</v>
      </c>
      <c r="AC926" s="176">
        <f t="shared" si="123"/>
        <v>1</v>
      </c>
      <c r="AE926" s="176">
        <f t="shared" si="124"/>
        <v>6.1056667321718185</v>
      </c>
      <c r="AF926" s="176">
        <f t="shared" si="108"/>
        <v>0</v>
      </c>
      <c r="AG926" s="176">
        <f t="shared" si="125"/>
        <v>1</v>
      </c>
      <c r="AI926" s="176">
        <f t="shared" si="126"/>
        <v>5.657401609062728</v>
      </c>
      <c r="AJ926" s="176">
        <f t="shared" si="109"/>
        <v>0</v>
      </c>
      <c r="AK926" s="176">
        <f t="shared" si="127"/>
        <v>1</v>
      </c>
      <c r="AM926" s="176">
        <f t="shared" si="128"/>
        <v>7.486443631284835</v>
      </c>
      <c r="AN926" s="176">
        <f t="shared" si="110"/>
        <v>0</v>
      </c>
      <c r="AO926" s="176">
        <f t="shared" si="129"/>
        <v>1</v>
      </c>
      <c r="AQ926" s="176">
        <f t="shared" si="130"/>
        <v>3.2374463510882445</v>
      </c>
      <c r="AR926" s="176">
        <f t="shared" si="111"/>
        <v>0</v>
      </c>
      <c r="AS926" s="176">
        <f t="shared" si="131"/>
        <v>1</v>
      </c>
      <c r="AU926" s="176">
        <f t="shared" si="132"/>
        <v>7.829040117535008</v>
      </c>
      <c r="AV926" s="176">
        <f t="shared" si="112"/>
        <v>0</v>
      </c>
      <c r="AW926" s="176">
        <f t="shared" si="133"/>
        <v>1</v>
      </c>
      <c r="AY926" s="176">
        <f t="shared" si="134"/>
        <v>5.099444774492337</v>
      </c>
      <c r="AZ926" s="176">
        <f t="shared" si="113"/>
        <v>0</v>
      </c>
      <c r="BA926" s="176">
        <f t="shared" si="135"/>
        <v>1</v>
      </c>
      <c r="BC926" s="176">
        <f t="shared" si="136"/>
        <v>5.799063457451134</v>
      </c>
      <c r="BD926" s="176">
        <f t="shared" si="114"/>
        <v>0</v>
      </c>
      <c r="BE926" s="176">
        <f t="shared" si="137"/>
        <v>1</v>
      </c>
      <c r="BG926" s="176">
        <f t="shared" si="138"/>
        <v>5.099444774492338</v>
      </c>
      <c r="BH926" s="176">
        <f t="shared" si="115"/>
        <v>0</v>
      </c>
      <c r="BI926" s="176">
        <f t="shared" si="139"/>
        <v>1</v>
      </c>
    </row>
    <row r="927" spans="15:61" ht="12.75">
      <c r="O927" s="176">
        <f t="shared" si="116"/>
        <v>7.829040117535011</v>
      </c>
      <c r="P927" s="176">
        <f t="shared" si="104"/>
        <v>0</v>
      </c>
      <c r="Q927" s="176">
        <f t="shared" si="117"/>
        <v>1</v>
      </c>
      <c r="S927" s="176">
        <f t="shared" si="118"/>
        <v>3.237446351088243</v>
      </c>
      <c r="T927" s="176">
        <f t="shared" si="105"/>
        <v>0</v>
      </c>
      <c r="U927" s="176">
        <f t="shared" si="119"/>
        <v>1</v>
      </c>
      <c r="W927" s="176">
        <f t="shared" si="120"/>
        <v>7.486443631284835</v>
      </c>
      <c r="X927" s="176">
        <f t="shared" si="106"/>
        <v>0</v>
      </c>
      <c r="Y927" s="176">
        <f t="shared" si="121"/>
        <v>1</v>
      </c>
      <c r="AA927" s="176">
        <f t="shared" si="122"/>
        <v>5.657401609062731</v>
      </c>
      <c r="AB927" s="176">
        <f t="shared" si="107"/>
        <v>0</v>
      </c>
      <c r="AC927" s="176">
        <f t="shared" si="123"/>
        <v>1</v>
      </c>
      <c r="AE927" s="176">
        <f t="shared" si="124"/>
        <v>6.1056667321718185</v>
      </c>
      <c r="AF927" s="176">
        <f t="shared" si="108"/>
        <v>0</v>
      </c>
      <c r="AG927" s="176">
        <f t="shared" si="125"/>
        <v>1</v>
      </c>
      <c r="AI927" s="176">
        <f t="shared" si="126"/>
        <v>5.657401609062728</v>
      </c>
      <c r="AJ927" s="176">
        <f t="shared" si="109"/>
        <v>0</v>
      </c>
      <c r="AK927" s="176">
        <f t="shared" si="127"/>
        <v>1</v>
      </c>
      <c r="AM927" s="176">
        <f t="shared" si="128"/>
        <v>7.486443631284835</v>
      </c>
      <c r="AN927" s="176">
        <f t="shared" si="110"/>
        <v>0</v>
      </c>
      <c r="AO927" s="176">
        <f t="shared" si="129"/>
        <v>1</v>
      </c>
      <c r="AQ927" s="176">
        <f t="shared" si="130"/>
        <v>3.2374463510882445</v>
      </c>
      <c r="AR927" s="176">
        <f t="shared" si="111"/>
        <v>0</v>
      </c>
      <c r="AS927" s="176">
        <f t="shared" si="131"/>
        <v>1</v>
      </c>
      <c r="AU927" s="176">
        <f t="shared" si="132"/>
        <v>7.829040117535008</v>
      </c>
      <c r="AV927" s="176">
        <f t="shared" si="112"/>
        <v>0</v>
      </c>
      <c r="AW927" s="176">
        <f t="shared" si="133"/>
        <v>1</v>
      </c>
      <c r="AY927" s="176">
        <f t="shared" si="134"/>
        <v>5.099444774492337</v>
      </c>
      <c r="AZ927" s="176">
        <f t="shared" si="113"/>
        <v>0</v>
      </c>
      <c r="BA927" s="176">
        <f t="shared" si="135"/>
        <v>1</v>
      </c>
      <c r="BC927" s="176">
        <f t="shared" si="136"/>
        <v>5.799063457451134</v>
      </c>
      <c r="BD927" s="176">
        <f t="shared" si="114"/>
        <v>0</v>
      </c>
      <c r="BE927" s="176">
        <f t="shared" si="137"/>
        <v>1</v>
      </c>
      <c r="BG927" s="176">
        <f t="shared" si="138"/>
        <v>5.099444774492338</v>
      </c>
      <c r="BH927" s="176">
        <f t="shared" si="115"/>
        <v>0</v>
      </c>
      <c r="BI927" s="176">
        <f t="shared" si="139"/>
        <v>1</v>
      </c>
    </row>
    <row r="929" spans="14:23" ht="12.75">
      <c r="N929" s="176" t="s">
        <v>850</v>
      </c>
      <c r="O929" s="176" t="s">
        <v>431</v>
      </c>
      <c r="P929" s="176" t="s">
        <v>851</v>
      </c>
      <c r="Q929" s="176" t="s">
        <v>852</v>
      </c>
      <c r="R929" s="176" t="s">
        <v>853</v>
      </c>
      <c r="S929" s="176" t="s">
        <v>432</v>
      </c>
      <c r="T929" s="176" t="s">
        <v>433</v>
      </c>
      <c r="U929" s="176" t="s">
        <v>434</v>
      </c>
      <c r="V929" s="176" t="s">
        <v>408</v>
      </c>
      <c r="W929" s="176" t="s">
        <v>430</v>
      </c>
    </row>
    <row r="930" spans="14:23" ht="12.75">
      <c r="N930" s="261">
        <f aca="true" t="shared" si="140" ref="N930:N939">IF($U930-$E$699&lt;0,10000,$U930-$E$699)</f>
        <v>10000</v>
      </c>
      <c r="O930" s="261">
        <f aca="true" t="shared" si="141" ref="O930:O939">IF($U930-$E$700&lt;0,10000,$U930-$E$700)</f>
        <v>507</v>
      </c>
      <c r="P930" s="261">
        <f aca="true" t="shared" si="142" ref="P930:P939">IF($U930-$E$701&lt;0,10000,$U930-$E$701)</f>
        <v>10000</v>
      </c>
      <c r="Q930" s="261">
        <f aca="true" t="shared" si="143" ref="Q930:Q939">IF($U930-$E$702&lt;0,10000,$U930-$E$702)</f>
        <v>10000</v>
      </c>
      <c r="R930" s="261">
        <f aca="true" t="shared" si="144" ref="R930:R939">IF($U930-$E$703&lt;0,10000,$U930-$E$703)</f>
        <v>10000</v>
      </c>
      <c r="S930" s="261">
        <f aca="true" t="shared" si="145" ref="S930:S939">IF($U930-$E$704&lt;0,10000,$U930-$E$704)</f>
        <v>10000</v>
      </c>
      <c r="T930" s="261">
        <f aca="true" t="shared" si="146" ref="T930:T939">IF($U930-$E$705&lt;0,10000,$U930-$E$705)</f>
        <v>10000</v>
      </c>
      <c r="U930" s="176">
        <v>507</v>
      </c>
      <c r="V930" s="176">
        <v>13</v>
      </c>
      <c r="W930" s="176">
        <v>250</v>
      </c>
    </row>
    <row r="931" spans="14:23" ht="12.75">
      <c r="N931" s="261">
        <f t="shared" si="140"/>
        <v>10000</v>
      </c>
      <c r="O931" s="261">
        <f t="shared" si="141"/>
        <v>794</v>
      </c>
      <c r="P931" s="261">
        <f t="shared" si="142"/>
        <v>10000</v>
      </c>
      <c r="Q931" s="261">
        <f t="shared" si="143"/>
        <v>10000</v>
      </c>
      <c r="R931" s="261">
        <f t="shared" si="144"/>
        <v>10000</v>
      </c>
      <c r="S931" s="261">
        <f t="shared" si="145"/>
        <v>10000</v>
      </c>
      <c r="T931" s="261">
        <f t="shared" si="146"/>
        <v>10000</v>
      </c>
      <c r="U931" s="176">
        <v>794</v>
      </c>
      <c r="V931" s="176">
        <v>16</v>
      </c>
      <c r="W931" s="176">
        <v>250</v>
      </c>
    </row>
    <row r="932" spans="14:23" ht="12.75">
      <c r="N932" s="261">
        <f t="shared" si="140"/>
        <v>10000</v>
      </c>
      <c r="O932" s="261">
        <f t="shared" si="141"/>
        <v>1146</v>
      </c>
      <c r="P932" s="261">
        <f t="shared" si="142"/>
        <v>10000</v>
      </c>
      <c r="Q932" s="261">
        <f t="shared" si="143"/>
        <v>10000</v>
      </c>
      <c r="R932" s="261">
        <f t="shared" si="144"/>
        <v>10000</v>
      </c>
      <c r="S932" s="261">
        <f t="shared" si="145"/>
        <v>10000</v>
      </c>
      <c r="T932" s="261">
        <f t="shared" si="146"/>
        <v>10000</v>
      </c>
      <c r="U932" s="176">
        <v>1146</v>
      </c>
      <c r="V932" s="176">
        <v>19</v>
      </c>
      <c r="W932" s="176">
        <v>250</v>
      </c>
    </row>
    <row r="933" spans="14:23" ht="12.75">
      <c r="N933" s="261">
        <f t="shared" si="140"/>
        <v>174.7154911530315</v>
      </c>
      <c r="O933" s="261">
        <f t="shared" si="141"/>
        <v>1548</v>
      </c>
      <c r="P933" s="261">
        <f t="shared" si="142"/>
        <v>168.11016907990347</v>
      </c>
      <c r="Q933" s="261">
        <f t="shared" si="143"/>
        <v>168.11016907990347</v>
      </c>
      <c r="R933" s="261">
        <f t="shared" si="144"/>
        <v>10000</v>
      </c>
      <c r="S933" s="261">
        <f t="shared" si="145"/>
        <v>10000</v>
      </c>
      <c r="T933" s="261">
        <f t="shared" si="146"/>
        <v>174.7154911530315</v>
      </c>
      <c r="U933" s="176">
        <v>1548</v>
      </c>
      <c r="V933" s="176">
        <v>22</v>
      </c>
      <c r="W933" s="176">
        <v>250</v>
      </c>
    </row>
    <row r="934" spans="14:23" ht="12.75">
      <c r="N934" s="261">
        <f t="shared" si="140"/>
        <v>653.7154911530315</v>
      </c>
      <c r="O934" s="261">
        <f t="shared" si="141"/>
        <v>2027</v>
      </c>
      <c r="P934" s="261">
        <f t="shared" si="142"/>
        <v>647.1101690799035</v>
      </c>
      <c r="Q934" s="261">
        <f t="shared" si="143"/>
        <v>647.1101690799035</v>
      </c>
      <c r="R934" s="261">
        <f t="shared" si="144"/>
        <v>456.1914119907151</v>
      </c>
      <c r="S934" s="261">
        <f t="shared" si="145"/>
        <v>428.93554581217177</v>
      </c>
      <c r="T934" s="261">
        <f t="shared" si="146"/>
        <v>653.7154911530315</v>
      </c>
      <c r="U934" s="176">
        <v>2027</v>
      </c>
      <c r="V934" s="176">
        <v>25</v>
      </c>
      <c r="W934" s="176">
        <v>250</v>
      </c>
    </row>
    <row r="935" spans="14:23" ht="12.75">
      <c r="N935" s="261">
        <f t="shared" si="140"/>
        <v>1196.7154911530315</v>
      </c>
      <c r="O935" s="261">
        <f t="shared" si="141"/>
        <v>2570</v>
      </c>
      <c r="P935" s="261">
        <f t="shared" si="142"/>
        <v>1190.1101690799035</v>
      </c>
      <c r="Q935" s="261">
        <f t="shared" si="143"/>
        <v>1190.1101690799035</v>
      </c>
      <c r="R935" s="261">
        <f t="shared" si="144"/>
        <v>999.1914119907151</v>
      </c>
      <c r="S935" s="261">
        <f t="shared" si="145"/>
        <v>971.9355458121718</v>
      </c>
      <c r="T935" s="261">
        <f t="shared" si="146"/>
        <v>1196.7154911530315</v>
      </c>
      <c r="U935" s="176">
        <v>2570</v>
      </c>
      <c r="V935" s="176">
        <v>29</v>
      </c>
      <c r="W935" s="176">
        <v>250</v>
      </c>
    </row>
    <row r="936" spans="14:23" ht="12.75">
      <c r="N936" s="261">
        <f t="shared" si="140"/>
        <v>1803.7154911530315</v>
      </c>
      <c r="O936" s="261">
        <f t="shared" si="141"/>
        <v>3177</v>
      </c>
      <c r="P936" s="261">
        <f t="shared" si="142"/>
        <v>1797.1101690799035</v>
      </c>
      <c r="Q936" s="261">
        <f t="shared" si="143"/>
        <v>1797.1101690799035</v>
      </c>
      <c r="R936" s="261">
        <f t="shared" si="144"/>
        <v>1606.191411990715</v>
      </c>
      <c r="S936" s="261">
        <f t="shared" si="145"/>
        <v>1578.9355458121718</v>
      </c>
      <c r="T936" s="261">
        <f t="shared" si="146"/>
        <v>1803.7154911530315</v>
      </c>
      <c r="U936" s="176">
        <v>3177</v>
      </c>
      <c r="V936" s="176">
        <v>32</v>
      </c>
      <c r="W936" s="176">
        <v>250</v>
      </c>
    </row>
    <row r="937" spans="14:23" ht="12.75">
      <c r="N937" s="261">
        <f t="shared" si="140"/>
        <v>2680.7154911530315</v>
      </c>
      <c r="O937" s="261">
        <f t="shared" si="141"/>
        <v>4054</v>
      </c>
      <c r="P937" s="261">
        <f t="shared" si="142"/>
        <v>2674.1101690799032</v>
      </c>
      <c r="Q937" s="261">
        <f t="shared" si="143"/>
        <v>2674.1101690799032</v>
      </c>
      <c r="R937" s="261">
        <f t="shared" si="144"/>
        <v>2483.191411990715</v>
      </c>
      <c r="S937" s="261">
        <f t="shared" si="145"/>
        <v>2455.9355458121718</v>
      </c>
      <c r="T937" s="261">
        <f t="shared" si="146"/>
        <v>2680.7154911530315</v>
      </c>
      <c r="U937" s="176">
        <v>4054</v>
      </c>
      <c r="V937" s="176">
        <v>25</v>
      </c>
      <c r="W937" s="176">
        <v>125</v>
      </c>
    </row>
    <row r="938" spans="14:23" ht="12.75">
      <c r="N938" s="261">
        <f t="shared" si="140"/>
        <v>3765.7154911530315</v>
      </c>
      <c r="O938" s="261">
        <f t="shared" si="141"/>
        <v>5139</v>
      </c>
      <c r="P938" s="261">
        <f t="shared" si="142"/>
        <v>3759.1101690799032</v>
      </c>
      <c r="Q938" s="261">
        <f t="shared" si="143"/>
        <v>3759.1101690799032</v>
      </c>
      <c r="R938" s="261">
        <f t="shared" si="144"/>
        <v>3568.191411990715</v>
      </c>
      <c r="S938" s="261">
        <f t="shared" si="145"/>
        <v>3540.9355458121718</v>
      </c>
      <c r="T938" s="261">
        <f t="shared" si="146"/>
        <v>3765.7154911530315</v>
      </c>
      <c r="U938" s="176">
        <v>5139</v>
      </c>
      <c r="V938" s="176">
        <v>29</v>
      </c>
      <c r="W938" s="176">
        <v>125</v>
      </c>
    </row>
    <row r="939" spans="14:23" ht="12.75">
      <c r="N939" s="261">
        <f t="shared" si="140"/>
        <v>4980.7154911530315</v>
      </c>
      <c r="O939" s="261">
        <f t="shared" si="141"/>
        <v>6354</v>
      </c>
      <c r="P939" s="261">
        <f t="shared" si="142"/>
        <v>4974.110169079903</v>
      </c>
      <c r="Q939" s="261">
        <f t="shared" si="143"/>
        <v>4974.110169079903</v>
      </c>
      <c r="R939" s="261">
        <f t="shared" si="144"/>
        <v>4783.191411990715</v>
      </c>
      <c r="S939" s="261">
        <f t="shared" si="145"/>
        <v>4755.935545812172</v>
      </c>
      <c r="T939" s="261">
        <f t="shared" si="146"/>
        <v>4980.7154911530315</v>
      </c>
      <c r="U939" s="176">
        <v>6354</v>
      </c>
      <c r="V939" s="176">
        <v>32</v>
      </c>
      <c r="W939" s="176">
        <v>125</v>
      </c>
    </row>
    <row r="940" spans="13:20" ht="12.75">
      <c r="M940" s="176" t="s">
        <v>854</v>
      </c>
      <c r="N940" s="261">
        <f aca="true" t="shared" si="147" ref="N940:T940">MIN(N930:N939)</f>
        <v>174.7154911530315</v>
      </c>
      <c r="O940" s="261">
        <f t="shared" si="147"/>
        <v>507</v>
      </c>
      <c r="P940" s="261">
        <f t="shared" si="147"/>
        <v>168.11016907990347</v>
      </c>
      <c r="Q940" s="261">
        <f t="shared" si="147"/>
        <v>168.11016907990347</v>
      </c>
      <c r="R940" s="261">
        <f t="shared" si="147"/>
        <v>456.1914119907151</v>
      </c>
      <c r="S940" s="261">
        <f t="shared" si="147"/>
        <v>428.93554581217177</v>
      </c>
      <c r="T940" s="261">
        <f t="shared" si="147"/>
        <v>174.7154911530315</v>
      </c>
    </row>
    <row r="941" ht="12.75">
      <c r="K941" s="261"/>
    </row>
    <row r="942" ht="12.75">
      <c r="K942" s="261"/>
    </row>
    <row r="943" ht="12.75">
      <c r="K943" s="261"/>
    </row>
    <row r="944" spans="11:20" ht="12.75">
      <c r="K944" s="261"/>
      <c r="Q944" s="176" t="s">
        <v>855</v>
      </c>
      <c r="T944" s="176" t="s">
        <v>856</v>
      </c>
    </row>
    <row r="945" spans="11:21" ht="12.75">
      <c r="K945" s="261"/>
      <c r="N945" s="187" t="s">
        <v>779</v>
      </c>
      <c r="O945" s="194"/>
      <c r="P945" s="205" t="s">
        <v>857</v>
      </c>
      <c r="Q945" s="205" t="s">
        <v>430</v>
      </c>
      <c r="R945" s="205" t="s">
        <v>796</v>
      </c>
      <c r="S945" s="205" t="s">
        <v>429</v>
      </c>
      <c r="T945" s="205" t="s">
        <v>430</v>
      </c>
      <c r="U945" s="205" t="s">
        <v>796</v>
      </c>
    </row>
    <row r="946" spans="11:21" ht="15">
      <c r="K946" s="261"/>
      <c r="N946" s="188"/>
      <c r="O946" s="194"/>
      <c r="P946" s="260" t="s">
        <v>858</v>
      </c>
      <c r="Q946" s="205" t="s">
        <v>438</v>
      </c>
      <c r="R946" s="205" t="s">
        <v>798</v>
      </c>
      <c r="S946" s="260" t="s">
        <v>859</v>
      </c>
      <c r="T946" s="205" t="s">
        <v>435</v>
      </c>
      <c r="U946" s="205" t="s">
        <v>798</v>
      </c>
    </row>
    <row r="947" spans="14:21" ht="12.75">
      <c r="N947" s="179" t="s">
        <v>9</v>
      </c>
      <c r="O947" s="179" t="s">
        <v>586</v>
      </c>
      <c r="P947" s="205">
        <f>VLOOKUP($N$940,$N$930:$W$939,9,FALSE)</f>
        <v>22</v>
      </c>
      <c r="Q947" s="205">
        <f>VLOOKUP($N$940,$N$930:$W$939,10,FALSE)</f>
        <v>250</v>
      </c>
      <c r="R947" s="205">
        <f>VLOOKUP($N$940,$N$930:$W$939,8,FALSE)</f>
        <v>1548</v>
      </c>
      <c r="S947" s="176">
        <f>'入力'!C37</f>
        <v>16</v>
      </c>
      <c r="T947" s="176">
        <f>'入力'!D37</f>
        <v>125</v>
      </c>
      <c r="U947" s="176">
        <f aca="true" t="shared" si="148" ref="U947:U953">(IF(S947=13,126.7,IF(S947=16,198.6,IF(S947=19,286.5,IF(S947=22,387.1,IF(S947=25,506.7,IF(S947=29,642.4,794.2)))))))*1000/T947</f>
        <v>1588.8</v>
      </c>
    </row>
    <row r="948" spans="14:21" ht="12.75">
      <c r="N948" s="170"/>
      <c r="O948" s="183" t="s">
        <v>58</v>
      </c>
      <c r="P948" s="205">
        <f>VLOOKUP($O$940,$O$930:$W$939,8,FALSE)</f>
        <v>13</v>
      </c>
      <c r="Q948" s="205">
        <f>VLOOKUP($O$940,$O$930:$W$939,9,FALSE)</f>
        <v>250</v>
      </c>
      <c r="R948" s="205">
        <f>VLOOKUP($O$940,$O$930:$W$939,7,FALSE)</f>
        <v>507</v>
      </c>
      <c r="S948" s="176">
        <f>'入力'!C38</f>
        <v>13</v>
      </c>
      <c r="T948" s="176">
        <f>'入力'!D38</f>
        <v>250</v>
      </c>
      <c r="U948" s="176">
        <f t="shared" si="148"/>
        <v>506.8</v>
      </c>
    </row>
    <row r="949" spans="14:21" ht="12.75">
      <c r="N949" s="171"/>
      <c r="O949" s="182" t="s">
        <v>860</v>
      </c>
      <c r="P949" s="205">
        <f>VLOOKUP($P$940,$P$930:$W$939,7,FALSE)</f>
        <v>22</v>
      </c>
      <c r="Q949" s="205">
        <f>VLOOKUP($P$940,$P$930:$W$939,8,FALSE)</f>
        <v>250</v>
      </c>
      <c r="R949" s="205">
        <f>VLOOKUP($P$940,$P$930:$W$939,6,FALSE)</f>
        <v>1548</v>
      </c>
      <c r="S949" s="176">
        <f>'入力'!C39</f>
        <v>19</v>
      </c>
      <c r="T949" s="176">
        <f>'入力'!D39</f>
        <v>125</v>
      </c>
      <c r="U949" s="176">
        <f>(IF(S949=13,126.7,IF(S949=16,198.6,IF(S949=19,286.5,IF(S949=22,387.1,IF(S949=25,506.7,IF(S949=29,642.4,794.2)))))))*1000/T949</f>
        <v>2292</v>
      </c>
    </row>
    <row r="950" spans="14:21" ht="12.75">
      <c r="N950" s="179" t="s">
        <v>656</v>
      </c>
      <c r="O950" s="187" t="s">
        <v>799</v>
      </c>
      <c r="P950" s="205">
        <f>VLOOKUP($Q$940,$Q$930:$W$939,6,FALSE)</f>
        <v>22</v>
      </c>
      <c r="Q950" s="205">
        <f>VLOOKUP($Q$940,$Q$930:$W$939,7,FALSE)</f>
        <v>250</v>
      </c>
      <c r="R950" s="205">
        <f>VLOOKUP($Q$940,$Q$930:$W$939,5,FALSE)</f>
        <v>1548</v>
      </c>
      <c r="S950" s="176">
        <f>'入力'!C40</f>
        <v>19</v>
      </c>
      <c r="T950" s="176">
        <f>'入力'!D40</f>
        <v>125</v>
      </c>
      <c r="U950" s="176">
        <f t="shared" si="148"/>
        <v>2292</v>
      </c>
    </row>
    <row r="951" spans="14:21" ht="12.75">
      <c r="N951" s="171"/>
      <c r="O951" s="182" t="s">
        <v>286</v>
      </c>
      <c r="P951" s="205">
        <f>VLOOKUP($R$940,$R$930:$W$939,5,FALSE)</f>
        <v>25</v>
      </c>
      <c r="Q951" s="205">
        <f>VLOOKUP($R$940,$R$930:$W$939,6,FALSE)</f>
        <v>250</v>
      </c>
      <c r="R951" s="205">
        <f>VLOOKUP($R$940,$R$930:$W$939,4,FALSE)</f>
        <v>2027</v>
      </c>
      <c r="S951" s="176">
        <f>'入力'!C41</f>
        <v>19</v>
      </c>
      <c r="T951" s="176">
        <f>'入力'!D41</f>
        <v>125</v>
      </c>
      <c r="U951" s="176">
        <f t="shared" si="148"/>
        <v>2292</v>
      </c>
    </row>
    <row r="952" spans="14:21" ht="12.75">
      <c r="N952" s="179" t="s">
        <v>10</v>
      </c>
      <c r="O952" s="187" t="s">
        <v>287</v>
      </c>
      <c r="P952" s="205">
        <f>VLOOKUP($S$940,$S$930:$W$939,4,FALSE)</f>
        <v>25</v>
      </c>
      <c r="Q952" s="205">
        <f>VLOOKUP($S$940,$S$930:$W$939,5,FALSE)</f>
        <v>250</v>
      </c>
      <c r="R952" s="205">
        <f>VLOOKUP($S$940,$S$930:$W$939,3,FALSE)</f>
        <v>2027</v>
      </c>
      <c r="S952" s="176">
        <f>'入力'!C42</f>
        <v>19</v>
      </c>
      <c r="T952" s="176">
        <f>'入力'!D42</f>
        <v>125</v>
      </c>
      <c r="U952" s="176">
        <f t="shared" si="148"/>
        <v>2292</v>
      </c>
    </row>
    <row r="953" spans="14:21" ht="12.75">
      <c r="N953" s="170"/>
      <c r="O953" s="183" t="s">
        <v>286</v>
      </c>
      <c r="P953" s="205">
        <f>VLOOKUP($T$940,$T$930:$W$939,3,FALSE)</f>
        <v>22</v>
      </c>
      <c r="Q953" s="205">
        <f>VLOOKUP($T$940,$T$930:$W$939,4,FALSE)</f>
        <v>250</v>
      </c>
      <c r="R953" s="205">
        <f>VLOOKUP($T$940,$T$930:$W$939,2,FALSE)</f>
        <v>1548</v>
      </c>
      <c r="S953" s="176">
        <f>'入力'!C43</f>
        <v>16</v>
      </c>
      <c r="T953" s="176">
        <f>'入力'!D43</f>
        <v>125</v>
      </c>
      <c r="U953" s="176">
        <f t="shared" si="148"/>
        <v>1588.8</v>
      </c>
    </row>
    <row r="954" spans="14:18" ht="12.75">
      <c r="N954" s="240"/>
      <c r="O954" s="205"/>
      <c r="P954" s="205"/>
      <c r="Q954" s="205"/>
      <c r="R954" s="205"/>
    </row>
    <row r="955" spans="14:18" ht="12.75">
      <c r="N955" s="240"/>
      <c r="O955" s="205"/>
      <c r="P955" s="205"/>
      <c r="Q955" s="205"/>
      <c r="R955" s="205"/>
    </row>
    <row r="956" spans="14:18" ht="12.75">
      <c r="N956" s="240"/>
      <c r="O956" s="205"/>
      <c r="P956" s="205"/>
      <c r="Q956" s="205"/>
      <c r="R956" s="205"/>
    </row>
    <row r="957" spans="14:18" ht="12.75">
      <c r="N957" s="240"/>
      <c r="O957" s="205"/>
      <c r="P957" s="205"/>
      <c r="Q957" s="205"/>
      <c r="R957" s="205"/>
    </row>
    <row r="958" spans="14:18" ht="12.75">
      <c r="N958" s="240"/>
      <c r="O958" s="205"/>
      <c r="P958" s="205"/>
      <c r="Q958" s="205"/>
      <c r="R958" s="205"/>
    </row>
    <row r="959" spans="14:18" ht="12.75">
      <c r="N959" s="240"/>
      <c r="O959" s="205"/>
      <c r="P959" s="205"/>
      <c r="Q959" s="205"/>
      <c r="R959" s="205"/>
    </row>
    <row r="960" spans="14:18" ht="12.75">
      <c r="N960" s="240"/>
      <c r="O960" s="205"/>
      <c r="P960" s="205"/>
      <c r="Q960" s="205"/>
      <c r="R960" s="205"/>
    </row>
    <row r="961" spans="14:18" ht="12.75">
      <c r="N961" s="240"/>
      <c r="O961" s="205"/>
      <c r="P961" s="205"/>
      <c r="Q961" s="205"/>
      <c r="R961" s="205"/>
    </row>
    <row r="962" spans="14:18" ht="12.75">
      <c r="N962" s="240"/>
      <c r="O962" s="205"/>
      <c r="P962" s="205"/>
      <c r="Q962" s="205"/>
      <c r="R962" s="205"/>
    </row>
    <row r="963" spans="14:18" ht="12.75">
      <c r="N963" s="240"/>
      <c r="O963" s="205"/>
      <c r="P963" s="205"/>
      <c r="Q963" s="205"/>
      <c r="R963" s="205"/>
    </row>
    <row r="964" spans="14:18" ht="12.75">
      <c r="N964" s="240"/>
      <c r="O964" s="205"/>
      <c r="P964" s="205"/>
      <c r="Q964" s="205"/>
      <c r="R964" s="205"/>
    </row>
    <row r="965" spans="14:18" ht="12.75">
      <c r="N965" s="240"/>
      <c r="O965" s="205"/>
      <c r="P965" s="205"/>
      <c r="Q965" s="205"/>
      <c r="R965" s="205"/>
    </row>
    <row r="966" spans="14:18" ht="12.75">
      <c r="N966" s="240"/>
      <c r="O966" s="205"/>
      <c r="P966" s="205"/>
      <c r="Q966" s="205"/>
      <c r="R966" s="205"/>
    </row>
    <row r="967" spans="14:18" ht="12.75">
      <c r="N967" s="240"/>
      <c r="O967" s="205"/>
      <c r="P967" s="205"/>
      <c r="Q967" s="205"/>
      <c r="R967" s="205"/>
    </row>
    <row r="968" spans="14:18" ht="12.75">
      <c r="N968" s="240"/>
      <c r="O968" s="205"/>
      <c r="P968" s="205"/>
      <c r="Q968" s="205"/>
      <c r="R968" s="205"/>
    </row>
    <row r="969" spans="14:18" ht="12.75">
      <c r="N969" s="240"/>
      <c r="O969" s="205"/>
      <c r="P969" s="205"/>
      <c r="Q969" s="205"/>
      <c r="R969" s="205"/>
    </row>
    <row r="970" spans="10:18" ht="12.75">
      <c r="J970" s="176" t="s">
        <v>861</v>
      </c>
      <c r="K970" s="184" t="s">
        <v>862</v>
      </c>
      <c r="L970" s="175">
        <f>L10</f>
        <v>0.2</v>
      </c>
      <c r="M970" s="176">
        <f>IF(L970=0,4/3,1)</f>
        <v>1</v>
      </c>
      <c r="N970" s="240"/>
      <c r="O970" s="205"/>
      <c r="P970" s="205"/>
      <c r="Q970" s="205"/>
      <c r="R970" s="205"/>
    </row>
    <row r="971" spans="14:18" ht="12.75">
      <c r="N971" s="240"/>
      <c r="O971" s="205"/>
      <c r="P971" s="205"/>
      <c r="Q971" s="205"/>
      <c r="R971" s="205"/>
    </row>
    <row r="972" spans="14:18" ht="12.75">
      <c r="N972" s="240"/>
      <c r="O972" s="205"/>
      <c r="P972" s="205"/>
      <c r="Q972" s="205"/>
      <c r="R972" s="205"/>
    </row>
    <row r="973" spans="14:18" ht="12.75">
      <c r="N973" s="240"/>
      <c r="O973" s="205"/>
      <c r="P973" s="205"/>
      <c r="Q973" s="205"/>
      <c r="R973" s="205"/>
    </row>
    <row r="974" spans="18:62" ht="12.75">
      <c r="R974" s="176" t="s">
        <v>734</v>
      </c>
      <c r="S974" s="176" t="s">
        <v>399</v>
      </c>
      <c r="U974" s="176" t="s">
        <v>734</v>
      </c>
      <c r="V974" s="176" t="s">
        <v>400</v>
      </c>
      <c r="Y974" s="176" t="s">
        <v>734</v>
      </c>
      <c r="Z974" s="176" t="s">
        <v>417</v>
      </c>
      <c r="AC974" s="176" t="s">
        <v>293</v>
      </c>
      <c r="AD974" s="176" t="s">
        <v>403</v>
      </c>
      <c r="AG974" s="176" t="s">
        <v>293</v>
      </c>
      <c r="AH974" s="176" t="s">
        <v>400</v>
      </c>
      <c r="AK974" s="176" t="s">
        <v>293</v>
      </c>
      <c r="AL974" s="176" t="s">
        <v>404</v>
      </c>
      <c r="AO974" s="176" t="s">
        <v>261</v>
      </c>
      <c r="AP974" s="176" t="s">
        <v>405</v>
      </c>
      <c r="AS974" s="176" t="s">
        <v>261</v>
      </c>
      <c r="AT974" s="176" t="s">
        <v>406</v>
      </c>
      <c r="AW974" s="176" t="s">
        <v>261</v>
      </c>
      <c r="AX974" s="176" t="s">
        <v>418</v>
      </c>
      <c r="BA974" s="176" t="s">
        <v>298</v>
      </c>
      <c r="BB974" s="176" t="s">
        <v>408</v>
      </c>
      <c r="BE974" s="176" t="s">
        <v>298</v>
      </c>
      <c r="BF974" s="176" t="s">
        <v>777</v>
      </c>
      <c r="BI974" s="176" t="s">
        <v>23</v>
      </c>
      <c r="BJ974" s="176" t="s">
        <v>419</v>
      </c>
    </row>
    <row r="975" spans="17:62" ht="12.75">
      <c r="Q975" s="184" t="s">
        <v>863</v>
      </c>
      <c r="R975" s="261">
        <f>E742</f>
        <v>250</v>
      </c>
      <c r="U975" s="184" t="s">
        <v>863</v>
      </c>
      <c r="V975" s="261">
        <f>E743</f>
        <v>250</v>
      </c>
      <c r="Y975" s="184" t="s">
        <v>863</v>
      </c>
      <c r="Z975" s="261">
        <f>R975</f>
        <v>250</v>
      </c>
      <c r="AC975" s="184" t="s">
        <v>863</v>
      </c>
      <c r="AD975" s="261">
        <f>E745</f>
        <v>300</v>
      </c>
      <c r="AG975" s="184" t="s">
        <v>863</v>
      </c>
      <c r="AH975" s="261">
        <f>E746</f>
        <v>300</v>
      </c>
      <c r="AK975" s="184" t="s">
        <v>863</v>
      </c>
      <c r="AL975" s="261">
        <f>AD975</f>
        <v>300</v>
      </c>
      <c r="AO975" s="184" t="s">
        <v>863</v>
      </c>
      <c r="AP975" s="261">
        <f>R975</f>
        <v>250</v>
      </c>
      <c r="AS975" s="184" t="s">
        <v>863</v>
      </c>
      <c r="AT975" s="261">
        <f>V975</f>
        <v>250</v>
      </c>
      <c r="AW975" s="184" t="s">
        <v>863</v>
      </c>
      <c r="AX975" s="261">
        <f>Z975</f>
        <v>250</v>
      </c>
      <c r="BA975" s="184" t="s">
        <v>863</v>
      </c>
      <c r="BB975" s="261">
        <f>E751</f>
        <v>340</v>
      </c>
      <c r="BE975" s="184" t="s">
        <v>863</v>
      </c>
      <c r="BF975" s="261">
        <f>E752</f>
        <v>350</v>
      </c>
      <c r="BI975" s="184" t="s">
        <v>863</v>
      </c>
      <c r="BJ975" s="261">
        <f>BB975</f>
        <v>340</v>
      </c>
    </row>
    <row r="976" spans="10:63" ht="12.75">
      <c r="J976" s="205" t="s">
        <v>864</v>
      </c>
      <c r="K976" s="234" t="s">
        <v>865</v>
      </c>
      <c r="L976" s="260"/>
      <c r="N976" s="176" t="s">
        <v>843</v>
      </c>
      <c r="Q976" s="176">
        <f>M978</f>
        <v>627.8733827402414</v>
      </c>
      <c r="R976" s="176">
        <f>N978</f>
        <v>63988.43989445681</v>
      </c>
      <c r="S976" s="176">
        <f>O978</f>
        <v>-15997109.973614203</v>
      </c>
      <c r="U976" s="176">
        <f>M979</f>
        <v>-413.53787114483885</v>
      </c>
      <c r="V976" s="176">
        <f>N979</f>
        <v>5117.588979887</v>
      </c>
      <c r="W976" s="176">
        <f>O979</f>
        <v>-1279397.24497175</v>
      </c>
      <c r="Y976" s="176">
        <f>M980</f>
        <v>737.0873607235046</v>
      </c>
      <c r="Z976" s="176">
        <f>N980</f>
        <v>69060.33703199954</v>
      </c>
      <c r="AA976" s="176">
        <f>O980</f>
        <v>-17265084.25799989</v>
      </c>
      <c r="AC976" s="176">
        <f>M981</f>
        <v>1952.6268097275092</v>
      </c>
      <c r="AD976" s="176">
        <f>N981</f>
        <v>132475.98904374553</v>
      </c>
      <c r="AE976" s="176">
        <f>O981</f>
        <v>-39742796.71312366</v>
      </c>
      <c r="AG976" s="176">
        <f>M982</f>
        <v>2312.508096363523</v>
      </c>
      <c r="AH976" s="176">
        <f>N982</f>
        <v>195352.6173398658</v>
      </c>
      <c r="AI976" s="176">
        <f>O982</f>
        <v>-58605785.201959744</v>
      </c>
      <c r="AK976" s="176">
        <f>M983</f>
        <v>1952.6268097275079</v>
      </c>
      <c r="AL976" s="176">
        <f>N983</f>
        <v>132475.98904374545</v>
      </c>
      <c r="AM976" s="176">
        <f>O983</f>
        <v>-39742796.71312364</v>
      </c>
      <c r="AO976" s="176">
        <f>M984</f>
        <v>737.0873607235048</v>
      </c>
      <c r="AP976" s="176">
        <f>N984</f>
        <v>69060.33703199956</v>
      </c>
      <c r="AQ976" s="176">
        <f>O984</f>
        <v>-17265084.25799989</v>
      </c>
      <c r="AS976" s="176">
        <f>M985</f>
        <v>-413.5378711448387</v>
      </c>
      <c r="AT976" s="176">
        <f>N985</f>
        <v>5117.588979887003</v>
      </c>
      <c r="AU976" s="176">
        <f>O985</f>
        <v>-1279397.2449717508</v>
      </c>
      <c r="AW976" s="176">
        <f>M986</f>
        <v>627.8733827402411</v>
      </c>
      <c r="AX976" s="176">
        <f>N986</f>
        <v>63988.439894456795</v>
      </c>
      <c r="AY976" s="176">
        <f>O986</f>
        <v>-15997109.973614201</v>
      </c>
      <c r="BA976" s="176">
        <f>M987</f>
        <v>1488.413266219557</v>
      </c>
      <c r="BB976" s="176">
        <f>N987</f>
        <v>116490.71208323621</v>
      </c>
      <c r="BC976" s="176">
        <f>O987</f>
        <v>-39606842.10830031</v>
      </c>
      <c r="BE976" s="176">
        <f>M988</f>
        <v>2206.126633809776</v>
      </c>
      <c r="BF976" s="176">
        <f>N988</f>
        <v>198005.0606019725</v>
      </c>
      <c r="BG976" s="176">
        <f>O988</f>
        <v>-69301771.21069036</v>
      </c>
      <c r="BI976" s="176">
        <f>M989</f>
        <v>1488.4132662195573</v>
      </c>
      <c r="BJ976" s="176">
        <f>N989</f>
        <v>116490.71208323623</v>
      </c>
      <c r="BK976" s="176">
        <f>O989</f>
        <v>-39606842.10830032</v>
      </c>
    </row>
    <row r="977" spans="10:63" ht="15">
      <c r="J977" s="176" t="s">
        <v>786</v>
      </c>
      <c r="K977" s="182" t="s">
        <v>786</v>
      </c>
      <c r="L977" s="205"/>
      <c r="M977" s="260" t="s">
        <v>844</v>
      </c>
      <c r="N977" s="260" t="s">
        <v>845</v>
      </c>
      <c r="O977" s="260" t="s">
        <v>846</v>
      </c>
      <c r="Q977" s="260" t="s">
        <v>866</v>
      </c>
      <c r="R977" s="260" t="s">
        <v>867</v>
      </c>
      <c r="S977" s="205" t="s">
        <v>849</v>
      </c>
      <c r="U977" s="260" t="s">
        <v>866</v>
      </c>
      <c r="V977" s="260" t="s">
        <v>867</v>
      </c>
      <c r="W977" s="205" t="s">
        <v>849</v>
      </c>
      <c r="Y977" s="260" t="s">
        <v>866</v>
      </c>
      <c r="Z977" s="260" t="s">
        <v>867</v>
      </c>
      <c r="AA977" s="205" t="s">
        <v>849</v>
      </c>
      <c r="AC977" s="260" t="s">
        <v>866</v>
      </c>
      <c r="AD977" s="260" t="s">
        <v>867</v>
      </c>
      <c r="AE977" s="205" t="s">
        <v>849</v>
      </c>
      <c r="AF977" s="205"/>
      <c r="AG977" s="260" t="s">
        <v>866</v>
      </c>
      <c r="AH977" s="260" t="s">
        <v>867</v>
      </c>
      <c r="AI977" s="205" t="s">
        <v>849</v>
      </c>
      <c r="AJ977" s="205"/>
      <c r="AK977" s="260" t="s">
        <v>866</v>
      </c>
      <c r="AL977" s="260" t="s">
        <v>867</v>
      </c>
      <c r="AM977" s="205" t="s">
        <v>849</v>
      </c>
      <c r="AN977" s="205"/>
      <c r="AO977" s="260" t="s">
        <v>866</v>
      </c>
      <c r="AP977" s="260" t="s">
        <v>867</v>
      </c>
      <c r="AQ977" s="205" t="s">
        <v>849</v>
      </c>
      <c r="AR977" s="205"/>
      <c r="AS977" s="260" t="s">
        <v>866</v>
      </c>
      <c r="AT977" s="260" t="s">
        <v>867</v>
      </c>
      <c r="AU977" s="205" t="s">
        <v>849</v>
      </c>
      <c r="AV977" s="205"/>
      <c r="AW977" s="260" t="s">
        <v>866</v>
      </c>
      <c r="AX977" s="260" t="s">
        <v>867</v>
      </c>
      <c r="AY977" s="205" t="s">
        <v>849</v>
      </c>
      <c r="AZ977" s="205"/>
      <c r="BA977" s="260" t="s">
        <v>866</v>
      </c>
      <c r="BB977" s="260" t="s">
        <v>867</v>
      </c>
      <c r="BC977" s="205" t="s">
        <v>849</v>
      </c>
      <c r="BD977" s="205"/>
      <c r="BE977" s="260" t="s">
        <v>866</v>
      </c>
      <c r="BF977" s="260" t="s">
        <v>867</v>
      </c>
      <c r="BG977" s="205" t="s">
        <v>849</v>
      </c>
      <c r="BH977" s="205"/>
      <c r="BI977" s="260" t="s">
        <v>866</v>
      </c>
      <c r="BJ977" s="260" t="s">
        <v>867</v>
      </c>
      <c r="BK977" s="205" t="s">
        <v>849</v>
      </c>
    </row>
    <row r="978" spans="10:62" ht="12.75">
      <c r="J978" s="235">
        <f>L$5*1000</f>
        <v>350</v>
      </c>
      <c r="K978" s="233">
        <f>IF($I$663&gt;=$I$679,F663,F679)</f>
        <v>75</v>
      </c>
      <c r="L978" s="199"/>
      <c r="M978" s="176">
        <f aca="true" t="shared" si="149" ref="M978:M989">-3*(J978/2-D742)</f>
        <v>627.8733827402414</v>
      </c>
      <c r="N978" s="176">
        <f aca="true" t="shared" si="150" ref="N978:N989">6*15/$D$738*F742*(D742+K978)</f>
        <v>63988.43989445681</v>
      </c>
      <c r="O978" s="176">
        <f aca="true" t="shared" si="151" ref="O978:O989">-6*15/$D$738*F742*(K978+J978/2)*(D742+K978)</f>
        <v>-15997109.973614203</v>
      </c>
      <c r="Q978" s="176">
        <f>0.1*R975</f>
        <v>25</v>
      </c>
      <c r="R978" s="176">
        <f>Q978^3+Q$976*Q978^2+R$976*Q978+S$976</f>
        <v>-13989353.112040132</v>
      </c>
      <c r="U978" s="176">
        <f>0.1*V975</f>
        <v>25</v>
      </c>
      <c r="V978" s="176">
        <f>U978^3+U$976*U978^2+V$976*U978+W$976</f>
        <v>-1394293.6899400994</v>
      </c>
      <c r="Y978" s="176">
        <f>0.1*Z975</f>
        <v>25</v>
      </c>
      <c r="Z978" s="176">
        <f>Y978^3+Y$976*Y978^2+Z$976*Y978+AA$976</f>
        <v>-15062271.231747711</v>
      </c>
      <c r="AC978" s="176">
        <f>0.1*AD975</f>
        <v>30</v>
      </c>
      <c r="AD978" s="176">
        <f>AC978^3+AC$976*AC978^2+AD$976*AC978+AE$976</f>
        <v>-33984152.91305653</v>
      </c>
      <c r="AG978" s="176">
        <f>0.1*AH975</f>
        <v>30</v>
      </c>
      <c r="AH978" s="176">
        <f>AG978^3+AG$976*AG978^2+AH$976*AG978+AI$976</f>
        <v>-50636949.3950366</v>
      </c>
      <c r="AK978" s="176">
        <f>0.1*AL975</f>
        <v>30</v>
      </c>
      <c r="AL978" s="176">
        <f>AK978^3+AK$976*AK978^2+AL$976*AK978+AM$976</f>
        <v>-33984152.91305652</v>
      </c>
      <c r="AO978" s="176">
        <f>0.1*AP975</f>
        <v>25</v>
      </c>
      <c r="AP978" s="176">
        <f>AO978^3+AO$976*AO978^2+AP$976*AO978+AQ$976</f>
        <v>-15062271.23174771</v>
      </c>
      <c r="AS978" s="176">
        <f>0.1*AT975</f>
        <v>25</v>
      </c>
      <c r="AT978" s="176">
        <f>AS978^3+AS$976*AS978^2+AT$976*AS978+AU$976</f>
        <v>-1394293.6899400998</v>
      </c>
      <c r="AW978" s="176">
        <f>0.1*AX975</f>
        <v>25</v>
      </c>
      <c r="AX978" s="176">
        <f>AW978^3+AW$976*AW978^2+AX$976*AW978+AY$976</f>
        <v>-13989353.11204013</v>
      </c>
      <c r="BA978" s="176">
        <f>0.1*BB975</f>
        <v>34</v>
      </c>
      <c r="BB978" s="176">
        <f>BA978^3+BA$976*BA978^2+BB$976*BA978+BC$976</f>
        <v>-33886248.16172048</v>
      </c>
      <c r="BE978" s="176">
        <f>0.1*BF975</f>
        <v>35</v>
      </c>
      <c r="BF978" s="176">
        <f>BE978^3+BE$976*BE978^2+BF$976*BE978+BG$976</f>
        <v>-59626213.963204354</v>
      </c>
      <c r="BI978" s="176">
        <f>0.1*BJ975</f>
        <v>34</v>
      </c>
      <c r="BJ978" s="176">
        <f>BI978^3+BI$976*BI978^2+BJ$976*BI978+BK$976</f>
        <v>-33886248.161720484</v>
      </c>
    </row>
    <row r="979" spans="10:63" ht="12.75">
      <c r="J979" s="235">
        <f>L$5*1000</f>
        <v>350</v>
      </c>
      <c r="K979" s="233">
        <f>IF($I$664&gt;=$I$680,F664,F680)</f>
        <v>75</v>
      </c>
      <c r="L979" s="199"/>
      <c r="M979" s="176">
        <f t="shared" si="149"/>
        <v>-413.53787114483885</v>
      </c>
      <c r="N979" s="176">
        <f t="shared" si="150"/>
        <v>5117.588979887</v>
      </c>
      <c r="O979" s="176">
        <f t="shared" si="151"/>
        <v>-1279397.24497175</v>
      </c>
      <c r="Q979" s="176">
        <f>R975*0.5</f>
        <v>125</v>
      </c>
      <c r="R979" s="176">
        <f>Q979^3+Q$976*Q979^2+R$976*Q979+S$976</f>
        <v>3765091.6185091715</v>
      </c>
      <c r="S979" s="176">
        <f>IF(Q979-Q978=0,1,(R979-R978)/(Q979-Q978))</f>
        <v>177544.44730549306</v>
      </c>
      <c r="U979" s="176">
        <f>V975*0.5</f>
        <v>125</v>
      </c>
      <c r="V979" s="176">
        <f>U979^3+U$976*U979^2+V$976*U979+W$976</f>
        <v>-5148102.8591239825</v>
      </c>
      <c r="W979" s="176">
        <f aca="true" t="shared" si="152" ref="W979:W993">IF(U979-U978=0,1,(V979-V978)/(U979-U978))</f>
        <v>-37538.09169183883</v>
      </c>
      <c r="Y979" s="176">
        <f>Z975*0.5</f>
        <v>125</v>
      </c>
      <c r="Z979" s="176">
        <f>Y979^3+Y$976*Y979^2+Z$976*Y979+AA$976</f>
        <v>4837572.882304814</v>
      </c>
      <c r="AA979" s="176">
        <f>IF(Y979-Y978=0,1,(Z979-Z978)/(Y979-Y978))</f>
        <v>198998.44114052528</v>
      </c>
      <c r="AC979" s="176">
        <f>AD975*0.5</f>
        <v>150</v>
      </c>
      <c r="AD979" s="176">
        <f>AC979^3+AC$976*AC979^2+AD$976*AC979+AE$976</f>
        <v>27437704.862307124</v>
      </c>
      <c r="AE979" s="176">
        <f>IF(AC979-AC978=0,1,(AD979-AD978)/(AC979-AC978))</f>
        <v>511848.8147946971</v>
      </c>
      <c r="AG979" s="176">
        <f>AH975*0.5</f>
        <v>150</v>
      </c>
      <c r="AH979" s="176">
        <f>AG979^3+AG$976*AG979^2+AH$976*AG979+AI$976</f>
        <v>26103539.567199394</v>
      </c>
      <c r="AI979" s="176">
        <f>IF(AG979-AG978=0,1,(AH979-AH978)/(AG979-AG978))</f>
        <v>639504.0746852999</v>
      </c>
      <c r="AK979" s="176">
        <f>AL975*0.5</f>
        <v>150</v>
      </c>
      <c r="AL979" s="176">
        <f>AK979^3+AK$976*AK979^2+AL$976*AK979+AM$976</f>
        <v>27437704.86230711</v>
      </c>
      <c r="AM979" s="176">
        <f>IF(AK979-AK978=0,1,(AL979-AL978)/(AK979-AK978))</f>
        <v>511848.8147946969</v>
      </c>
      <c r="AO979" s="176">
        <f>AP975*0.5</f>
        <v>125</v>
      </c>
      <c r="AP979" s="176">
        <f>AO979^3+AO$976*AO979^2+AP$976*AO979+AQ$976</f>
        <v>4837572.882304817</v>
      </c>
      <c r="AQ979" s="176">
        <f>IF(AO979-AO978=0,1,(AP979-AP978)/(AO979-AO978))</f>
        <v>198998.44114052528</v>
      </c>
      <c r="AS979" s="176">
        <f>AT975*0.5</f>
        <v>125</v>
      </c>
      <c r="AT979" s="176">
        <f>AS979^3+AS$976*AS979^2+AT$976*AS979+AU$976</f>
        <v>-5148102.859123981</v>
      </c>
      <c r="AU979" s="176">
        <f>IF(AS979-AS978=0,1,(AT979-AT978)/(AS979-AS978))</f>
        <v>-37538.09169183881</v>
      </c>
      <c r="AW979" s="176">
        <f>AX975*0.5</f>
        <v>125</v>
      </c>
      <c r="AX979" s="176">
        <f>AW979^3+AW$976*AW979^2+AX$976*AW979+AY$976</f>
        <v>3765091.618509166</v>
      </c>
      <c r="AY979" s="176">
        <f>IF(AW979-AW978=0,1,(AX979-AX978)/(AW979-AW978))</f>
        <v>177544.44730549297</v>
      </c>
      <c r="BA979" s="176">
        <f>BB975*0.5</f>
        <v>170</v>
      </c>
      <c r="BB979" s="176">
        <f>BA979^3+BA$976*BA979^2+BB$976*BA979+BC$976</f>
        <v>28124722.339595035</v>
      </c>
      <c r="BC979" s="176">
        <f>IF(BA979-BA978=0,1,(BB979-BB978)/(BA979-BA978))</f>
        <v>455963.01839202584</v>
      </c>
      <c r="BE979" s="176">
        <f>BF975*0.5</f>
        <v>175</v>
      </c>
      <c r="BF979" s="176">
        <f>BE979^3+BE$976*BE979^2+BF$976*BE979+BG$976</f>
        <v>38271117.55507922</v>
      </c>
      <c r="BG979" s="176">
        <f>IF(BE979-BE978=0,1,(BF979-BF978)/(BE979-BE978))</f>
        <v>699266.6537020255</v>
      </c>
      <c r="BI979" s="176">
        <f>BJ975*0.5</f>
        <v>170</v>
      </c>
      <c r="BJ979" s="176">
        <f>BI979^3+BI$976*BI979^2+BJ$976*BI979+BK$976</f>
        <v>28124722.339595042</v>
      </c>
      <c r="BK979" s="176">
        <f>IF(BI979-BI978=0,1,(BJ979-BJ978)/(BI979-BI978))</f>
        <v>455963.01839202596</v>
      </c>
    </row>
    <row r="980" spans="10:63" ht="12.75">
      <c r="J980" s="235">
        <f>L$5*1000</f>
        <v>350</v>
      </c>
      <c r="K980" s="233">
        <f>IF($I$665&gt;=$I$681,F665,F681)</f>
        <v>75</v>
      </c>
      <c r="L980" s="199"/>
      <c r="M980" s="176">
        <f t="shared" si="149"/>
        <v>737.0873607235046</v>
      </c>
      <c r="N980" s="176">
        <f t="shared" si="150"/>
        <v>69060.33703199954</v>
      </c>
      <c r="O980" s="176">
        <f t="shared" si="151"/>
        <v>-17265084.25799989</v>
      </c>
      <c r="Q980" s="176">
        <f>IF(S979=0,Q979,Q979-R979/S979)</f>
        <v>103.79352649068917</v>
      </c>
      <c r="R980" s="176">
        <f>IF(R979=0,0,Q980^3+Q$976*Q980^2+R$976*Q980+S$976)</f>
        <v>-1473206.1857246924</v>
      </c>
      <c r="S980" s="176">
        <f>IF(Q980-Q979=0,1,(R980-R979)/(Q980-Q979))</f>
        <v>247014.0922739445</v>
      </c>
      <c r="U980" s="176">
        <f>IF(W979=0,U979,U979-V979/W979)</f>
        <v>-12.143435563700564</v>
      </c>
      <c r="V980" s="176">
        <f aca="true" t="shared" si="153" ref="V980:V993">IF(V979=0,0,U980^3+U$976*U980^2+V$976*U980+W$976)</f>
        <v>-1404314.6111384088</v>
      </c>
      <c r="W980" s="176">
        <f t="shared" si="152"/>
        <v>-27298.340839993423</v>
      </c>
      <c r="Y980" s="176">
        <f>IF(AA979=0,Y979,Y979-Z979/AA979)</f>
        <v>100.69039810272332</v>
      </c>
      <c r="Z980" s="176">
        <f>IF(Z979=0,0,Y980^3+Y$976*Y980^2+Z$976*Y980+AA$976)</f>
        <v>-1817514.4794542752</v>
      </c>
      <c r="AA980" s="176">
        <f>IF(Y980-Y979=0,1,(Z980-Z979)/(Y980-Y979))</f>
        <v>273763.73294309835</v>
      </c>
      <c r="AC980" s="176">
        <f>IF(AE979=0,AC979,AC979-AD979/AE979)</f>
        <v>96.39490398485654</v>
      </c>
      <c r="AD980" s="176">
        <f>IF(AD979=0,0,AC980^3+AC$976*AC980^2+AD$976*AC980+AE$976)</f>
        <v>-7933322.7789281905</v>
      </c>
      <c r="AE980" s="176">
        <f>IF(AC980-AC979=0,1,(AD980-AD979)/(AC980-AC979))</f>
        <v>659844.4974567901</v>
      </c>
      <c r="AG980" s="176">
        <f>IF(AI979=0,AG979,AG979-AH979/AI979)</f>
        <v>109.18158992177658</v>
      </c>
      <c r="AH980" s="176">
        <f>IF(AH979=0,0,AG980^3+AG$976*AG980^2+AH$976*AG980+AI$976)</f>
        <v>-8408834.35961011</v>
      </c>
      <c r="AI980" s="176">
        <f>IF(AG980-AG979=0,1,(AH980-AH979)/(AG980-AG979))</f>
        <v>845510.000528458</v>
      </c>
      <c r="AK980" s="176">
        <f>IF(AM979=0,AK979,AK979-AL979/AM979)</f>
        <v>96.39490398485654</v>
      </c>
      <c r="AL980" s="176">
        <f>IF(AL979=0,0,AK980^3+AK$976*AK980^2+AL$976*AK980+AM$976)</f>
        <v>-7933322.7789281905</v>
      </c>
      <c r="AM980" s="176">
        <f>IF(AK980-AK979=0,1,(AL980-AL979)/(AK980-AK979))</f>
        <v>659844.4974567897</v>
      </c>
      <c r="AO980" s="176">
        <f>IF(AQ979=0,AO979,AO979-AP979/AQ979)</f>
        <v>100.69039810272331</v>
      </c>
      <c r="AP980" s="176">
        <f>IF(AP979=0,0,AO980^3+AO$976*AO980^2+AP$976*AO980+AQ$976)</f>
        <v>-1817514.4794542734</v>
      </c>
      <c r="AQ980" s="176">
        <f>IF(AO980-AO979=0,1,(AP980-AP979)/(AO980-AO979))</f>
        <v>273763.73294309824</v>
      </c>
      <c r="AS980" s="176">
        <f>IF(AU979=0,AS979,AS979-AT979/AU979)</f>
        <v>-12.143435563700592</v>
      </c>
      <c r="AT980" s="176">
        <f>IF(AT979=0,0,AS980^3+AS$976*AS980^2+AT$976*AS980+AU$976)</f>
        <v>-1404314.61113841</v>
      </c>
      <c r="AU980" s="176">
        <f>IF(AS980-AS979=0,1,(AT980-AT979)/(AS980-AS979))</f>
        <v>-27298.340839993398</v>
      </c>
      <c r="AW980" s="176">
        <f>IF(AY979=0,AW979,AW979-AX979/AY979)</f>
        <v>103.79352649068919</v>
      </c>
      <c r="AX980" s="176">
        <f>IF(AX979=0,0,AW980^3+AW$976*AW980^2+AX$976*AW980+AY$976)</f>
        <v>-1473206.1857246906</v>
      </c>
      <c r="AY980" s="176">
        <f>IF(AW980-AW979=0,1,(AX980-AX979)/(AW980-AW979))</f>
        <v>247014.09227394432</v>
      </c>
      <c r="BA980" s="176">
        <f>IF(BC979=0,BA979,BA979-BB979/BC979)</f>
        <v>108.31797491213621</v>
      </c>
      <c r="BB980" s="176">
        <f>IF(BB979=0,0,BA980^3+BA$976*BA980^2+BB$976*BA980+BC$976)</f>
        <v>-8254701.81759914</v>
      </c>
      <c r="BC980" s="176">
        <f>IF(BA980-BA979=0,1,(BB980-BB979)/(BA980-BA979))</f>
        <v>589789.7175939508</v>
      </c>
      <c r="BE980" s="176">
        <f>IF(BG979=0,BE979,BE979-BF979/BG979)</f>
        <v>120.26963733725036</v>
      </c>
      <c r="BF980" s="176">
        <f>IF(BF979=0,0,BE980^3+BE$976*BE980^2+BF$976*BE980+BG$976)</f>
        <v>-11836950.946610153</v>
      </c>
      <c r="BG980" s="176">
        <f>IF(BE980-BE979=0,1,(BF980-BF979)/(BE980-BE979))</f>
        <v>915544.2438862866</v>
      </c>
      <c r="BI980" s="176">
        <f>IF(BK979=0,BI979,BI979-BJ979/BK979)</f>
        <v>108.31797491213621</v>
      </c>
      <c r="BJ980" s="176">
        <f>IF(BJ979=0,0,BI980^3+BI$976*BI980^2+BJ$976*BI980+BK$976)</f>
        <v>-8254701.81759914</v>
      </c>
      <c r="BK980" s="176">
        <f>IF(BI980-BI979=0,1,(BJ980-BJ979)/(BI980-BI979))</f>
        <v>589789.7175939509</v>
      </c>
    </row>
    <row r="981" spans="10:63" ht="12.75">
      <c r="J981" s="235">
        <f>L$6*1000</f>
        <v>400</v>
      </c>
      <c r="K981" s="233">
        <f>IF($I$666&gt;=$I$682,F666,F682)</f>
        <v>100</v>
      </c>
      <c r="L981" s="199"/>
      <c r="M981" s="176">
        <f t="shared" si="149"/>
        <v>1952.6268097275092</v>
      </c>
      <c r="N981" s="176">
        <f t="shared" si="150"/>
        <v>132475.98904374553</v>
      </c>
      <c r="O981" s="176">
        <f t="shared" si="151"/>
        <v>-39742796.71312366</v>
      </c>
      <c r="Q981" s="176">
        <f aca="true" t="shared" si="154" ref="Q981:Q993">IF(S980=0,Q980,Q980-R980/S980)</f>
        <v>109.75758373196945</v>
      </c>
      <c r="R981" s="176">
        <f aca="true" t="shared" si="155" ref="R981:R993">IF(R980=0,0,Q981^3+Q$976*Q981^2+R$976*Q981+S$976)</f>
        <v>-87854.40648222901</v>
      </c>
      <c r="S981" s="176">
        <f aca="true" t="shared" si="156" ref="S981:S993">IF(Q981-Q980=0,1,(R981-R980)/(Q981-Q980))</f>
        <v>232283.44786058378</v>
      </c>
      <c r="U981" s="176">
        <f>IF(W980=0,U980,U980-V980/W980)</f>
        <v>-63.58665767634333</v>
      </c>
      <c r="V981" s="176">
        <f t="shared" si="153"/>
        <v>-3533947.5937753823</v>
      </c>
      <c r="W981" s="176">
        <f t="shared" si="152"/>
        <v>41397.73706191688</v>
      </c>
      <c r="Y981" s="176">
        <f aca="true" t="shared" si="157" ref="Y981:Y993">IF(AA980=0,Y980,Y980-Z980/AA980)</f>
        <v>107.32938735055055</v>
      </c>
      <c r="Z981" s="176">
        <f aca="true" t="shared" si="158" ref="Z981:Z993">IF(Z980=0,0,Y981^3+Y$976*Y981^2+Z$976*Y981+AA$976)</f>
        <v>-125539.62775348872</v>
      </c>
      <c r="AA981" s="176">
        <f aca="true" t="shared" si="159" ref="AA981:AA993">IF(Y981-Y980=0,1,(Z981-Z980)/(Y981-Y980))</f>
        <v>254854.284069601</v>
      </c>
      <c r="AC981" s="176">
        <f aca="true" t="shared" si="160" ref="AC981:AC993">IF(AE980=0,AC980,AC980-AD980/AE980)</f>
        <v>108.41792275595375</v>
      </c>
      <c r="AD981" s="176">
        <f aca="true" t="shared" si="161" ref="AD981:AD993">IF(AD980=0,0,AC981^3+AC$976*AC981^2+AD$976*AC981+AE$976)</f>
        <v>-1153586.2065105215</v>
      </c>
      <c r="AE981" s="176">
        <f aca="true" t="shared" si="162" ref="AE981:AE993">IF(AC981-AC980=0,1,(AD981-AD980)/(AC981-AC980))</f>
        <v>563896.3642571901</v>
      </c>
      <c r="AG981" s="176">
        <f aca="true" t="shared" si="163" ref="AG981:AG993">IF(AI980=0,AG980,AG980-AH980/AI980)</f>
        <v>119.12687070420901</v>
      </c>
      <c r="AH981" s="176">
        <f aca="true" t="shared" si="164" ref="AH981:AH993">IF(AH980=0,0,AG981^3+AG$976*AG981^2+AH$976*AG981+AI$976)</f>
        <v>-826193.5344402194</v>
      </c>
      <c r="AI981" s="176">
        <f aca="true" t="shared" si="165" ref="AI981:AI993">IF(AG981-AG980=0,1,(AH981-AH980)/(AG981-AG980))</f>
        <v>762436.0730532653</v>
      </c>
      <c r="AK981" s="176">
        <f aca="true" t="shared" si="166" ref="AK981:AK993">IF(AM980=0,AK980,AK980-AL980/AM980)</f>
        <v>108.41792275595375</v>
      </c>
      <c r="AL981" s="176">
        <f aca="true" t="shared" si="167" ref="AL981:AL993">IF(AL980=0,0,AK981^3+AK$976*AK981^2+AL$976*AK981+AM$976)</f>
        <v>-1153586.206510529</v>
      </c>
      <c r="AM981" s="176">
        <f aca="true" t="shared" si="168" ref="AM981:AM993">IF(AK981-AK980=0,1,(AL981-AL980)/(AK981-AK980))</f>
        <v>563896.3642571896</v>
      </c>
      <c r="AO981" s="176">
        <f aca="true" t="shared" si="169" ref="AO981:AO993">IF(AQ980=0,AO980,AO980-AP980/AQ980)</f>
        <v>107.32938735055053</v>
      </c>
      <c r="AP981" s="176">
        <f aca="true" t="shared" si="170" ref="AP981:AP993">IF(AP980=0,0,AO981^3+AO$976*AO981^2+AP$976*AO981+AQ$976)</f>
        <v>-125539.62775348872</v>
      </c>
      <c r="AQ981" s="176">
        <f aca="true" t="shared" si="171" ref="AQ981:AQ993">IF(AO981-AO980=0,1,(AP981-AP980)/(AO981-AO980))</f>
        <v>254854.28406960072</v>
      </c>
      <c r="AS981" s="176">
        <f aca="true" t="shared" si="172" ref="AS981:AS993">IF(AU980=0,AS980,AS980-AT980/AU980)</f>
        <v>-63.58665767634345</v>
      </c>
      <c r="AT981" s="176">
        <f aca="true" t="shared" si="173" ref="AT981:AT993">IF(AT980=0,0,AS981^3+AS$976*AS981^2+AT$976*AS981+AU$976)</f>
        <v>-3533947.593775391</v>
      </c>
      <c r="AU981" s="176">
        <f aca="true" t="shared" si="174" ref="AU981:AU993">IF(AS981-AS980=0,1,(AT981-AT980)/(AS981-AS980))</f>
        <v>41397.73706191696</v>
      </c>
      <c r="AW981" s="176">
        <f aca="true" t="shared" si="175" ref="AW981:AW993">IF(AY980=0,AW980,AW980-AX980/AY980)</f>
        <v>109.75758373196946</v>
      </c>
      <c r="AX981" s="176">
        <f aca="true" t="shared" si="176" ref="AX981:AX993">IF(AX980=0,0,AW981^3+AW$976*AW981^2+AX$976*AW981+AY$976)</f>
        <v>-87854.40648222901</v>
      </c>
      <c r="AY981" s="176">
        <f aca="true" t="shared" si="177" ref="AY981:AY993">IF(AW981-AW980=0,1,(AX981-AX980)/(AW981-AW980))</f>
        <v>232283.4478605835</v>
      </c>
      <c r="BA981" s="176">
        <f aca="true" t="shared" si="178" ref="BA981:BA993">IF(BC980=0,BA980,BA980-BB980/BC980)</f>
        <v>122.31398327130907</v>
      </c>
      <c r="BB981" s="176">
        <f aca="true" t="shared" si="179" ref="BB981:BB993">IF(BB980=0,0,BA981^3+BA$976*BA981^2+BB$976*BA981+BC$976)</f>
        <v>-1260775.019244209</v>
      </c>
      <c r="BC981" s="176">
        <f aca="true" t="shared" si="180" ref="BC981:BC993">IF(BA981-BA980=0,1,(BB981-BB980)/(BA981-BA980))</f>
        <v>499708.6754218157</v>
      </c>
      <c r="BE981" s="176">
        <f aca="true" t="shared" si="181" ref="BE981:BE988">IF(BG980=0,BE980,BE980-BF980/BG980)</f>
        <v>133.19850563133178</v>
      </c>
      <c r="BF981" s="176">
        <f aca="true" t="shared" si="182" ref="BF981:BF993">IF(BF980=0,0,BE981^3+BE$976*BE981^2+BF$976*BE981+BG$976)</f>
        <v>-1423856.2487457544</v>
      </c>
      <c r="BG981" s="176">
        <f aca="true" t="shared" si="183" ref="BG981:BG993">IF(BE981-BE980=0,1,(BF981-BF980)/(BE981-BE980))</f>
        <v>805414.2451610635</v>
      </c>
      <c r="BI981" s="176">
        <f aca="true" t="shared" si="184" ref="BI981:BI993">IF(BK980=0,BI980,BI980-BJ980/BK980)</f>
        <v>122.31398327130907</v>
      </c>
      <c r="BJ981" s="176">
        <f aca="true" t="shared" si="185" ref="BJ981:BJ993">IF(BJ980=0,0,BI981^3+BI$976*BI981^2+BJ$976*BI981+BK$976)</f>
        <v>-1260775.019244209</v>
      </c>
      <c r="BK981" s="176">
        <f aca="true" t="shared" si="186" ref="BK981:BK993">IF(BI981-BI980=0,1,(BJ981-BJ980)/(BI981-BI980))</f>
        <v>499708.6754218157</v>
      </c>
    </row>
    <row r="982" spans="10:63" ht="12.75">
      <c r="J982" s="235">
        <f>L$6*1000</f>
        <v>400</v>
      </c>
      <c r="K982" s="233">
        <f>IF($I$667&gt;=$I$683,F667,F683)</f>
        <v>100</v>
      </c>
      <c r="L982" s="199"/>
      <c r="M982" s="176">
        <f t="shared" si="149"/>
        <v>2312.508096363523</v>
      </c>
      <c r="N982" s="176">
        <f t="shared" si="150"/>
        <v>195352.6173398658</v>
      </c>
      <c r="O982" s="176">
        <f t="shared" si="151"/>
        <v>-58605785.201959744</v>
      </c>
      <c r="Q982" s="176">
        <f t="shared" si="154"/>
        <v>110.13580442436661</v>
      </c>
      <c r="R982" s="176">
        <f t="shared" si="155"/>
        <v>2282.5845252182335</v>
      </c>
      <c r="S982" s="176">
        <f t="shared" si="156"/>
        <v>238318.5077372648</v>
      </c>
      <c r="U982" s="176">
        <f>IF(W981=0,U981,U981-V981/W981)</f>
        <v>21.779061432645726</v>
      </c>
      <c r="V982" s="176">
        <f t="shared" si="153"/>
        <v>-1353762.9436211346</v>
      </c>
      <c r="W982" s="176">
        <f t="shared" si="152"/>
        <v>25539.346155694402</v>
      </c>
      <c r="Y982" s="176">
        <f t="shared" si="157"/>
        <v>107.82198110157104</v>
      </c>
      <c r="Z982" s="176">
        <f t="shared" si="158"/>
        <v>3698.9118268042803</v>
      </c>
      <c r="AA982" s="176">
        <f t="shared" si="159"/>
        <v>262363.3355326839</v>
      </c>
      <c r="AC982" s="176">
        <f t="shared" si="160"/>
        <v>110.46366427803311</v>
      </c>
      <c r="AD982" s="176">
        <f t="shared" si="161"/>
        <v>65272.631707809865</v>
      </c>
      <c r="AE982" s="176">
        <f t="shared" si="162"/>
        <v>595802.9521635002</v>
      </c>
      <c r="AG982" s="176">
        <f t="shared" si="163"/>
        <v>120.21049405787804</v>
      </c>
      <c r="AH982" s="176">
        <f t="shared" si="164"/>
        <v>31802.40818207711</v>
      </c>
      <c r="AI982" s="176">
        <f t="shared" si="165"/>
        <v>791784.2853028403</v>
      </c>
      <c r="AK982" s="176">
        <f t="shared" si="166"/>
        <v>110.46366427803314</v>
      </c>
      <c r="AL982" s="176">
        <f t="shared" si="167"/>
        <v>65272.631707809865</v>
      </c>
      <c r="AM982" s="176">
        <f t="shared" si="168"/>
        <v>595802.9521634956</v>
      </c>
      <c r="AO982" s="176">
        <f t="shared" si="169"/>
        <v>107.82198110157103</v>
      </c>
      <c r="AP982" s="176">
        <f t="shared" si="170"/>
        <v>3698.9118268042803</v>
      </c>
      <c r="AQ982" s="176">
        <f t="shared" si="171"/>
        <v>262363.3355326839</v>
      </c>
      <c r="AS982" s="176">
        <f t="shared" si="172"/>
        <v>21.779061432645662</v>
      </c>
      <c r="AT982" s="176">
        <f t="shared" si="173"/>
        <v>-1353762.9436211344</v>
      </c>
      <c r="AU982" s="176">
        <f t="shared" si="174"/>
        <v>25539.34615569449</v>
      </c>
      <c r="AW982" s="176">
        <f t="shared" si="175"/>
        <v>110.13580442436663</v>
      </c>
      <c r="AX982" s="176">
        <f t="shared" si="176"/>
        <v>2282.584525220096</v>
      </c>
      <c r="AY982" s="176">
        <f t="shared" si="177"/>
        <v>238318.5077372697</v>
      </c>
      <c r="BA982" s="176">
        <f t="shared" si="178"/>
        <v>124.83700334531511</v>
      </c>
      <c r="BB982" s="176">
        <f t="shared" si="179"/>
        <v>76849.02909383178</v>
      </c>
      <c r="BC982" s="176">
        <f t="shared" si="180"/>
        <v>530167.8183694221</v>
      </c>
      <c r="BE982" s="176">
        <f t="shared" si="181"/>
        <v>134.9663614363418</v>
      </c>
      <c r="BF982" s="176">
        <f t="shared" si="182"/>
        <v>67411.08061884344</v>
      </c>
      <c r="BG982" s="176">
        <f t="shared" si="183"/>
        <v>843545.7943676292</v>
      </c>
      <c r="BI982" s="176">
        <f t="shared" si="184"/>
        <v>124.83700334531511</v>
      </c>
      <c r="BJ982" s="176">
        <f t="shared" si="185"/>
        <v>76849.02909383178</v>
      </c>
      <c r="BK982" s="176">
        <f t="shared" si="186"/>
        <v>530167.8183694221</v>
      </c>
    </row>
    <row r="983" spans="10:63" ht="12.75">
      <c r="J983" s="235">
        <f>L$6*1000</f>
        <v>400</v>
      </c>
      <c r="K983" s="233">
        <f>IF($I$668&gt;=$I$684,F668,F684)</f>
        <v>100</v>
      </c>
      <c r="L983" s="199"/>
      <c r="M983" s="176">
        <f t="shared" si="149"/>
        <v>1952.6268097275079</v>
      </c>
      <c r="N983" s="176">
        <f t="shared" si="150"/>
        <v>132475.98904374545</v>
      </c>
      <c r="O983" s="176">
        <f t="shared" si="151"/>
        <v>-39742796.71312364</v>
      </c>
      <c r="Q983" s="176">
        <f t="shared" si="154"/>
        <v>110.12622655084394</v>
      </c>
      <c r="R983" s="176">
        <f t="shared" si="155"/>
        <v>-3.382142288610339</v>
      </c>
      <c r="S983" s="176">
        <f t="shared" si="156"/>
        <v>238671.62811196398</v>
      </c>
      <c r="U983" s="176">
        <f>IF(W982=0,U982,U982-V982/W982)</f>
        <v>74.78601530563247</v>
      </c>
      <c r="V983" s="176">
        <f t="shared" si="153"/>
        <v>-2791294.7006997634</v>
      </c>
      <c r="W983" s="176">
        <f t="shared" si="152"/>
        <v>-27119.682457573166</v>
      </c>
      <c r="Y983" s="176">
        <f t="shared" si="157"/>
        <v>107.80788266887924</v>
      </c>
      <c r="Z983" s="176">
        <f t="shared" si="158"/>
        <v>-7.151110522449017</v>
      </c>
      <c r="AA983" s="176">
        <f t="shared" si="159"/>
        <v>262870.56287351344</v>
      </c>
      <c r="AC983" s="176">
        <f t="shared" si="160"/>
        <v>110.35411021914369</v>
      </c>
      <c r="AD983" s="176">
        <f t="shared" si="161"/>
        <v>-484.02227518707514</v>
      </c>
      <c r="AE983" s="176">
        <f t="shared" si="162"/>
        <v>600221.0657422764</v>
      </c>
      <c r="AG983" s="176">
        <f t="shared" si="163"/>
        <v>120.17032856233538</v>
      </c>
      <c r="AH983" s="176">
        <f t="shared" si="164"/>
        <v>-111.98685896396637</v>
      </c>
      <c r="AI983" s="176">
        <f t="shared" si="165"/>
        <v>794572.4211755529</v>
      </c>
      <c r="AK983" s="176">
        <f t="shared" si="166"/>
        <v>110.35411021914372</v>
      </c>
      <c r="AL983" s="176">
        <f t="shared" si="167"/>
        <v>-484.02227517962456</v>
      </c>
      <c r="AM983" s="176">
        <f t="shared" si="168"/>
        <v>600221.0657422084</v>
      </c>
      <c r="AO983" s="176">
        <f t="shared" si="169"/>
        <v>107.80788266887923</v>
      </c>
      <c r="AP983" s="176">
        <f t="shared" si="170"/>
        <v>-7.151110522449017</v>
      </c>
      <c r="AQ983" s="176">
        <f t="shared" si="171"/>
        <v>262870.56287351344</v>
      </c>
      <c r="AS983" s="176">
        <f t="shared" si="172"/>
        <v>74.78601530563222</v>
      </c>
      <c r="AT983" s="176">
        <f t="shared" si="173"/>
        <v>-2791294.700699752</v>
      </c>
      <c r="AU983" s="176">
        <f t="shared" si="174"/>
        <v>-27119.682457573057</v>
      </c>
      <c r="AW983" s="176">
        <f t="shared" si="175"/>
        <v>110.12622655084395</v>
      </c>
      <c r="AX983" s="176">
        <f t="shared" si="176"/>
        <v>-3.3821422904729843</v>
      </c>
      <c r="AY983" s="176">
        <f t="shared" si="177"/>
        <v>238671.62811235292</v>
      </c>
      <c r="BA983" s="176">
        <f t="shared" si="178"/>
        <v>124.69205107467336</v>
      </c>
      <c r="BB983" s="176">
        <f t="shared" si="179"/>
        <v>-641.2421193569899</v>
      </c>
      <c r="BC983" s="176">
        <f t="shared" si="180"/>
        <v>534591.6339917494</v>
      </c>
      <c r="BE983" s="176">
        <f t="shared" si="181"/>
        <v>134.88644748138054</v>
      </c>
      <c r="BF983" s="176">
        <f t="shared" si="182"/>
        <v>-351.95229782164097</v>
      </c>
      <c r="BG983" s="176">
        <f t="shared" si="183"/>
        <v>847949.9350209596</v>
      </c>
      <c r="BI983" s="176">
        <f t="shared" si="184"/>
        <v>124.69205107467336</v>
      </c>
      <c r="BJ983" s="176">
        <f t="shared" si="185"/>
        <v>-641.2421193644404</v>
      </c>
      <c r="BK983" s="176">
        <f t="shared" si="186"/>
        <v>534591.6339918007</v>
      </c>
    </row>
    <row r="984" spans="10:63" ht="12.75">
      <c r="J984" s="235">
        <f>L$5*1000</f>
        <v>350</v>
      </c>
      <c r="K984" s="233">
        <f>IF($I$669&gt;=$I$685,F669,F685)</f>
        <v>75</v>
      </c>
      <c r="L984" s="199"/>
      <c r="M984" s="176">
        <f t="shared" si="149"/>
        <v>737.0873607235048</v>
      </c>
      <c r="N984" s="176">
        <f t="shared" si="150"/>
        <v>69060.33703199956</v>
      </c>
      <c r="O984" s="176">
        <f t="shared" si="151"/>
        <v>-17265084.25799989</v>
      </c>
      <c r="Q984" s="176">
        <f t="shared" si="154"/>
        <v>110.1262407215366</v>
      </c>
      <c r="R984" s="176">
        <f t="shared" si="155"/>
        <v>-0.00012986734509468079</v>
      </c>
      <c r="S984" s="176">
        <f t="shared" si="156"/>
        <v>238662.46351494617</v>
      </c>
      <c r="U984" s="176">
        <f aca="true" t="shared" si="187" ref="U984:U993">IF(W983=0,U983,U983-V983/W983)</f>
        <v>-28.139035718344203</v>
      </c>
      <c r="V984" s="176">
        <f t="shared" si="153"/>
        <v>-1773123.3935723496</v>
      </c>
      <c r="W984" s="176">
        <f t="shared" si="152"/>
        <v>-9892.356593442231</v>
      </c>
      <c r="Y984" s="176">
        <f t="shared" si="157"/>
        <v>107.80790987280213</v>
      </c>
      <c r="Z984" s="176">
        <f t="shared" si="158"/>
        <v>-0.0004059635102748871</v>
      </c>
      <c r="AA984" s="176">
        <f t="shared" si="159"/>
        <v>262855.6399614985</v>
      </c>
      <c r="AC984" s="176">
        <f t="shared" si="160"/>
        <v>110.35491662582085</v>
      </c>
      <c r="AD984" s="176">
        <f t="shared" si="161"/>
        <v>-0.2002774104475975</v>
      </c>
      <c r="AE984" s="176">
        <f t="shared" si="162"/>
        <v>599972.7079177087</v>
      </c>
      <c r="AG984" s="176">
        <f t="shared" si="163"/>
        <v>120.17046950211127</v>
      </c>
      <c r="AH984" s="176">
        <f t="shared" si="164"/>
        <v>-0.015078864991664886</v>
      </c>
      <c r="AI984" s="176">
        <f t="shared" si="165"/>
        <v>794465.43314395</v>
      </c>
      <c r="AK984" s="176">
        <f t="shared" si="166"/>
        <v>110.35491662582086</v>
      </c>
      <c r="AL984" s="176">
        <f t="shared" si="167"/>
        <v>-0.2002774253487587</v>
      </c>
      <c r="AM984" s="176">
        <f t="shared" si="168"/>
        <v>599972.707900564</v>
      </c>
      <c r="AO984" s="176">
        <f t="shared" si="169"/>
        <v>107.80790987280211</v>
      </c>
      <c r="AP984" s="176">
        <f t="shared" si="170"/>
        <v>-0.0004059635102748871</v>
      </c>
      <c r="AQ984" s="176">
        <f t="shared" si="171"/>
        <v>262855.6399614985</v>
      </c>
      <c r="AS984" s="176">
        <f t="shared" si="172"/>
        <v>-28.13903571834446</v>
      </c>
      <c r="AT984" s="176">
        <f t="shared" si="173"/>
        <v>-1773123.3935723582</v>
      </c>
      <c r="AU984" s="176">
        <f t="shared" si="174"/>
        <v>-9892.356593442039</v>
      </c>
      <c r="AW984" s="176">
        <f t="shared" si="175"/>
        <v>110.12624072153662</v>
      </c>
      <c r="AX984" s="176">
        <f t="shared" si="176"/>
        <v>-0.00012986734509468079</v>
      </c>
      <c r="AY984" s="176">
        <f t="shared" si="177"/>
        <v>238662.46364638963</v>
      </c>
      <c r="BA984" s="176">
        <f t="shared" si="178"/>
        <v>124.69325057365273</v>
      </c>
      <c r="BB984" s="176">
        <f t="shared" si="179"/>
        <v>-0.321176677942276</v>
      </c>
      <c r="BC984" s="176">
        <f t="shared" si="180"/>
        <v>534323.8749674169</v>
      </c>
      <c r="BE984" s="176">
        <f t="shared" si="181"/>
        <v>134.88686254397243</v>
      </c>
      <c r="BF984" s="176">
        <f t="shared" si="182"/>
        <v>-0.08615081012248993</v>
      </c>
      <c r="BG984" s="176">
        <f t="shared" si="183"/>
        <v>847742.3740222221</v>
      </c>
      <c r="BI984" s="176">
        <f t="shared" si="184"/>
        <v>124.69325057365275</v>
      </c>
      <c r="BJ984" s="176">
        <f t="shared" si="185"/>
        <v>-0.3211766704916954</v>
      </c>
      <c r="BK984" s="176">
        <f t="shared" si="186"/>
        <v>534323.8749735095</v>
      </c>
    </row>
    <row r="985" spans="10:63" ht="12.75">
      <c r="J985" s="235">
        <f>L$5*1000</f>
        <v>350</v>
      </c>
      <c r="K985" s="233">
        <f>IF($I$670&gt;=$I$686,F670,F686)</f>
        <v>75</v>
      </c>
      <c r="L985" s="199"/>
      <c r="M985" s="176">
        <f t="shared" si="149"/>
        <v>-413.5378711448387</v>
      </c>
      <c r="N985" s="176">
        <f t="shared" si="150"/>
        <v>5117.588979887003</v>
      </c>
      <c r="O985" s="176">
        <f t="shared" si="151"/>
        <v>-1279397.2449717508</v>
      </c>
      <c r="Q985" s="176">
        <f t="shared" si="154"/>
        <v>110.12624072208075</v>
      </c>
      <c r="R985" s="176">
        <f t="shared" si="155"/>
        <v>-1.862645149230957E-09</v>
      </c>
      <c r="S985" s="176">
        <f t="shared" si="156"/>
        <v>238658.45530281268</v>
      </c>
      <c r="U985" s="176">
        <f t="shared" si="187"/>
        <v>-207.38079442604948</v>
      </c>
      <c r="V985" s="176">
        <f t="shared" si="153"/>
        <v>-29044407.990037195</v>
      </c>
      <c r="W985" s="176">
        <f t="shared" si="152"/>
        <v>152148.05295978443</v>
      </c>
      <c r="Y985" s="176">
        <f t="shared" si="157"/>
        <v>107.80790987434656</v>
      </c>
      <c r="Z985" s="176">
        <f t="shared" si="158"/>
        <v>0</v>
      </c>
      <c r="AA985" s="176">
        <f t="shared" si="159"/>
        <v>262855.5612808244</v>
      </c>
      <c r="AC985" s="176">
        <f t="shared" si="160"/>
        <v>110.35491695963172</v>
      </c>
      <c r="AD985" s="176">
        <f t="shared" si="161"/>
        <v>6.183981895446777E-07</v>
      </c>
      <c r="AE985" s="176">
        <f t="shared" si="162"/>
        <v>599974.5497015477</v>
      </c>
      <c r="AG985" s="176">
        <f t="shared" si="163"/>
        <v>120.17046952109116</v>
      </c>
      <c r="AH985" s="176">
        <f t="shared" si="164"/>
        <v>1.4901161193847656E-08</v>
      </c>
      <c r="AI985" s="176">
        <f t="shared" si="165"/>
        <v>794466.1514370792</v>
      </c>
      <c r="AK985" s="176">
        <f t="shared" si="166"/>
        <v>110.35491695963175</v>
      </c>
      <c r="AL985" s="176">
        <f t="shared" si="167"/>
        <v>6.183981895446777E-07</v>
      </c>
      <c r="AM985" s="176">
        <f t="shared" si="168"/>
        <v>599974.5687992172</v>
      </c>
      <c r="AO985" s="176">
        <f t="shared" si="169"/>
        <v>107.80790987434655</v>
      </c>
      <c r="AP985" s="176">
        <f t="shared" si="170"/>
        <v>0</v>
      </c>
      <c r="AQ985" s="176">
        <f t="shared" si="171"/>
        <v>262855.5612808244</v>
      </c>
      <c r="AS985" s="176">
        <f t="shared" si="172"/>
        <v>-207.38079442605408</v>
      </c>
      <c r="AT985" s="176">
        <f t="shared" si="173"/>
        <v>-29044407.9900386</v>
      </c>
      <c r="AU985" s="176">
        <f t="shared" si="174"/>
        <v>152148.05295978856</v>
      </c>
      <c r="AW985" s="176">
        <f t="shared" si="175"/>
        <v>110.12624072208077</v>
      </c>
      <c r="AX985" s="176">
        <f t="shared" si="176"/>
        <v>1.862645149230957E-09</v>
      </c>
      <c r="AY985" s="176">
        <f t="shared" si="177"/>
        <v>238665.30140241832</v>
      </c>
      <c r="BA985" s="176">
        <f t="shared" si="178"/>
        <v>124.69325117474263</v>
      </c>
      <c r="BB985" s="176">
        <f t="shared" si="179"/>
        <v>1.341104507446289E-06</v>
      </c>
      <c r="BC985" s="176">
        <f t="shared" si="180"/>
        <v>534326.1001236916</v>
      </c>
      <c r="BE985" s="176">
        <f t="shared" si="181"/>
        <v>134.88686264559624</v>
      </c>
      <c r="BF985" s="176">
        <f t="shared" si="182"/>
        <v>1.341104507446289E-07</v>
      </c>
      <c r="BG985" s="176">
        <f t="shared" si="183"/>
        <v>847743.6821810228</v>
      </c>
      <c r="BI985" s="176">
        <f t="shared" si="184"/>
        <v>124.69325117474263</v>
      </c>
      <c r="BJ985" s="176">
        <f t="shared" si="185"/>
        <v>1.341104507446289E-06</v>
      </c>
      <c r="BK985" s="176">
        <f t="shared" si="186"/>
        <v>534326.1003610105</v>
      </c>
    </row>
    <row r="986" spans="10:63" ht="12.75">
      <c r="J986" s="235">
        <f>L$5*1000</f>
        <v>350</v>
      </c>
      <c r="K986" s="233">
        <f>IF($I$671&gt;=$I$687,F671,F687)</f>
        <v>75</v>
      </c>
      <c r="L986" s="199"/>
      <c r="M986" s="176">
        <f t="shared" si="149"/>
        <v>627.8733827402411</v>
      </c>
      <c r="N986" s="176">
        <f t="shared" si="150"/>
        <v>63988.439894456795</v>
      </c>
      <c r="O986" s="176">
        <f t="shared" si="151"/>
        <v>-15997109.973614201</v>
      </c>
      <c r="Q986" s="176">
        <f t="shared" si="154"/>
        <v>110.12624072208077</v>
      </c>
      <c r="R986" s="176">
        <f t="shared" si="155"/>
        <v>3.725290298461914E-09</v>
      </c>
      <c r="S986" s="176">
        <f t="shared" si="156"/>
        <v>393216</v>
      </c>
      <c r="U986" s="176">
        <f t="shared" si="187"/>
        <v>-16.485101546468712</v>
      </c>
      <c r="V986" s="176">
        <f t="shared" si="153"/>
        <v>-1480623.6483929597</v>
      </c>
      <c r="W986" s="176">
        <f t="shared" si="152"/>
        <v>144391.86094697166</v>
      </c>
      <c r="Y986" s="176">
        <f t="shared" si="157"/>
        <v>107.80790987434656</v>
      </c>
      <c r="Z986" s="176">
        <f t="shared" si="158"/>
        <v>0</v>
      </c>
      <c r="AA986" s="176">
        <f t="shared" si="159"/>
        <v>1</v>
      </c>
      <c r="AC986" s="176">
        <f t="shared" si="160"/>
        <v>110.35491695963069</v>
      </c>
      <c r="AD986" s="176">
        <f t="shared" si="161"/>
        <v>-7.450580596923828E-09</v>
      </c>
      <c r="AE986" s="176">
        <f t="shared" si="162"/>
        <v>603290.301369863</v>
      </c>
      <c r="AG986" s="176">
        <f t="shared" si="163"/>
        <v>120.17046952109115</v>
      </c>
      <c r="AH986" s="176">
        <f t="shared" si="164"/>
        <v>-7.450580596923828E-09</v>
      </c>
      <c r="AI986" s="176">
        <f t="shared" si="165"/>
        <v>1572864</v>
      </c>
      <c r="AK986" s="176">
        <f t="shared" si="166"/>
        <v>110.35491695963071</v>
      </c>
      <c r="AL986" s="176">
        <f t="shared" si="167"/>
        <v>-7.450580596923828E-09</v>
      </c>
      <c r="AM986" s="176">
        <f t="shared" si="168"/>
        <v>603290.301369863</v>
      </c>
      <c r="AO986" s="176">
        <f t="shared" si="169"/>
        <v>107.80790987434655</v>
      </c>
      <c r="AP986" s="176">
        <f t="shared" si="170"/>
        <v>0</v>
      </c>
      <c r="AQ986" s="176">
        <f t="shared" si="171"/>
        <v>1</v>
      </c>
      <c r="AS986" s="176">
        <f t="shared" si="172"/>
        <v>-16.48510154646928</v>
      </c>
      <c r="AT986" s="176">
        <f t="shared" si="173"/>
        <v>-1480623.6483929716</v>
      </c>
      <c r="AU986" s="176">
        <f t="shared" si="174"/>
        <v>144391.8609469759</v>
      </c>
      <c r="AW986" s="176">
        <f t="shared" si="175"/>
        <v>110.12624072208075</v>
      </c>
      <c r="AX986" s="176">
        <f t="shared" si="176"/>
        <v>-3.725290298461914E-09</v>
      </c>
      <c r="AY986" s="176">
        <f t="shared" si="177"/>
        <v>393216</v>
      </c>
      <c r="BA986" s="176">
        <f t="shared" si="178"/>
        <v>124.69325117474011</v>
      </c>
      <c r="BB986" s="176">
        <f t="shared" si="179"/>
        <v>0</v>
      </c>
      <c r="BC986" s="176">
        <f t="shared" si="180"/>
        <v>533174.2372881356</v>
      </c>
      <c r="BE986" s="176">
        <f t="shared" si="181"/>
        <v>134.88686264559607</v>
      </c>
      <c r="BF986" s="176">
        <f t="shared" si="182"/>
        <v>-1.4901161193847656E-08</v>
      </c>
      <c r="BG986" s="176">
        <f t="shared" si="183"/>
        <v>873813.3333333334</v>
      </c>
      <c r="BI986" s="176">
        <f t="shared" si="184"/>
        <v>124.69325117474011</v>
      </c>
      <c r="BJ986" s="176">
        <f t="shared" si="185"/>
        <v>0</v>
      </c>
      <c r="BK986" s="176">
        <f t="shared" si="186"/>
        <v>533174.2372881356</v>
      </c>
    </row>
    <row r="987" spans="10:63" ht="12.75">
      <c r="J987" s="235">
        <f>L$7*1000</f>
        <v>450</v>
      </c>
      <c r="K987" s="233">
        <f>IF($I$672&gt;=$I$688,F672,F688)</f>
        <v>115</v>
      </c>
      <c r="L987" s="199"/>
      <c r="M987" s="176">
        <f t="shared" si="149"/>
        <v>1488.413266219557</v>
      </c>
      <c r="N987" s="176">
        <f t="shared" si="150"/>
        <v>116490.71208323621</v>
      </c>
      <c r="O987" s="176">
        <f t="shared" si="151"/>
        <v>-39606842.10830031</v>
      </c>
      <c r="Q987" s="176">
        <f t="shared" si="154"/>
        <v>110.12624072208075</v>
      </c>
      <c r="R987" s="176">
        <f t="shared" si="155"/>
        <v>-1.862645149230957E-09</v>
      </c>
      <c r="S987" s="176">
        <f t="shared" si="156"/>
        <v>393216</v>
      </c>
      <c r="U987" s="176">
        <f t="shared" si="187"/>
        <v>-6.230897198089803</v>
      </c>
      <c r="V987" s="176">
        <f t="shared" si="153"/>
        <v>-1327581.5520063038</v>
      </c>
      <c r="W987" s="176">
        <f t="shared" si="152"/>
        <v>14924.814367567233</v>
      </c>
      <c r="Y987" s="176">
        <f t="shared" si="157"/>
        <v>107.80790987434656</v>
      </c>
      <c r="Z987" s="176">
        <f t="shared" si="158"/>
        <v>0</v>
      </c>
      <c r="AA987" s="176">
        <f t="shared" si="159"/>
        <v>1</v>
      </c>
      <c r="AC987" s="176">
        <f t="shared" si="160"/>
        <v>110.3549169596307</v>
      </c>
      <c r="AD987" s="176">
        <f t="shared" si="161"/>
        <v>0</v>
      </c>
      <c r="AE987" s="176">
        <f t="shared" si="162"/>
        <v>524288</v>
      </c>
      <c r="AG987" s="176">
        <f t="shared" si="163"/>
        <v>120.17046952109115</v>
      </c>
      <c r="AH987" s="176">
        <f t="shared" si="164"/>
        <v>-7.450580596923828E-09</v>
      </c>
      <c r="AI987" s="176">
        <f t="shared" si="165"/>
        <v>1</v>
      </c>
      <c r="AK987" s="176">
        <f t="shared" si="166"/>
        <v>110.35491695963073</v>
      </c>
      <c r="AL987" s="176">
        <f t="shared" si="167"/>
        <v>7.450580596923828E-09</v>
      </c>
      <c r="AM987" s="176">
        <f t="shared" si="168"/>
        <v>1048576</v>
      </c>
      <c r="AO987" s="176">
        <f t="shared" si="169"/>
        <v>107.80790987434655</v>
      </c>
      <c r="AP987" s="176">
        <f t="shared" si="170"/>
        <v>0</v>
      </c>
      <c r="AQ987" s="176">
        <f t="shared" si="171"/>
        <v>1</v>
      </c>
      <c r="AS987" s="176">
        <f t="shared" si="172"/>
        <v>-6.23089719809059</v>
      </c>
      <c r="AT987" s="176">
        <f t="shared" si="173"/>
        <v>-1327581.5520063126</v>
      </c>
      <c r="AU987" s="176">
        <f t="shared" si="174"/>
        <v>14924.814367567846</v>
      </c>
      <c r="AW987" s="176">
        <f t="shared" si="175"/>
        <v>110.12624072208077</v>
      </c>
      <c r="AX987" s="176">
        <f t="shared" si="176"/>
        <v>1.862645149230957E-09</v>
      </c>
      <c r="AY987" s="176">
        <f t="shared" si="177"/>
        <v>393216</v>
      </c>
      <c r="BA987" s="176">
        <f t="shared" si="178"/>
        <v>124.69325117474011</v>
      </c>
      <c r="BB987" s="176">
        <f t="shared" si="179"/>
        <v>0</v>
      </c>
      <c r="BC987" s="176">
        <f t="shared" si="180"/>
        <v>1</v>
      </c>
      <c r="BE987" s="176">
        <f t="shared" si="181"/>
        <v>134.8868626455961</v>
      </c>
      <c r="BF987" s="176">
        <f t="shared" si="182"/>
        <v>1.4901161193847656E-08</v>
      </c>
      <c r="BG987" s="176">
        <f t="shared" si="183"/>
        <v>1048576</v>
      </c>
      <c r="BI987" s="176">
        <f t="shared" si="184"/>
        <v>124.69325117474011</v>
      </c>
      <c r="BJ987" s="176">
        <f t="shared" si="185"/>
        <v>0</v>
      </c>
      <c r="BK987" s="176">
        <f t="shared" si="186"/>
        <v>1</v>
      </c>
    </row>
    <row r="988" spans="10:63" ht="12.75">
      <c r="J988" s="235">
        <f>L$7*1000</f>
        <v>450</v>
      </c>
      <c r="K988" s="233">
        <f>IF($I$673&gt;=$I$689,F673,F689)</f>
        <v>125</v>
      </c>
      <c r="L988" s="199"/>
      <c r="M988" s="176">
        <f t="shared" si="149"/>
        <v>2206.126633809776</v>
      </c>
      <c r="N988" s="176">
        <f t="shared" si="150"/>
        <v>198005.0606019725</v>
      </c>
      <c r="O988" s="176">
        <f t="shared" si="151"/>
        <v>-69301771.21069036</v>
      </c>
      <c r="Q988" s="176">
        <f t="shared" si="154"/>
        <v>110.12624072208075</v>
      </c>
      <c r="R988" s="176">
        <f t="shared" si="155"/>
        <v>-1.862645149230957E-09</v>
      </c>
      <c r="S988" s="176">
        <f t="shared" si="156"/>
        <v>1</v>
      </c>
      <c r="U988" s="176">
        <f t="shared" si="187"/>
        <v>82.72039688910772</v>
      </c>
      <c r="V988" s="176">
        <f t="shared" si="153"/>
        <v>-3119741.0954432553</v>
      </c>
      <c r="W988" s="176">
        <f t="shared" si="152"/>
        <v>-20147.650035086914</v>
      </c>
      <c r="Y988" s="176">
        <f t="shared" si="157"/>
        <v>107.80790987434656</v>
      </c>
      <c r="Z988" s="176">
        <f t="shared" si="158"/>
        <v>0</v>
      </c>
      <c r="AA988" s="176">
        <f t="shared" si="159"/>
        <v>1</v>
      </c>
      <c r="AC988" s="176">
        <f t="shared" si="160"/>
        <v>110.3549169596307</v>
      </c>
      <c r="AD988" s="176">
        <f t="shared" si="161"/>
        <v>0</v>
      </c>
      <c r="AE988" s="176">
        <f t="shared" si="162"/>
        <v>1</v>
      </c>
      <c r="AG988" s="176">
        <f t="shared" si="163"/>
        <v>120.17046952854173</v>
      </c>
      <c r="AH988" s="176">
        <f t="shared" si="164"/>
        <v>0.005919225513935089</v>
      </c>
      <c r="AI988" s="176">
        <f t="shared" si="165"/>
        <v>794466</v>
      </c>
      <c r="AK988" s="176">
        <f t="shared" si="166"/>
        <v>110.35491695963071</v>
      </c>
      <c r="AL988" s="176">
        <f t="shared" si="167"/>
        <v>-7.450580596923828E-09</v>
      </c>
      <c r="AM988" s="176">
        <f t="shared" si="168"/>
        <v>1048576</v>
      </c>
      <c r="AO988" s="176">
        <f t="shared" si="169"/>
        <v>107.80790987434655</v>
      </c>
      <c r="AP988" s="176">
        <f t="shared" si="170"/>
        <v>0</v>
      </c>
      <c r="AQ988" s="176">
        <f t="shared" si="171"/>
        <v>1</v>
      </c>
      <c r="AS988" s="176">
        <f t="shared" si="172"/>
        <v>82.72039688910387</v>
      </c>
      <c r="AT988" s="176">
        <f t="shared" si="173"/>
        <v>-3119741.0954430895</v>
      </c>
      <c r="AU988" s="176">
        <f t="shared" si="174"/>
        <v>-20147.650035085644</v>
      </c>
      <c r="AW988" s="176">
        <f t="shared" si="175"/>
        <v>110.12624072208077</v>
      </c>
      <c r="AX988" s="176">
        <f t="shared" si="176"/>
        <v>1.862645149230957E-09</v>
      </c>
      <c r="AY988" s="176">
        <f t="shared" si="177"/>
        <v>1</v>
      </c>
      <c r="BA988" s="176">
        <f t="shared" si="178"/>
        <v>124.69325117474011</v>
      </c>
      <c r="BB988" s="176">
        <f t="shared" si="179"/>
        <v>0</v>
      </c>
      <c r="BC988" s="176">
        <f t="shared" si="180"/>
        <v>1</v>
      </c>
      <c r="BE988" s="176">
        <f t="shared" si="181"/>
        <v>134.88686264559607</v>
      </c>
      <c r="BF988" s="176">
        <f t="shared" si="182"/>
        <v>-1.4901161193847656E-08</v>
      </c>
      <c r="BG988" s="176">
        <f t="shared" si="183"/>
        <v>1048576</v>
      </c>
      <c r="BI988" s="176">
        <f t="shared" si="184"/>
        <v>124.69325117474011</v>
      </c>
      <c r="BJ988" s="176">
        <f t="shared" si="185"/>
        <v>0</v>
      </c>
      <c r="BK988" s="176">
        <f t="shared" si="186"/>
        <v>1</v>
      </c>
    </row>
    <row r="989" spans="10:63" ht="12.75">
      <c r="J989" s="235">
        <f>L$7*1000</f>
        <v>450</v>
      </c>
      <c r="K989" s="233">
        <f>IF($I$674&gt;=$I$690,F674,F690)</f>
        <v>115</v>
      </c>
      <c r="L989" s="199"/>
      <c r="M989" s="176">
        <f t="shared" si="149"/>
        <v>1488.4132662195573</v>
      </c>
      <c r="N989" s="176">
        <f t="shared" si="150"/>
        <v>116490.71208323623</v>
      </c>
      <c r="O989" s="176">
        <f t="shared" si="151"/>
        <v>-39606842.10830032</v>
      </c>
      <c r="Q989" s="176">
        <f t="shared" si="154"/>
        <v>110.1262407239434</v>
      </c>
      <c r="R989" s="176">
        <f t="shared" si="155"/>
        <v>0.0004445444792509079</v>
      </c>
      <c r="S989" s="176">
        <f t="shared" si="156"/>
        <v>238664</v>
      </c>
      <c r="U989" s="176">
        <f t="shared" si="187"/>
        <v>-72.12352237742013</v>
      </c>
      <c r="V989" s="176">
        <f t="shared" si="153"/>
        <v>-4174810.4296067134</v>
      </c>
      <c r="W989" s="176">
        <f t="shared" si="152"/>
        <v>6813.760199051803</v>
      </c>
      <c r="Y989" s="176">
        <f t="shared" si="157"/>
        <v>107.80790987434656</v>
      </c>
      <c r="Z989" s="176">
        <f t="shared" si="158"/>
        <v>0</v>
      </c>
      <c r="AA989" s="176">
        <f t="shared" si="159"/>
        <v>1</v>
      </c>
      <c r="AC989" s="176">
        <f t="shared" si="160"/>
        <v>110.3549169596307</v>
      </c>
      <c r="AD989" s="176">
        <f t="shared" si="161"/>
        <v>0</v>
      </c>
      <c r="AE989" s="176">
        <f t="shared" si="162"/>
        <v>1</v>
      </c>
      <c r="AG989" s="176">
        <f t="shared" si="163"/>
        <v>120.17046952109116</v>
      </c>
      <c r="AH989" s="176">
        <f t="shared" si="164"/>
        <v>1.4901161193847656E-08</v>
      </c>
      <c r="AI989" s="176">
        <f t="shared" si="165"/>
        <v>794464.5153208071</v>
      </c>
      <c r="AK989" s="176">
        <f t="shared" si="166"/>
        <v>110.35491695963071</v>
      </c>
      <c r="AL989" s="176">
        <f t="shared" si="167"/>
        <v>-7.450580596923828E-09</v>
      </c>
      <c r="AM989" s="176">
        <f t="shared" si="168"/>
        <v>1</v>
      </c>
      <c r="AO989" s="176">
        <f t="shared" si="169"/>
        <v>107.80790987434655</v>
      </c>
      <c r="AP989" s="176">
        <f t="shared" si="170"/>
        <v>0</v>
      </c>
      <c r="AQ989" s="176">
        <f t="shared" si="171"/>
        <v>1</v>
      </c>
      <c r="AS989" s="176">
        <f t="shared" si="172"/>
        <v>-72.12352237742552</v>
      </c>
      <c r="AT989" s="176">
        <f t="shared" si="173"/>
        <v>-4174810.4296071455</v>
      </c>
      <c r="AU989" s="176">
        <f t="shared" si="174"/>
        <v>6813.760199055597</v>
      </c>
      <c r="AW989" s="176">
        <f t="shared" si="175"/>
        <v>110.12624072021812</v>
      </c>
      <c r="AX989" s="176">
        <f t="shared" si="176"/>
        <v>-0.00044454261660575867</v>
      </c>
      <c r="AY989" s="176">
        <f t="shared" si="177"/>
        <v>238663</v>
      </c>
      <c r="BA989" s="176">
        <f t="shared" si="178"/>
        <v>124.69325117474011</v>
      </c>
      <c r="BB989" s="176">
        <f t="shared" si="179"/>
        <v>0</v>
      </c>
      <c r="BC989" s="176">
        <f t="shared" si="180"/>
        <v>1</v>
      </c>
      <c r="BE989" s="176">
        <f>IF(BG988=0,BE988,BE988-BF988/BG988)</f>
        <v>134.88686264559607</v>
      </c>
      <c r="BF989" s="176">
        <f t="shared" si="182"/>
        <v>-1.4901161193847656E-08</v>
      </c>
      <c r="BG989" s="176">
        <f t="shared" si="183"/>
        <v>1</v>
      </c>
      <c r="BI989" s="176">
        <f t="shared" si="184"/>
        <v>124.69325117474011</v>
      </c>
      <c r="BJ989" s="176">
        <f t="shared" si="185"/>
        <v>0</v>
      </c>
      <c r="BK989" s="176">
        <f t="shared" si="186"/>
        <v>1</v>
      </c>
    </row>
    <row r="990" spans="14:63" ht="12.75">
      <c r="N990" s="261"/>
      <c r="Q990" s="176">
        <f t="shared" si="154"/>
        <v>110.12624072208077</v>
      </c>
      <c r="R990" s="176">
        <f t="shared" si="155"/>
        <v>3.725290298461914E-09</v>
      </c>
      <c r="S990" s="176">
        <f t="shared" si="156"/>
        <v>238662.82085282024</v>
      </c>
      <c r="U990" s="176">
        <f t="shared" si="187"/>
        <v>540.5793476454603</v>
      </c>
      <c r="V990" s="176">
        <f t="shared" si="153"/>
        <v>38611892.13025421</v>
      </c>
      <c r="W990" s="176">
        <f t="shared" si="152"/>
        <v>69832.71117738214</v>
      </c>
      <c r="Y990" s="176">
        <f t="shared" si="157"/>
        <v>107.80790987434656</v>
      </c>
      <c r="Z990" s="176">
        <f t="shared" si="158"/>
        <v>0</v>
      </c>
      <c r="AA990" s="176">
        <f t="shared" si="159"/>
        <v>1</v>
      </c>
      <c r="AC990" s="176">
        <f t="shared" si="160"/>
        <v>110.3549169596307</v>
      </c>
      <c r="AD990" s="176">
        <f t="shared" si="161"/>
        <v>0</v>
      </c>
      <c r="AE990" s="176">
        <f t="shared" si="162"/>
        <v>1</v>
      </c>
      <c r="AG990" s="176">
        <f t="shared" si="163"/>
        <v>120.17046952109115</v>
      </c>
      <c r="AH990" s="176">
        <f t="shared" si="164"/>
        <v>-7.450580596923828E-09</v>
      </c>
      <c r="AI990" s="176">
        <f t="shared" si="165"/>
        <v>1572864</v>
      </c>
      <c r="AK990" s="176">
        <f t="shared" si="166"/>
        <v>110.3549169670813</v>
      </c>
      <c r="AL990" s="176">
        <f t="shared" si="167"/>
        <v>0.004470154643058777</v>
      </c>
      <c r="AM990" s="176">
        <f t="shared" si="168"/>
        <v>599975</v>
      </c>
      <c r="AO990" s="176">
        <f t="shared" si="169"/>
        <v>107.80790987434655</v>
      </c>
      <c r="AP990" s="176">
        <f t="shared" si="170"/>
        <v>0</v>
      </c>
      <c r="AQ990" s="176">
        <f t="shared" si="171"/>
        <v>1</v>
      </c>
      <c r="AS990" s="176">
        <f t="shared" si="172"/>
        <v>540.5793476451773</v>
      </c>
      <c r="AT990" s="176">
        <f t="shared" si="173"/>
        <v>38611892.13013126</v>
      </c>
      <c r="AU990" s="176">
        <f t="shared" si="174"/>
        <v>69832.71117721382</v>
      </c>
      <c r="AW990" s="176">
        <f t="shared" si="175"/>
        <v>110.12624072208075</v>
      </c>
      <c r="AX990" s="176">
        <f t="shared" si="176"/>
        <v>-3.725290298461914E-09</v>
      </c>
      <c r="AY990" s="176">
        <f t="shared" si="177"/>
        <v>238661.82084519078</v>
      </c>
      <c r="BA990" s="176">
        <f t="shared" si="178"/>
        <v>124.69325117474011</v>
      </c>
      <c r="BB990" s="176">
        <f t="shared" si="179"/>
        <v>0</v>
      </c>
      <c r="BC990" s="176">
        <f t="shared" si="180"/>
        <v>1</v>
      </c>
      <c r="BE990" s="176">
        <f>IF(BG989=0,BE989,BE989-BF989/BG989)</f>
        <v>134.88686266049723</v>
      </c>
      <c r="BF990" s="176">
        <f t="shared" si="182"/>
        <v>0.0126323401927948</v>
      </c>
      <c r="BG990" s="176">
        <f t="shared" si="183"/>
        <v>847743</v>
      </c>
      <c r="BI990" s="176">
        <f t="shared" si="184"/>
        <v>124.69325117474011</v>
      </c>
      <c r="BJ990" s="176">
        <f t="shared" si="185"/>
        <v>0</v>
      </c>
      <c r="BK990" s="176">
        <f t="shared" si="186"/>
        <v>1</v>
      </c>
    </row>
    <row r="991" spans="13:63" ht="12.75">
      <c r="M991" s="261"/>
      <c r="Q991" s="176">
        <f t="shared" si="154"/>
        <v>110.12624072208075</v>
      </c>
      <c r="R991" s="176">
        <f t="shared" si="155"/>
        <v>-1.862645149230957E-09</v>
      </c>
      <c r="S991" s="176">
        <f t="shared" si="156"/>
        <v>393216</v>
      </c>
      <c r="U991" s="176">
        <f t="shared" si="187"/>
        <v>-12.340501509130036</v>
      </c>
      <c r="V991" s="176">
        <f t="shared" si="153"/>
        <v>-1407407.0155322715</v>
      </c>
      <c r="W991" s="176">
        <f t="shared" si="152"/>
        <v>72378.1199155278</v>
      </c>
      <c r="Y991" s="176">
        <f t="shared" si="157"/>
        <v>107.80790987434656</v>
      </c>
      <c r="Z991" s="176">
        <f t="shared" si="158"/>
        <v>0</v>
      </c>
      <c r="AA991" s="176">
        <f t="shared" si="159"/>
        <v>1</v>
      </c>
      <c r="AC991" s="176">
        <f t="shared" si="160"/>
        <v>110.3549169596307</v>
      </c>
      <c r="AD991" s="176">
        <f t="shared" si="161"/>
        <v>0</v>
      </c>
      <c r="AE991" s="176">
        <f t="shared" si="162"/>
        <v>1</v>
      </c>
      <c r="AG991" s="176">
        <f t="shared" si="163"/>
        <v>120.17046952109115</v>
      </c>
      <c r="AH991" s="176">
        <f t="shared" si="164"/>
        <v>-7.450580596923828E-09</v>
      </c>
      <c r="AI991" s="176">
        <f t="shared" si="165"/>
        <v>1</v>
      </c>
      <c r="AK991" s="176">
        <f t="shared" si="166"/>
        <v>110.35491695963073</v>
      </c>
      <c r="AL991" s="176">
        <f t="shared" si="167"/>
        <v>7.450580596923828E-09</v>
      </c>
      <c r="AM991" s="176">
        <f t="shared" si="168"/>
        <v>599974.144359864</v>
      </c>
      <c r="AO991" s="176">
        <f t="shared" si="169"/>
        <v>107.80790987434655</v>
      </c>
      <c r="AP991" s="176">
        <f t="shared" si="170"/>
        <v>0</v>
      </c>
      <c r="AQ991" s="176">
        <f t="shared" si="171"/>
        <v>1</v>
      </c>
      <c r="AS991" s="176">
        <f t="shared" si="172"/>
        <v>-12.340501508985199</v>
      </c>
      <c r="AT991" s="176">
        <f t="shared" si="173"/>
        <v>-1407407.0155299867</v>
      </c>
      <c r="AU991" s="176">
        <f t="shared" si="174"/>
        <v>72378.11991535731</v>
      </c>
      <c r="AW991" s="176">
        <f t="shared" si="175"/>
        <v>110.12624072208077</v>
      </c>
      <c r="AX991" s="176">
        <f t="shared" si="176"/>
        <v>1.862645149230957E-09</v>
      </c>
      <c r="AY991" s="176">
        <f t="shared" si="177"/>
        <v>393216</v>
      </c>
      <c r="BA991" s="176">
        <f t="shared" si="178"/>
        <v>124.69325117474011</v>
      </c>
      <c r="BB991" s="176">
        <f t="shared" si="179"/>
        <v>0</v>
      </c>
      <c r="BC991" s="176">
        <f t="shared" si="180"/>
        <v>1</v>
      </c>
      <c r="BE991" s="176">
        <f>IF(BG990=0,BE990,BE990-BF990/BG990)</f>
        <v>134.8868626455961</v>
      </c>
      <c r="BF991" s="176">
        <f t="shared" si="182"/>
        <v>1.4901161193847656E-08</v>
      </c>
      <c r="BG991" s="176">
        <f t="shared" si="183"/>
        <v>847742.6169407214</v>
      </c>
      <c r="BI991" s="176">
        <f t="shared" si="184"/>
        <v>124.69325117474011</v>
      </c>
      <c r="BJ991" s="176">
        <f t="shared" si="185"/>
        <v>0</v>
      </c>
      <c r="BK991" s="176">
        <f t="shared" si="186"/>
        <v>1</v>
      </c>
    </row>
    <row r="992" spans="13:63" ht="12.75">
      <c r="M992" s="261"/>
      <c r="Q992" s="176">
        <f t="shared" si="154"/>
        <v>110.12624072208075</v>
      </c>
      <c r="R992" s="176">
        <f t="shared" si="155"/>
        <v>-1.862645149230957E-09</v>
      </c>
      <c r="S992" s="176">
        <f t="shared" si="156"/>
        <v>1</v>
      </c>
      <c r="U992" s="176">
        <f t="shared" si="187"/>
        <v>7.104698465321501</v>
      </c>
      <c r="V992" s="176">
        <f t="shared" si="153"/>
        <v>-1263553.740099998</v>
      </c>
      <c r="W992" s="176">
        <f t="shared" si="152"/>
        <v>7397.881000004011</v>
      </c>
      <c r="Y992" s="176">
        <f t="shared" si="157"/>
        <v>107.80790987434656</v>
      </c>
      <c r="Z992" s="176">
        <f t="shared" si="158"/>
        <v>0</v>
      </c>
      <c r="AA992" s="176">
        <f t="shared" si="159"/>
        <v>1</v>
      </c>
      <c r="AC992" s="176">
        <f t="shared" si="160"/>
        <v>110.3549169596307</v>
      </c>
      <c r="AD992" s="176">
        <f t="shared" si="161"/>
        <v>0</v>
      </c>
      <c r="AE992" s="176">
        <f t="shared" si="162"/>
        <v>1</v>
      </c>
      <c r="AG992" s="176">
        <f t="shared" si="163"/>
        <v>120.17046952854173</v>
      </c>
      <c r="AH992" s="176">
        <f t="shared" si="164"/>
        <v>0.005919225513935089</v>
      </c>
      <c r="AI992" s="176">
        <f t="shared" si="165"/>
        <v>794466</v>
      </c>
      <c r="AK992" s="176">
        <f t="shared" si="166"/>
        <v>110.35491695963071</v>
      </c>
      <c r="AL992" s="176">
        <f t="shared" si="167"/>
        <v>-7.450580596923828E-09</v>
      </c>
      <c r="AM992" s="176">
        <f t="shared" si="168"/>
        <v>1048576</v>
      </c>
      <c r="AO992" s="176">
        <f t="shared" si="169"/>
        <v>107.80790987434655</v>
      </c>
      <c r="AP992" s="176">
        <f t="shared" si="170"/>
        <v>0</v>
      </c>
      <c r="AQ992" s="176">
        <f t="shared" si="171"/>
        <v>1</v>
      </c>
      <c r="AS992" s="176">
        <f t="shared" si="172"/>
        <v>7.104698465480574</v>
      </c>
      <c r="AT992" s="176">
        <f t="shared" si="173"/>
        <v>-1263553.7401000953</v>
      </c>
      <c r="AU992" s="176">
        <f t="shared" si="174"/>
        <v>7397.880999876093</v>
      </c>
      <c r="AW992" s="176">
        <f t="shared" si="175"/>
        <v>110.12624072208077</v>
      </c>
      <c r="AX992" s="176">
        <f t="shared" si="176"/>
        <v>1.862645149230957E-09</v>
      </c>
      <c r="AY992" s="176">
        <f t="shared" si="177"/>
        <v>1</v>
      </c>
      <c r="BA992" s="176">
        <f t="shared" si="178"/>
        <v>124.69325117474011</v>
      </c>
      <c r="BB992" s="176">
        <f t="shared" si="179"/>
        <v>0</v>
      </c>
      <c r="BC992" s="176">
        <f t="shared" si="180"/>
        <v>1</v>
      </c>
      <c r="BE992" s="176">
        <f>IF(BG991=0,BE991,BE991-BF991/BG991)</f>
        <v>134.88686264559607</v>
      </c>
      <c r="BF992" s="176">
        <f t="shared" si="182"/>
        <v>-1.4901161193847656E-08</v>
      </c>
      <c r="BG992" s="176">
        <f t="shared" si="183"/>
        <v>1048576</v>
      </c>
      <c r="BI992" s="176">
        <f t="shared" si="184"/>
        <v>124.69325117474011</v>
      </c>
      <c r="BJ992" s="176">
        <f t="shared" si="185"/>
        <v>0</v>
      </c>
      <c r="BK992" s="176">
        <f t="shared" si="186"/>
        <v>1</v>
      </c>
    </row>
    <row r="993" spans="13:63" ht="12.75">
      <c r="M993" s="261"/>
      <c r="Q993" s="176">
        <f t="shared" si="154"/>
        <v>110.1262407239434</v>
      </c>
      <c r="R993" s="176">
        <f t="shared" si="155"/>
        <v>0.0004445444792509079</v>
      </c>
      <c r="S993" s="176">
        <f t="shared" si="156"/>
        <v>238664</v>
      </c>
      <c r="U993" s="176">
        <f t="shared" si="187"/>
        <v>177.9041125271742</v>
      </c>
      <c r="V993" s="176">
        <f t="shared" si="153"/>
        <v>-7826735.713858017</v>
      </c>
      <c r="W993" s="176">
        <f t="shared" si="152"/>
        <v>-38426.25579137672</v>
      </c>
      <c r="Y993" s="176">
        <f t="shared" si="157"/>
        <v>107.80790987434656</v>
      </c>
      <c r="Z993" s="176">
        <f t="shared" si="158"/>
        <v>0</v>
      </c>
      <c r="AA993" s="176">
        <f t="shared" si="159"/>
        <v>1</v>
      </c>
      <c r="AC993" s="176">
        <f t="shared" si="160"/>
        <v>110.3549169596307</v>
      </c>
      <c r="AD993" s="176">
        <f t="shared" si="161"/>
        <v>0</v>
      </c>
      <c r="AE993" s="176">
        <f t="shared" si="162"/>
        <v>1</v>
      </c>
      <c r="AG993" s="176">
        <f t="shared" si="163"/>
        <v>120.17046952109116</v>
      </c>
      <c r="AH993" s="176">
        <f t="shared" si="164"/>
        <v>1.4901161193847656E-08</v>
      </c>
      <c r="AI993" s="176">
        <f t="shared" si="165"/>
        <v>794464.5153208071</v>
      </c>
      <c r="AK993" s="176">
        <f t="shared" si="166"/>
        <v>110.35491695963071</v>
      </c>
      <c r="AL993" s="176">
        <f t="shared" si="167"/>
        <v>-7.450580596923828E-09</v>
      </c>
      <c r="AM993" s="176">
        <f t="shared" si="168"/>
        <v>1</v>
      </c>
      <c r="AO993" s="176">
        <f t="shared" si="169"/>
        <v>107.80790987434655</v>
      </c>
      <c r="AP993" s="176">
        <f t="shared" si="170"/>
        <v>0</v>
      </c>
      <c r="AQ993" s="176">
        <f t="shared" si="171"/>
        <v>1</v>
      </c>
      <c r="AS993" s="176">
        <f t="shared" si="172"/>
        <v>177.90411253029976</v>
      </c>
      <c r="AT993" s="176">
        <f t="shared" si="173"/>
        <v>-7826735.714005141</v>
      </c>
      <c r="AU993" s="176">
        <f t="shared" si="174"/>
        <v>-38426.25579157015</v>
      </c>
      <c r="AW993" s="176">
        <f t="shared" si="175"/>
        <v>110.12624072021812</v>
      </c>
      <c r="AX993" s="176">
        <f t="shared" si="176"/>
        <v>-0.00044454261660575867</v>
      </c>
      <c r="AY993" s="176">
        <f t="shared" si="177"/>
        <v>238663</v>
      </c>
      <c r="BA993" s="176">
        <f t="shared" si="178"/>
        <v>124.69325117474011</v>
      </c>
      <c r="BB993" s="176">
        <f t="shared" si="179"/>
        <v>0</v>
      </c>
      <c r="BC993" s="176">
        <f t="shared" si="180"/>
        <v>1</v>
      </c>
      <c r="BE993" s="176">
        <f>IF(BG992=0,BE992,BE992-BF992/BG992)</f>
        <v>134.88686264559607</v>
      </c>
      <c r="BF993" s="176">
        <f t="shared" si="182"/>
        <v>-1.4901161193847656E-08</v>
      </c>
      <c r="BG993" s="176">
        <f t="shared" si="183"/>
        <v>1</v>
      </c>
      <c r="BI993" s="176">
        <f t="shared" si="184"/>
        <v>124.69325117474011</v>
      </c>
      <c r="BJ993" s="176">
        <f t="shared" si="185"/>
        <v>0</v>
      </c>
      <c r="BK993" s="176">
        <f t="shared" si="186"/>
        <v>1</v>
      </c>
    </row>
    <row r="994" ht="12.75">
      <c r="M994" s="261"/>
    </row>
    <row r="995" ht="12.75">
      <c r="M995" s="261"/>
    </row>
    <row r="996" ht="12.75">
      <c r="M996" s="261"/>
    </row>
    <row r="997" ht="12.75">
      <c r="M997" s="261"/>
    </row>
    <row r="998" ht="12.75">
      <c r="M998" s="261"/>
    </row>
    <row r="999" spans="13:14" ht="12.75">
      <c r="M999" s="261"/>
      <c r="N999" s="261"/>
    </row>
    <row r="1000" ht="12.75">
      <c r="M1000" s="261"/>
    </row>
    <row r="1001" ht="12.75">
      <c r="M1001" s="261"/>
    </row>
    <row r="1002" ht="12.75">
      <c r="M1002" s="261"/>
    </row>
    <row r="1003" ht="12.75">
      <c r="M1003" s="261"/>
    </row>
    <row r="1005" ht="12.75">
      <c r="M1005" s="261"/>
    </row>
    <row r="1006" ht="12.75">
      <c r="M1006" s="261"/>
    </row>
    <row r="1007" ht="12.75">
      <c r="M1007" s="261"/>
    </row>
    <row r="1009" ht="12.75">
      <c r="M1009" s="261"/>
    </row>
    <row r="1010" ht="12.75">
      <c r="M1010" s="261"/>
    </row>
    <row r="1011" ht="12.75">
      <c r="M1011" s="261"/>
    </row>
    <row r="1012" ht="12.75">
      <c r="M1012" s="261"/>
    </row>
    <row r="1013" ht="12.75">
      <c r="M1013" s="261"/>
    </row>
  </sheetData>
  <sheetProtection sheet="1"/>
  <mergeCells count="70">
    <mergeCell ref="B779:E779"/>
    <mergeCell ref="B697:C698"/>
    <mergeCell ref="B771:B772"/>
    <mergeCell ref="B773:B774"/>
    <mergeCell ref="B775:B776"/>
    <mergeCell ref="B777:E777"/>
    <mergeCell ref="B704:B705"/>
    <mergeCell ref="E767:F767"/>
    <mergeCell ref="B769:B770"/>
    <mergeCell ref="A688:A690"/>
    <mergeCell ref="A679:A681"/>
    <mergeCell ref="A682:A684"/>
    <mergeCell ref="A685:A687"/>
    <mergeCell ref="B778:E778"/>
    <mergeCell ref="A669:A671"/>
    <mergeCell ref="G627:H627"/>
    <mergeCell ref="C611:D612"/>
    <mergeCell ref="C627:D628"/>
    <mergeCell ref="G767:H767"/>
    <mergeCell ref="B767:C768"/>
    <mergeCell ref="A677:B678"/>
    <mergeCell ref="C629:C631"/>
    <mergeCell ref="C632:C634"/>
    <mergeCell ref="C635:C637"/>
    <mergeCell ref="C638:C640"/>
    <mergeCell ref="C619:C621"/>
    <mergeCell ref="A672:A674"/>
    <mergeCell ref="A661:B662"/>
    <mergeCell ref="A663:A665"/>
    <mergeCell ref="A666:A668"/>
    <mergeCell ref="BM500:BO500"/>
    <mergeCell ref="BM542:BO542"/>
    <mergeCell ref="B699:B701"/>
    <mergeCell ref="B702:B703"/>
    <mergeCell ref="C613:C615"/>
    <mergeCell ref="C616:C618"/>
    <mergeCell ref="G611:H611"/>
    <mergeCell ref="C622:C624"/>
    <mergeCell ref="B500:B501"/>
    <mergeCell ref="B541:B542"/>
    <mergeCell ref="B559:B560"/>
    <mergeCell ref="B70:C71"/>
    <mergeCell ref="A751:A753"/>
    <mergeCell ref="A740:B741"/>
    <mergeCell ref="A742:A744"/>
    <mergeCell ref="A745:A747"/>
    <mergeCell ref="A748:A750"/>
    <mergeCell ref="A304:A306"/>
    <mergeCell ref="B72:B74"/>
    <mergeCell ref="B75:B76"/>
    <mergeCell ref="B149:G149"/>
    <mergeCell ref="A301:A303"/>
    <mergeCell ref="A285:A287"/>
    <mergeCell ref="B77:B78"/>
    <mergeCell ref="A274:A276"/>
    <mergeCell ref="A293:A295"/>
    <mergeCell ref="A282:A284"/>
    <mergeCell ref="B150:G151"/>
    <mergeCell ref="B152:G153"/>
    <mergeCell ref="B154:G154"/>
    <mergeCell ref="F113:G114"/>
    <mergeCell ref="H208:I208"/>
    <mergeCell ref="H209:I209"/>
    <mergeCell ref="H210:I210"/>
    <mergeCell ref="C209:G209"/>
    <mergeCell ref="C210:G210"/>
    <mergeCell ref="C208:G208"/>
    <mergeCell ref="H148:I148"/>
    <mergeCell ref="H154:I154"/>
    <mergeCell ref="B148:G148"/>
  </mergeCells>
  <conditionalFormatting sqref="E380:E381 E417:E418">
    <cfRule type="cellIs" priority="1" dxfId="7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7"/>
  <headerFooter alignWithMargins="0">
    <oddHeader>&amp;C&amp;10ボックスカルバートの設計(土被り4m未満)</oddHeader>
    <oddFooter>&amp;C&amp;P</oddFooter>
  </headerFooter>
  <rowBreaks count="24" manualBreakCount="24">
    <brk id="45" max="255" man="1"/>
    <brk id="81" max="255" man="1"/>
    <brk id="122" max="255" man="1"/>
    <brk id="160" max="255" man="1"/>
    <brk id="193" max="255" man="1"/>
    <brk id="234" max="255" man="1"/>
    <brk id="248" max="255" man="1"/>
    <brk id="290" max="255" man="1"/>
    <brk id="309" max="255" man="1"/>
    <brk id="347" max="255" man="1"/>
    <brk id="382" max="255" man="1"/>
    <brk id="419" max="255" man="1"/>
    <brk id="449" max="255" man="1"/>
    <brk id="494" max="255" man="1"/>
    <brk id="536" max="255" man="1"/>
    <brk id="573" max="255" man="1"/>
    <brk id="608" max="255" man="1"/>
    <brk id="642" max="255" man="1"/>
    <brk id="675" max="255" man="1"/>
    <brk id="691" max="255" man="1"/>
    <brk id="708" max="255" man="1"/>
    <brk id="737" max="255" man="1"/>
    <brk id="758" max="255" man="1"/>
    <brk id="780" max="255" man="1"/>
  </rowBreaks>
  <drawing r:id="rId6"/>
  <legacyDrawing r:id="rId5"/>
  <oleObjects>
    <oleObject progId="Equation.3" shapeId="590943" r:id="rId1"/>
    <oleObject progId="Equation.3" shapeId="590944" r:id="rId2"/>
    <oleObject progId="Equation.3" shapeId="601781" r:id="rId3"/>
    <oleObject progId="Equation.3" shapeId="60178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V54"/>
  <sheetViews>
    <sheetView zoomScalePageLayoutView="0" workbookViewId="0" topLeftCell="A22">
      <selection activeCell="F17" sqref="F17"/>
    </sheetView>
  </sheetViews>
  <sheetFormatPr defaultColWidth="8.796875" defaultRowHeight="14.25"/>
  <cols>
    <col min="4" max="4" width="11" style="0" customWidth="1"/>
    <col min="12" max="12" width="7.3984375" style="0" customWidth="1"/>
    <col min="14" max="14" width="53.296875" style="0" customWidth="1"/>
  </cols>
  <sheetData>
    <row r="1" spans="7:8" ht="12.75">
      <c r="G1" t="s">
        <v>150</v>
      </c>
      <c r="H1" s="12">
        <f>'入力'!E12</f>
        <v>4</v>
      </c>
    </row>
    <row r="2" ht="12.75">
      <c r="B2" t="s">
        <v>67</v>
      </c>
    </row>
    <row r="3" spans="3:10" ht="12.75">
      <c r="C3" t="s">
        <v>68</v>
      </c>
      <c r="D3" t="s">
        <v>170</v>
      </c>
      <c r="E3" t="s">
        <v>171</v>
      </c>
      <c r="F3" t="s">
        <v>69</v>
      </c>
      <c r="G3" t="s">
        <v>70</v>
      </c>
      <c r="H3" t="s">
        <v>72</v>
      </c>
      <c r="I3" t="s">
        <v>73</v>
      </c>
      <c r="J3" t="s">
        <v>71</v>
      </c>
    </row>
    <row r="4" spans="2:14" ht="12.75">
      <c r="B4">
        <v>1</v>
      </c>
      <c r="C4" t="s">
        <v>99</v>
      </c>
      <c r="D4">
        <v>100</v>
      </c>
      <c r="E4">
        <v>25</v>
      </c>
      <c r="F4">
        <v>6</v>
      </c>
      <c r="G4">
        <f>IF(H1&lt;4,0.3,0)</f>
        <v>0</v>
      </c>
      <c r="H4">
        <v>0.2</v>
      </c>
      <c r="I4">
        <v>2.75</v>
      </c>
      <c r="J4">
        <v>10</v>
      </c>
      <c r="M4">
        <v>1</v>
      </c>
      <c r="N4" t="s">
        <v>163</v>
      </c>
    </row>
    <row r="5" spans="2:14" ht="12.75">
      <c r="B5">
        <v>2</v>
      </c>
      <c r="C5" t="s">
        <v>100</v>
      </c>
      <c r="D5">
        <f>'入力'!E16</f>
        <v>5</v>
      </c>
      <c r="E5">
        <f>'入力'!E17</f>
        <v>5</v>
      </c>
      <c r="F5">
        <f>'入力'!E18</f>
        <v>6</v>
      </c>
      <c r="G5">
        <f>'入力'!E20</f>
        <v>0.3</v>
      </c>
      <c r="H5">
        <f>'入力'!E21</f>
        <v>0.2</v>
      </c>
      <c r="I5">
        <f>'入力'!E22</f>
        <v>2.75</v>
      </c>
      <c r="J5">
        <f>'入力'!E19</f>
        <v>10</v>
      </c>
      <c r="M5">
        <v>2</v>
      </c>
      <c r="N5" t="s">
        <v>164</v>
      </c>
    </row>
    <row r="6" spans="2:13" ht="12.75">
      <c r="B6">
        <v>1</v>
      </c>
      <c r="C6" t="str">
        <f>VLOOKUP($B$6,$B$3:$J$5,2)</f>
        <v>自動</v>
      </c>
      <c r="D6">
        <f>VLOOKUP($B$6,$B$3:$J$5,3)</f>
        <v>100</v>
      </c>
      <c r="E6">
        <f>VLOOKUP($B$6,$B$3:$J$5,4)</f>
        <v>25</v>
      </c>
      <c r="F6">
        <f>VLOOKUP($B$6,$B$3:$J$5,5)</f>
        <v>6</v>
      </c>
      <c r="G6">
        <f>VLOOKUP($B$6,$B$3:$J$5,6)</f>
        <v>0</v>
      </c>
      <c r="H6">
        <f>VLOOKUP($B$6,$B$3:$J$5,7)</f>
        <v>0.2</v>
      </c>
      <c r="I6">
        <f>VLOOKUP($B$6,$B$3:$J$5,8)</f>
        <v>2.75</v>
      </c>
      <c r="J6">
        <f>VLOOKUP($B$6,$B$3:$J$5,9)</f>
        <v>10</v>
      </c>
      <c r="M6">
        <v>1</v>
      </c>
    </row>
    <row r="9" spans="2:4" ht="12.75">
      <c r="B9" t="s">
        <v>62</v>
      </c>
      <c r="C9" t="s">
        <v>76</v>
      </c>
      <c r="D9" t="s">
        <v>77</v>
      </c>
    </row>
    <row r="10" spans="2:4" ht="12.75">
      <c r="B10">
        <v>1</v>
      </c>
      <c r="C10" t="s">
        <v>74</v>
      </c>
      <c r="D10">
        <v>160</v>
      </c>
    </row>
    <row r="11" spans="2:4" ht="12.75">
      <c r="B11">
        <v>2</v>
      </c>
      <c r="C11" t="s">
        <v>75</v>
      </c>
      <c r="D11">
        <v>160</v>
      </c>
    </row>
    <row r="12" spans="2:4" ht="12.75">
      <c r="B12">
        <v>1</v>
      </c>
      <c r="C12" t="str">
        <f>VLOOKUP($B$12,$B$10:$D$11,2)</f>
        <v>SD295A</v>
      </c>
      <c r="D12">
        <f>VLOOKUP($B$12,$B$10:$D$11,3)</f>
        <v>160</v>
      </c>
    </row>
    <row r="14" spans="4:17" ht="13.5">
      <c r="D14" s="2" t="s">
        <v>271</v>
      </c>
      <c r="E14" s="4"/>
      <c r="J14" s="2"/>
      <c r="K14" s="1"/>
      <c r="P14" s="3"/>
      <c r="Q14" s="4"/>
    </row>
    <row r="15" spans="4:22" ht="13.5">
      <c r="D15" t="s">
        <v>9</v>
      </c>
      <c r="G15" s="2" t="s">
        <v>22</v>
      </c>
      <c r="I15" s="2" t="s">
        <v>10</v>
      </c>
      <c r="J15" s="1"/>
      <c r="M15" s="2"/>
      <c r="O15" s="2" t="s">
        <v>10</v>
      </c>
      <c r="P15" s="1"/>
      <c r="Q15" s="2"/>
      <c r="S15" s="2"/>
      <c r="U15" s="2"/>
      <c r="V15" s="1"/>
    </row>
    <row r="16" spans="2:22" ht="12.75">
      <c r="B16" t="s">
        <v>63</v>
      </c>
      <c r="D16" t="s">
        <v>592</v>
      </c>
      <c r="E16" s="2" t="s">
        <v>272</v>
      </c>
      <c r="F16" s="2" t="s">
        <v>593</v>
      </c>
      <c r="G16" s="2" t="s">
        <v>273</v>
      </c>
      <c r="H16" s="2" t="s">
        <v>274</v>
      </c>
      <c r="I16" s="2" t="s">
        <v>273</v>
      </c>
      <c r="J16" s="2" t="s">
        <v>274</v>
      </c>
      <c r="L16" s="2"/>
      <c r="M16" s="2"/>
      <c r="N16" s="2"/>
      <c r="O16" s="2" t="s">
        <v>273</v>
      </c>
      <c r="P16" s="2" t="s">
        <v>274</v>
      </c>
      <c r="Q16" s="2"/>
      <c r="R16" s="2"/>
      <c r="S16" s="2"/>
      <c r="T16" s="2"/>
      <c r="U16" s="2"/>
      <c r="V16" s="2"/>
    </row>
    <row r="17" spans="2:20" ht="13.5">
      <c r="B17">
        <v>1</v>
      </c>
      <c r="C17" t="s">
        <v>99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  <c r="J17">
        <v>110</v>
      </c>
      <c r="R17" s="1"/>
      <c r="S17" s="1"/>
      <c r="T17" s="1"/>
    </row>
    <row r="18" spans="2:14" ht="13.5">
      <c r="B18">
        <v>2</v>
      </c>
      <c r="C18" t="s">
        <v>100</v>
      </c>
      <c r="D18">
        <f>'入力'!E37</f>
        <v>100</v>
      </c>
      <c r="E18">
        <f>'入力'!E38</f>
        <v>100</v>
      </c>
      <c r="F18">
        <f>'入力'!E39</f>
        <v>100</v>
      </c>
      <c r="G18">
        <f>'入力'!E40</f>
        <v>100</v>
      </c>
      <c r="H18">
        <f>'入力'!E41</f>
        <v>100</v>
      </c>
      <c r="I18">
        <f>'入力'!E42</f>
        <v>100</v>
      </c>
      <c r="J18" s="1">
        <f>'入力'!E43</f>
        <v>110</v>
      </c>
      <c r="L18" s="1"/>
      <c r="M18" s="1"/>
      <c r="N18" s="1"/>
    </row>
    <row r="19" spans="2:14" ht="13.5">
      <c r="B19">
        <v>1</v>
      </c>
      <c r="C19" t="str">
        <f>VLOOKUP($B$19,$B$17:$V$18,2)</f>
        <v>自動</v>
      </c>
      <c r="D19">
        <f>VLOOKUP($B$19,$B$17:$J$18,3)</f>
        <v>100</v>
      </c>
      <c r="E19">
        <f>VLOOKUP($B$19,$B$17:$J$18,4)</f>
        <v>100</v>
      </c>
      <c r="F19">
        <f>VLOOKUP($B$19,$B$17:$J$18,5)</f>
        <v>100</v>
      </c>
      <c r="G19">
        <f>VLOOKUP($B$19,$B$17:$J$18,6)</f>
        <v>100</v>
      </c>
      <c r="H19">
        <f>VLOOKUP($B$19,$B$17:$J$18,7)</f>
        <v>100</v>
      </c>
      <c r="I19">
        <f>VLOOKUP($B$19,$B$17:$J$18,8)</f>
        <v>100</v>
      </c>
      <c r="J19">
        <f>VLOOKUP($B$19,$B$17:$J$18,9)</f>
        <v>110</v>
      </c>
      <c r="L19" s="1"/>
      <c r="M19" s="1"/>
      <c r="N19" s="1"/>
    </row>
    <row r="20" spans="9:13" ht="13.5">
      <c r="I20" s="1"/>
      <c r="K20" s="1"/>
      <c r="L20" s="1"/>
      <c r="M20" s="1"/>
    </row>
    <row r="21" spans="11:13" ht="13.5">
      <c r="K21" s="1"/>
      <c r="L21" s="1"/>
      <c r="M21" s="1"/>
    </row>
    <row r="22" spans="9:13" ht="13.5">
      <c r="I22" s="1"/>
      <c r="K22" s="1"/>
      <c r="L22" s="1"/>
      <c r="M22" s="1"/>
    </row>
    <row r="23" spans="3:5" ht="12.75">
      <c r="C23" t="s">
        <v>101</v>
      </c>
      <c r="D23" t="s">
        <v>102</v>
      </c>
      <c r="E23" t="s">
        <v>112</v>
      </c>
    </row>
    <row r="24" spans="3:10" ht="12.75">
      <c r="C24">
        <v>1</v>
      </c>
      <c r="D24" t="s">
        <v>103</v>
      </c>
      <c r="E24">
        <v>1000</v>
      </c>
      <c r="I24" t="s">
        <v>611</v>
      </c>
      <c r="J24" s="12">
        <f>'入力'!E12</f>
        <v>4</v>
      </c>
    </row>
    <row r="25" spans="3:9" ht="12.75">
      <c r="C25">
        <v>2</v>
      </c>
      <c r="D25" t="s">
        <v>104</v>
      </c>
      <c r="E25">
        <v>600</v>
      </c>
      <c r="I25" s="113">
        <f>IF(J24&lt;4,1,2)</f>
        <v>2</v>
      </c>
    </row>
    <row r="26" spans="3:5" ht="12.75">
      <c r="C26">
        <v>3</v>
      </c>
      <c r="D26" t="s">
        <v>105</v>
      </c>
      <c r="E26">
        <v>300</v>
      </c>
    </row>
    <row r="27" spans="3:5" ht="12.75">
      <c r="C27">
        <v>4</v>
      </c>
      <c r="D27" t="s">
        <v>106</v>
      </c>
      <c r="E27">
        <v>600</v>
      </c>
    </row>
    <row r="28" spans="3:5" ht="12.75">
      <c r="C28">
        <v>5</v>
      </c>
      <c r="D28" t="s">
        <v>107</v>
      </c>
      <c r="E28">
        <v>300</v>
      </c>
    </row>
    <row r="29" spans="3:5" ht="12.75">
      <c r="C29">
        <v>6</v>
      </c>
      <c r="D29" t="s">
        <v>108</v>
      </c>
      <c r="E29">
        <v>300</v>
      </c>
    </row>
    <row r="30" spans="3:5" ht="12.75">
      <c r="C30">
        <v>7</v>
      </c>
      <c r="D30" t="s">
        <v>109</v>
      </c>
      <c r="E30">
        <v>200</v>
      </c>
    </row>
    <row r="31" spans="3:5" ht="12.75">
      <c r="C31">
        <v>8</v>
      </c>
      <c r="D31" t="s">
        <v>110</v>
      </c>
      <c r="E31">
        <v>200</v>
      </c>
    </row>
    <row r="32" spans="3:5" ht="12.75">
      <c r="C32">
        <v>9</v>
      </c>
      <c r="D32" t="s">
        <v>111</v>
      </c>
      <c r="E32">
        <v>100</v>
      </c>
    </row>
    <row r="33" spans="3:5" ht="12.75">
      <c r="C33">
        <v>10</v>
      </c>
      <c r="D33" s="5" t="s">
        <v>113</v>
      </c>
      <c r="E33">
        <f>'入力'!E48</f>
        <v>300</v>
      </c>
    </row>
    <row r="34" spans="3:5" ht="12.75">
      <c r="C34">
        <v>7</v>
      </c>
      <c r="D34" t="str">
        <f>VLOOKUP($C$34,$C$24:$E$33,2)</f>
        <v>中位な砂質地盤</v>
      </c>
      <c r="E34">
        <f>VLOOKUP($C$34,$C$24:$E$33,3)</f>
        <v>200</v>
      </c>
    </row>
    <row r="41" spans="2:3" ht="12.75">
      <c r="B41" s="338" t="s">
        <v>411</v>
      </c>
      <c r="C41" s="341"/>
    </row>
    <row r="42" spans="2:3" ht="12.75">
      <c r="B42" s="339"/>
      <c r="C42" s="341"/>
    </row>
    <row r="43" spans="2:3" ht="13.5">
      <c r="B43" s="338" t="s">
        <v>290</v>
      </c>
      <c r="C43" s="35" t="s">
        <v>399</v>
      </c>
    </row>
    <row r="44" spans="2:3" ht="12.75">
      <c r="B44" s="339"/>
      <c r="C44" s="15" t="s">
        <v>400</v>
      </c>
    </row>
    <row r="45" spans="2:3" ht="13.5">
      <c r="B45" s="339"/>
      <c r="C45" s="17" t="s">
        <v>403</v>
      </c>
    </row>
    <row r="46" spans="2:3" ht="13.5">
      <c r="B46" s="338" t="s">
        <v>293</v>
      </c>
      <c r="C46" s="35" t="s">
        <v>403</v>
      </c>
    </row>
    <row r="47" spans="2:3" ht="12.75">
      <c r="B47" s="339"/>
      <c r="C47" s="15" t="s">
        <v>400</v>
      </c>
    </row>
    <row r="48" spans="2:3" ht="13.5">
      <c r="B48" s="339"/>
      <c r="C48" s="17" t="s">
        <v>404</v>
      </c>
    </row>
    <row r="49" spans="2:3" ht="13.5">
      <c r="B49" s="338" t="s">
        <v>261</v>
      </c>
      <c r="C49" s="35" t="s">
        <v>405</v>
      </c>
    </row>
    <row r="50" spans="2:3" ht="12.75">
      <c r="B50" s="339"/>
      <c r="C50" s="15" t="s">
        <v>406</v>
      </c>
    </row>
    <row r="51" spans="2:3" ht="13.5">
      <c r="B51" s="339"/>
      <c r="C51" s="17" t="s">
        <v>407</v>
      </c>
    </row>
    <row r="52" spans="2:3" ht="13.5">
      <c r="B52" s="338" t="s">
        <v>23</v>
      </c>
      <c r="C52" s="35" t="s">
        <v>408</v>
      </c>
    </row>
    <row r="53" spans="2:3" ht="12.75">
      <c r="B53" s="339"/>
      <c r="C53" s="15" t="s">
        <v>409</v>
      </c>
    </row>
    <row r="54" spans="2:3" ht="13.5">
      <c r="B54" s="340"/>
      <c r="C54" s="16" t="s">
        <v>410</v>
      </c>
    </row>
  </sheetData>
  <sheetProtection/>
  <mergeCells count="5">
    <mergeCell ref="B52:B54"/>
    <mergeCell ref="B41:C42"/>
    <mergeCell ref="B43:B45"/>
    <mergeCell ref="B46:B48"/>
    <mergeCell ref="B49:B5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X804"/>
  <sheetViews>
    <sheetView zoomScale="75" zoomScaleNormal="75" zoomScalePageLayoutView="0" workbookViewId="0" topLeftCell="A34">
      <selection activeCell="K47" sqref="K47"/>
    </sheetView>
  </sheetViews>
  <sheetFormatPr defaultColWidth="8.796875" defaultRowHeight="14.25"/>
  <cols>
    <col min="1" max="4" width="8.8984375" style="7" customWidth="1"/>
    <col min="5" max="5" width="9" style="7" bestFit="1" customWidth="1"/>
    <col min="6" max="6" width="9.3984375" style="7" customWidth="1"/>
    <col min="7" max="7" width="9.09765625" style="7" customWidth="1"/>
    <col min="8" max="8" width="9.3984375" style="7" customWidth="1"/>
    <col min="9" max="9" width="10.8984375" style="7" customWidth="1"/>
    <col min="10" max="14" width="8.8984375" style="7" customWidth="1"/>
    <col min="15" max="15" width="9.8984375" style="7" customWidth="1"/>
    <col min="16" max="66" width="8.8984375" style="7" customWidth="1"/>
    <col min="67" max="67" width="12.296875" style="7" customWidth="1"/>
    <col min="68" max="70" width="8.8984375" style="7" customWidth="1"/>
    <col min="71" max="71" width="12.296875" style="7" customWidth="1"/>
    <col min="72" max="16384" width="8.8984375" style="7" customWidth="1"/>
  </cols>
  <sheetData>
    <row r="1" ht="13.5">
      <c r="A1" s="8" t="s">
        <v>172</v>
      </c>
    </row>
    <row r="3" ht="13.5">
      <c r="A3" s="8" t="s">
        <v>466</v>
      </c>
    </row>
    <row r="4" spans="2:6" ht="13.5">
      <c r="B4" s="8" t="s">
        <v>467</v>
      </c>
      <c r="C4" s="8" t="s">
        <v>18</v>
      </c>
      <c r="D4" s="6" t="s">
        <v>173</v>
      </c>
      <c r="E4" s="11">
        <f>'入力'!E3</f>
        <v>3</v>
      </c>
      <c r="F4" s="7" t="s">
        <v>114</v>
      </c>
    </row>
    <row r="5" spans="3:6" ht="13.5">
      <c r="C5" s="8" t="s">
        <v>19</v>
      </c>
      <c r="D5" s="6" t="s">
        <v>174</v>
      </c>
      <c r="E5" s="11">
        <f>'入力'!E4</f>
        <v>3</v>
      </c>
      <c r="F5" s="7" t="s">
        <v>114</v>
      </c>
    </row>
    <row r="6" spans="2:6" ht="15.75">
      <c r="B6" s="8" t="s">
        <v>20</v>
      </c>
      <c r="C6" s="8" t="s">
        <v>21</v>
      </c>
      <c r="D6" s="6" t="s">
        <v>115</v>
      </c>
      <c r="E6" s="11">
        <f>'入力'!E5</f>
        <v>0.35</v>
      </c>
      <c r="F6" s="7" t="s">
        <v>116</v>
      </c>
    </row>
    <row r="7" spans="3:6" ht="15.75">
      <c r="C7" s="8" t="s">
        <v>468</v>
      </c>
      <c r="D7" s="6" t="s">
        <v>117</v>
      </c>
      <c r="E7" s="11">
        <f>'入力'!E6</f>
        <v>0.4</v>
      </c>
      <c r="F7" s="7" t="s">
        <v>118</v>
      </c>
    </row>
    <row r="8" spans="3:6" ht="15.75">
      <c r="C8" s="8" t="s">
        <v>23</v>
      </c>
      <c r="D8" s="6" t="s">
        <v>119</v>
      </c>
      <c r="E8" s="11">
        <f>'入力'!E7</f>
        <v>0.45</v>
      </c>
      <c r="F8" s="7" t="s">
        <v>120</v>
      </c>
    </row>
    <row r="9" spans="2:6" ht="15.75">
      <c r="B9" s="9" t="s">
        <v>121</v>
      </c>
      <c r="C9" s="8" t="s">
        <v>468</v>
      </c>
      <c r="D9" s="21" t="s">
        <v>469</v>
      </c>
      <c r="E9" s="11">
        <f>'入力'!E8</f>
        <v>0.2</v>
      </c>
      <c r="F9" s="7" t="s">
        <v>122</v>
      </c>
    </row>
    <row r="10" spans="4:6" ht="15.75">
      <c r="D10" s="21" t="s">
        <v>470</v>
      </c>
      <c r="E10" s="11">
        <f>'入力'!E9</f>
        <v>0.2</v>
      </c>
      <c r="F10" s="7" t="s">
        <v>123</v>
      </c>
    </row>
    <row r="11" spans="3:6" ht="15.75">
      <c r="C11" s="8" t="s">
        <v>124</v>
      </c>
      <c r="D11" s="21" t="s">
        <v>471</v>
      </c>
      <c r="E11" s="11">
        <f>'入力'!E10</f>
        <v>0.2</v>
      </c>
      <c r="F11" s="7" t="s">
        <v>122</v>
      </c>
    </row>
    <row r="12" spans="4:6" ht="15.75">
      <c r="D12" s="21" t="s">
        <v>472</v>
      </c>
      <c r="E12" s="11">
        <f>'入力'!E11</f>
        <v>0.2</v>
      </c>
      <c r="F12" s="7" t="s">
        <v>123</v>
      </c>
    </row>
    <row r="13" spans="2:6" ht="13.5">
      <c r="B13" s="8" t="s">
        <v>473</v>
      </c>
      <c r="D13" s="6" t="s">
        <v>125</v>
      </c>
      <c r="E13" s="11">
        <f>'入力'!E12</f>
        <v>4</v>
      </c>
      <c r="F13" s="7" t="s">
        <v>126</v>
      </c>
    </row>
    <row r="14" spans="2:6" ht="15.75">
      <c r="B14" s="8" t="s">
        <v>25</v>
      </c>
      <c r="D14" s="6" t="s">
        <v>127</v>
      </c>
      <c r="E14" s="11">
        <f>'入力'!E13</f>
        <v>0.2</v>
      </c>
      <c r="F14" s="7" t="s">
        <v>128</v>
      </c>
    </row>
    <row r="15" spans="4:5" ht="13.5">
      <c r="D15" s="6"/>
      <c r="E15" s="11"/>
    </row>
    <row r="16" ht="13.5">
      <c r="A16" s="8" t="s">
        <v>26</v>
      </c>
    </row>
    <row r="17" spans="2:6" ht="15.75">
      <c r="B17" s="8" t="s">
        <v>175</v>
      </c>
      <c r="C17" s="22" t="s">
        <v>474</v>
      </c>
      <c r="D17" s="6" t="s">
        <v>176</v>
      </c>
      <c r="E17" s="7">
        <f>データ!D6</f>
        <v>100</v>
      </c>
      <c r="F17" s="7" t="s">
        <v>129</v>
      </c>
    </row>
    <row r="18" spans="3:6" ht="15.75">
      <c r="C18" s="22" t="s">
        <v>475</v>
      </c>
      <c r="D18" s="6" t="s">
        <v>177</v>
      </c>
      <c r="E18" s="7">
        <f>データ!E6</f>
        <v>25</v>
      </c>
      <c r="F18" s="7" t="s">
        <v>130</v>
      </c>
    </row>
    <row r="19" spans="3:6" ht="13.5">
      <c r="C19" s="22" t="s">
        <v>476</v>
      </c>
      <c r="D19" s="10" t="s">
        <v>131</v>
      </c>
      <c r="E19" s="7">
        <f>データ!F6</f>
        <v>6</v>
      </c>
      <c r="F19" s="7" t="s">
        <v>132</v>
      </c>
    </row>
    <row r="20" spans="3:6" ht="16.5">
      <c r="C20" s="22" t="s">
        <v>133</v>
      </c>
      <c r="D20" s="6" t="s">
        <v>134</v>
      </c>
      <c r="E20" s="7">
        <f>データ!J6</f>
        <v>10</v>
      </c>
      <c r="F20" s="7" t="s">
        <v>135</v>
      </c>
    </row>
    <row r="21" spans="3:5" ht="13.5">
      <c r="C21" s="22" t="s">
        <v>136</v>
      </c>
      <c r="D21" s="6" t="s">
        <v>137</v>
      </c>
      <c r="E21" s="7">
        <f>データ!G6</f>
        <v>0</v>
      </c>
    </row>
    <row r="22" spans="2:6" ht="13.5">
      <c r="B22" s="8" t="s">
        <v>477</v>
      </c>
      <c r="C22" s="22" t="s">
        <v>478</v>
      </c>
      <c r="D22" s="6" t="s">
        <v>138</v>
      </c>
      <c r="E22" s="7">
        <f>データ!H6</f>
        <v>0.2</v>
      </c>
      <c r="F22" s="7" t="s">
        <v>139</v>
      </c>
    </row>
    <row r="23" spans="3:6" ht="13.5">
      <c r="C23" s="22" t="s">
        <v>479</v>
      </c>
      <c r="D23" s="6" t="s">
        <v>140</v>
      </c>
      <c r="E23" s="7">
        <f>データ!I6</f>
        <v>2.75</v>
      </c>
      <c r="F23" s="7" t="s">
        <v>118</v>
      </c>
    </row>
    <row r="24" ht="13.5">
      <c r="D24" s="6"/>
    </row>
    <row r="25" ht="15">
      <c r="D25" s="6"/>
    </row>
    <row r="26" ht="15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ht="15">
      <c r="D33" s="6"/>
    </row>
    <row r="34" ht="15">
      <c r="D34" s="6"/>
    </row>
    <row r="35" ht="15">
      <c r="D35" s="6"/>
    </row>
    <row r="36" ht="15">
      <c r="D36" s="6"/>
    </row>
    <row r="37" ht="15">
      <c r="D37" s="6"/>
    </row>
    <row r="38" ht="15">
      <c r="D38" s="6"/>
    </row>
    <row r="39" ht="15">
      <c r="D39" s="6"/>
    </row>
    <row r="40" ht="15">
      <c r="D40" s="6"/>
    </row>
    <row r="41" ht="15">
      <c r="D41" s="6"/>
    </row>
    <row r="42" ht="15">
      <c r="D42" s="6"/>
    </row>
    <row r="43" ht="15">
      <c r="D43" s="6"/>
    </row>
    <row r="44" spans="3:4" ht="15">
      <c r="C44" s="8" t="s">
        <v>178</v>
      </c>
      <c r="D44" s="6"/>
    </row>
    <row r="45" ht="13.5">
      <c r="D45" s="6"/>
    </row>
    <row r="46" spans="1:4" ht="13.5">
      <c r="A46" s="8" t="s">
        <v>179</v>
      </c>
      <c r="D46" s="6"/>
    </row>
    <row r="47" spans="3:6" ht="16.5">
      <c r="C47" s="8" t="s">
        <v>34</v>
      </c>
      <c r="D47" s="6" t="s">
        <v>583</v>
      </c>
      <c r="E47" s="7">
        <f>'入力'!E25</f>
        <v>0</v>
      </c>
      <c r="F47" s="7" t="s">
        <v>340</v>
      </c>
    </row>
    <row r="48" ht="13.5">
      <c r="D48" s="6"/>
    </row>
    <row r="49" spans="1:4" ht="13.5">
      <c r="A49" s="8" t="s">
        <v>480</v>
      </c>
      <c r="D49" s="6"/>
    </row>
    <row r="50" spans="2:6" ht="16.5">
      <c r="B50" s="8" t="s">
        <v>35</v>
      </c>
      <c r="D50" s="10" t="s">
        <v>141</v>
      </c>
      <c r="E50" s="7">
        <f>'入力'!E27</f>
        <v>24.5</v>
      </c>
      <c r="F50" s="7" t="s">
        <v>142</v>
      </c>
    </row>
    <row r="51" spans="2:6" ht="16.5">
      <c r="B51" s="8" t="s">
        <v>36</v>
      </c>
      <c r="D51" s="10" t="s">
        <v>143</v>
      </c>
      <c r="E51" s="7">
        <f>'入力'!E28</f>
        <v>18</v>
      </c>
      <c r="F51" s="7" t="s">
        <v>144</v>
      </c>
    </row>
    <row r="52" spans="2:6" ht="16.5">
      <c r="B52" s="8" t="s">
        <v>37</v>
      </c>
      <c r="D52" s="10" t="s">
        <v>145</v>
      </c>
      <c r="E52" s="7">
        <f>'入力'!E29</f>
        <v>22.5</v>
      </c>
      <c r="F52" s="7" t="s">
        <v>146</v>
      </c>
    </row>
    <row r="53" ht="13.5">
      <c r="D53" s="6"/>
    </row>
    <row r="54" spans="1:5" ht="15.75">
      <c r="A54" s="8" t="s">
        <v>275</v>
      </c>
      <c r="D54" s="6" t="s">
        <v>180</v>
      </c>
      <c r="E54" s="7">
        <f>'入力'!E23</f>
        <v>0.5</v>
      </c>
    </row>
    <row r="55" ht="13.5">
      <c r="D55" s="6"/>
    </row>
    <row r="56" ht="13.5">
      <c r="A56" s="8" t="s">
        <v>270</v>
      </c>
    </row>
    <row r="57" ht="13.5">
      <c r="B57" s="8" t="s">
        <v>147</v>
      </c>
    </row>
    <row r="58" spans="3:8" ht="16.5">
      <c r="C58" s="9" t="s">
        <v>181</v>
      </c>
      <c r="F58" s="10" t="s">
        <v>182</v>
      </c>
      <c r="G58" s="7">
        <f>'入力'!E31</f>
        <v>24</v>
      </c>
      <c r="H58" s="7" t="s">
        <v>627</v>
      </c>
    </row>
    <row r="59" spans="3:8" ht="16.5">
      <c r="C59" s="8" t="s">
        <v>183</v>
      </c>
      <c r="F59" s="10" t="s">
        <v>184</v>
      </c>
      <c r="G59" s="7">
        <f>G58/3</f>
        <v>8</v>
      </c>
      <c r="H59" s="7" t="s">
        <v>627</v>
      </c>
    </row>
    <row r="60" spans="3:8" ht="16.5">
      <c r="C60" s="13" t="s">
        <v>151</v>
      </c>
      <c r="F60" s="10" t="s">
        <v>185</v>
      </c>
      <c r="G60" s="7">
        <f>0.15+G58/100</f>
        <v>0.39</v>
      </c>
      <c r="H60" s="7" t="s">
        <v>627</v>
      </c>
    </row>
    <row r="61" spans="2:4" ht="13.5">
      <c r="B61" s="8" t="s">
        <v>186</v>
      </c>
      <c r="D61" s="14"/>
    </row>
    <row r="62" spans="3:6" ht="13.5">
      <c r="C62" s="8" t="s">
        <v>187</v>
      </c>
      <c r="E62" s="6"/>
      <c r="F62" s="7" t="str">
        <f>データ!C12</f>
        <v>SD295A</v>
      </c>
    </row>
    <row r="63" spans="3:8" ht="16.5">
      <c r="C63" s="8" t="s">
        <v>188</v>
      </c>
      <c r="F63" s="10" t="s">
        <v>189</v>
      </c>
      <c r="G63" s="7">
        <v>160</v>
      </c>
      <c r="H63" s="7" t="s">
        <v>627</v>
      </c>
    </row>
    <row r="64" ht="13.5">
      <c r="D64" s="6"/>
    </row>
    <row r="65" spans="1:4" ht="13.5">
      <c r="A65" s="8" t="s">
        <v>276</v>
      </c>
      <c r="D65" s="6"/>
    </row>
    <row r="66" spans="2:6" ht="16.5">
      <c r="B66" s="8" t="s">
        <v>190</v>
      </c>
      <c r="D66" s="6" t="s">
        <v>148</v>
      </c>
      <c r="E66" s="7">
        <f>データ!E34</f>
        <v>200</v>
      </c>
      <c r="F66" s="7" t="s">
        <v>149</v>
      </c>
    </row>
    <row r="67" ht="13.5">
      <c r="D67" s="6"/>
    </row>
    <row r="68" ht="13.5">
      <c r="D68" s="6"/>
    </row>
    <row r="69" ht="13.5">
      <c r="A69" s="8" t="s">
        <v>277</v>
      </c>
    </row>
    <row r="70" spans="2:7" ht="13.5">
      <c r="B70" s="364"/>
      <c r="C70" s="365"/>
      <c r="D70" s="27" t="s">
        <v>278</v>
      </c>
      <c r="E70" s="27" t="s">
        <v>481</v>
      </c>
      <c r="F70" s="28" t="s">
        <v>61</v>
      </c>
      <c r="G70" s="50" t="s">
        <v>279</v>
      </c>
    </row>
    <row r="71" spans="2:7" ht="13.5">
      <c r="B71" s="366"/>
      <c r="C71" s="367"/>
      <c r="D71" s="29" t="s">
        <v>280</v>
      </c>
      <c r="E71" s="30" t="s">
        <v>281</v>
      </c>
      <c r="F71" s="29" t="s">
        <v>282</v>
      </c>
      <c r="G71" s="29" t="s">
        <v>283</v>
      </c>
    </row>
    <row r="72" spans="2:7" ht="13.5">
      <c r="B72" s="27" t="s">
        <v>284</v>
      </c>
      <c r="C72" s="27" t="s">
        <v>586</v>
      </c>
      <c r="D72" s="76" t="str">
        <f>F587</f>
        <v>D22</v>
      </c>
      <c r="E72" s="76">
        <f>G587</f>
        <v>250</v>
      </c>
      <c r="F72" s="76">
        <f>データ!D19</f>
        <v>100</v>
      </c>
      <c r="G72" s="76">
        <f>$E$6*1000-F72</f>
        <v>250</v>
      </c>
    </row>
    <row r="73" spans="2:7" ht="13.5">
      <c r="B73" s="47"/>
      <c r="C73" s="34" t="s">
        <v>285</v>
      </c>
      <c r="D73" s="43" t="str">
        <f aca="true" t="shared" si="0" ref="D73:D78">F588</f>
        <v>D13</v>
      </c>
      <c r="E73" s="43">
        <f aca="true" t="shared" si="1" ref="E73:E78">G588</f>
        <v>250</v>
      </c>
      <c r="F73" s="43">
        <f>データ!E19</f>
        <v>100</v>
      </c>
      <c r="G73" s="43">
        <f>$E$6*1000-F73</f>
        <v>250</v>
      </c>
    </row>
    <row r="74" spans="2:7" ht="13.5">
      <c r="B74" s="101"/>
      <c r="C74" s="33" t="s">
        <v>589</v>
      </c>
      <c r="D74" s="30" t="str">
        <f t="shared" si="0"/>
        <v>D22</v>
      </c>
      <c r="E74" s="30">
        <f t="shared" si="1"/>
        <v>250</v>
      </c>
      <c r="F74" s="30">
        <f>データ!F19</f>
        <v>100</v>
      </c>
      <c r="G74" s="43">
        <f>$E$6*1000-F74</f>
        <v>250</v>
      </c>
    </row>
    <row r="75" spans="2:7" ht="13.5">
      <c r="B75" s="27" t="s">
        <v>468</v>
      </c>
      <c r="C75" s="27" t="s">
        <v>482</v>
      </c>
      <c r="D75" s="76" t="str">
        <f t="shared" si="0"/>
        <v>D22</v>
      </c>
      <c r="E75" s="76">
        <f t="shared" si="1"/>
        <v>250</v>
      </c>
      <c r="F75" s="76">
        <f>データ!G19</f>
        <v>100</v>
      </c>
      <c r="G75" s="76">
        <f>$E$7*1000-F75</f>
        <v>300</v>
      </c>
    </row>
    <row r="76" spans="2:7" ht="13.5">
      <c r="B76" s="38"/>
      <c r="C76" s="33" t="s">
        <v>286</v>
      </c>
      <c r="D76" s="30" t="str">
        <f t="shared" si="0"/>
        <v>D16</v>
      </c>
      <c r="E76" s="30">
        <f t="shared" si="1"/>
        <v>250</v>
      </c>
      <c r="F76" s="30">
        <f>データ!H19</f>
        <v>100</v>
      </c>
      <c r="G76" s="30">
        <f>$E$7*1000-F76</f>
        <v>300</v>
      </c>
    </row>
    <row r="77" spans="2:7" ht="13.5">
      <c r="B77" s="27" t="s">
        <v>10</v>
      </c>
      <c r="C77" s="27" t="s">
        <v>287</v>
      </c>
      <c r="D77" s="76" t="str">
        <f t="shared" si="0"/>
        <v>D22</v>
      </c>
      <c r="E77" s="76">
        <f t="shared" si="1"/>
        <v>250</v>
      </c>
      <c r="F77" s="76">
        <f>データ!I19</f>
        <v>100</v>
      </c>
      <c r="G77" s="76">
        <f>$E$8*1000-F77</f>
        <v>350</v>
      </c>
    </row>
    <row r="78" spans="2:7" ht="13.5">
      <c r="B78" s="38"/>
      <c r="C78" s="33" t="s">
        <v>286</v>
      </c>
      <c r="D78" s="30" t="str">
        <f t="shared" si="0"/>
        <v>D22</v>
      </c>
      <c r="E78" s="30">
        <f t="shared" si="1"/>
        <v>250</v>
      </c>
      <c r="F78" s="30">
        <f>データ!J19</f>
        <v>110</v>
      </c>
      <c r="G78" s="30">
        <f>$E$8*1000-F78</f>
        <v>340</v>
      </c>
    </row>
    <row r="80" spans="1:3" ht="13.5">
      <c r="A80" s="114" t="s">
        <v>618</v>
      </c>
      <c r="C80" s="9" t="s">
        <v>619</v>
      </c>
    </row>
    <row r="83" ht="13.5">
      <c r="A83" s="9" t="s">
        <v>288</v>
      </c>
    </row>
    <row r="85" ht="13.5">
      <c r="A85" s="9" t="s">
        <v>191</v>
      </c>
    </row>
    <row r="86" ht="13.5">
      <c r="B86" s="9" t="s">
        <v>192</v>
      </c>
    </row>
    <row r="87" ht="13.5">
      <c r="B87" s="9" t="s">
        <v>193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9" ht="13.5">
      <c r="B109" s="51" t="s">
        <v>152</v>
      </c>
    </row>
    <row r="110" spans="3:8" ht="16.5">
      <c r="C110" s="10" t="s">
        <v>194</v>
      </c>
      <c r="D110" s="7">
        <f>'入力'!E27</f>
        <v>24.5</v>
      </c>
      <c r="E110" s="7" t="s">
        <v>195</v>
      </c>
      <c r="F110" s="6" t="s">
        <v>196</v>
      </c>
      <c r="G110" s="52">
        <f>E4+E6</f>
        <v>3.35</v>
      </c>
      <c r="H110" s="7" t="s">
        <v>132</v>
      </c>
    </row>
    <row r="111" spans="3:8" ht="15.75">
      <c r="C111" s="6" t="s">
        <v>197</v>
      </c>
      <c r="D111" s="49">
        <f>'入力'!E5</f>
        <v>0.35</v>
      </c>
      <c r="E111" s="7" t="s">
        <v>132</v>
      </c>
      <c r="F111" s="6" t="s">
        <v>198</v>
      </c>
      <c r="G111" s="49">
        <f>'入力'!E6</f>
        <v>0.4</v>
      </c>
      <c r="H111" s="7" t="s">
        <v>132</v>
      </c>
    </row>
    <row r="112" spans="3:8" ht="15.75">
      <c r="C112" s="6" t="s">
        <v>199</v>
      </c>
      <c r="D112" s="49">
        <f>'入力'!E8</f>
        <v>0.2</v>
      </c>
      <c r="E112" s="7" t="s">
        <v>132</v>
      </c>
      <c r="F112" s="6" t="s">
        <v>200</v>
      </c>
      <c r="G112" s="49">
        <f>'入力'!E9</f>
        <v>0.2</v>
      </c>
      <c r="H112" s="7" t="s">
        <v>132</v>
      </c>
    </row>
    <row r="113" ht="15"/>
    <row r="114" spans="5:7" ht="18">
      <c r="E114" s="53" t="s">
        <v>201</v>
      </c>
      <c r="F114" s="11">
        <f>D110/G110*((G110+D111)*G111+D112*G112)</f>
        <v>11.116417910447764</v>
      </c>
      <c r="G114" s="7" t="s">
        <v>202</v>
      </c>
    </row>
    <row r="115" ht="15"/>
    <row r="116" ht="13.5">
      <c r="B116" s="51" t="s">
        <v>153</v>
      </c>
    </row>
    <row r="117" spans="3:5" ht="13.5">
      <c r="C117" s="6" t="s">
        <v>203</v>
      </c>
      <c r="D117" s="11">
        <f>'入力'!E4</f>
        <v>3</v>
      </c>
      <c r="E117" s="7" t="s">
        <v>132</v>
      </c>
    </row>
    <row r="118" ht="15"/>
    <row r="119" spans="4:6" ht="15">
      <c r="D119" s="53" t="s">
        <v>201</v>
      </c>
      <c r="E119" s="11">
        <f>D117*D111*D110</f>
        <v>25.724999999999994</v>
      </c>
      <c r="F119" s="7" t="s">
        <v>204</v>
      </c>
    </row>
    <row r="120" ht="15"/>
    <row r="121" ht="15">
      <c r="B121" s="7" t="s">
        <v>154</v>
      </c>
    </row>
    <row r="122" spans="4:6" ht="18">
      <c r="D122" s="53" t="s">
        <v>201</v>
      </c>
      <c r="E122" s="11">
        <f>F114+2*E119/G110</f>
        <v>26.474626865671638</v>
      </c>
      <c r="F122" s="7" t="s">
        <v>202</v>
      </c>
    </row>
    <row r="123" ht="15"/>
    <row r="125" ht="13.5">
      <c r="A125" s="9" t="s">
        <v>205</v>
      </c>
    </row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spans="2:6" ht="16.5">
      <c r="B143" s="9" t="s">
        <v>206</v>
      </c>
      <c r="D143" s="51" t="s">
        <v>207</v>
      </c>
      <c r="E143" s="7">
        <f>'入力'!E28</f>
        <v>18</v>
      </c>
      <c r="F143" s="7" t="s">
        <v>208</v>
      </c>
    </row>
    <row r="144" spans="2:6" ht="16.5">
      <c r="B144" s="9" t="s">
        <v>209</v>
      </c>
      <c r="D144" s="51" t="s">
        <v>210</v>
      </c>
      <c r="E144" s="7">
        <f>'入力'!E29</f>
        <v>22.5</v>
      </c>
      <c r="F144" s="7" t="s">
        <v>146</v>
      </c>
    </row>
    <row r="145" spans="2:6" ht="13.5">
      <c r="B145" s="9" t="s">
        <v>211</v>
      </c>
      <c r="D145" s="6" t="s">
        <v>125</v>
      </c>
      <c r="E145" s="11">
        <f>'入力'!E12</f>
        <v>4</v>
      </c>
      <c r="F145" s="7" t="s">
        <v>126</v>
      </c>
    </row>
    <row r="146" spans="2:6" ht="15.75">
      <c r="B146" s="9" t="s">
        <v>212</v>
      </c>
      <c r="D146" s="6" t="s">
        <v>127</v>
      </c>
      <c r="E146" s="11">
        <f>'入力'!E13</f>
        <v>0.2</v>
      </c>
      <c r="F146" s="7" t="s">
        <v>128</v>
      </c>
    </row>
    <row r="148" ht="13.5">
      <c r="A148" s="9" t="s">
        <v>483</v>
      </c>
    </row>
    <row r="149" ht="13.5">
      <c r="B149" s="9" t="s">
        <v>213</v>
      </c>
    </row>
    <row r="150" spans="2:9" ht="13.5">
      <c r="B150" s="338" t="s">
        <v>621</v>
      </c>
      <c r="C150" s="370"/>
      <c r="D150" s="370"/>
      <c r="E150" s="370"/>
      <c r="F150" s="370"/>
      <c r="G150" s="370"/>
      <c r="H150" s="338" t="s">
        <v>623</v>
      </c>
      <c r="I150" s="370"/>
    </row>
    <row r="151" spans="2:9" ht="13.5">
      <c r="B151" s="371" t="s">
        <v>622</v>
      </c>
      <c r="C151" s="372"/>
      <c r="D151" s="372"/>
      <c r="E151" s="372"/>
      <c r="F151" s="372"/>
      <c r="G151" s="373"/>
      <c r="H151" s="169" t="s">
        <v>990</v>
      </c>
      <c r="I151" s="66">
        <v>1</v>
      </c>
    </row>
    <row r="152" spans="2:9" ht="13.5">
      <c r="B152" s="374" t="s">
        <v>624</v>
      </c>
      <c r="C152" s="375"/>
      <c r="D152" s="375"/>
      <c r="E152" s="375"/>
      <c r="F152" s="375"/>
      <c r="G152" s="375"/>
      <c r="H152" s="169" t="s">
        <v>991</v>
      </c>
      <c r="I152" s="66">
        <v>1.2</v>
      </c>
    </row>
    <row r="153" spans="2:9" ht="19.5" customHeight="1">
      <c r="B153" s="375"/>
      <c r="C153" s="375"/>
      <c r="D153" s="375"/>
      <c r="E153" s="375"/>
      <c r="F153" s="375"/>
      <c r="G153" s="375"/>
      <c r="H153" s="169" t="s">
        <v>992</v>
      </c>
      <c r="I153" s="66">
        <v>1.35</v>
      </c>
    </row>
    <row r="154" spans="2:9" ht="13.5">
      <c r="B154" s="346" t="s">
        <v>625</v>
      </c>
      <c r="C154" s="346"/>
      <c r="D154" s="346"/>
      <c r="E154" s="346"/>
      <c r="F154" s="346"/>
      <c r="G154" s="346"/>
      <c r="H154" s="169" t="s">
        <v>993</v>
      </c>
      <c r="I154" s="66">
        <v>1.5</v>
      </c>
    </row>
    <row r="155" spans="2:9" ht="34.5" customHeight="1">
      <c r="B155" s="347"/>
      <c r="C155" s="347"/>
      <c r="D155" s="347"/>
      <c r="E155" s="347"/>
      <c r="F155" s="347"/>
      <c r="G155" s="347"/>
      <c r="H155" s="169" t="s">
        <v>994</v>
      </c>
      <c r="I155" s="66">
        <v>1.6</v>
      </c>
    </row>
    <row r="156" spans="2:9" ht="33.75" customHeight="1">
      <c r="B156" s="348" t="s">
        <v>626</v>
      </c>
      <c r="C156" s="349"/>
      <c r="D156" s="349"/>
      <c r="E156" s="349"/>
      <c r="F156" s="349"/>
      <c r="G156" s="349"/>
      <c r="H156" s="350">
        <v>1</v>
      </c>
      <c r="I156" s="350"/>
    </row>
    <row r="158" spans="3:6" ht="13.5">
      <c r="C158" s="51" t="s">
        <v>996</v>
      </c>
      <c r="D158" s="51" t="s">
        <v>997</v>
      </c>
      <c r="E158" s="7">
        <f>E4+2*E6</f>
        <v>3.7</v>
      </c>
      <c r="F158" s="7" t="s">
        <v>54</v>
      </c>
    </row>
    <row r="159" spans="3:5" ht="13.5">
      <c r="C159" s="51" t="s">
        <v>214</v>
      </c>
      <c r="D159" s="53" t="s">
        <v>995</v>
      </c>
      <c r="E159" s="11">
        <f>ROUND(E13/E158,2)</f>
        <v>1.08</v>
      </c>
    </row>
    <row r="160" spans="3:5" ht="13.5">
      <c r="C160" s="51" t="s">
        <v>215</v>
      </c>
      <c r="D160" s="51" t="s">
        <v>216</v>
      </c>
      <c r="E160" s="55">
        <f>IF('入力'!C47=2,1,IF(E159&lt;1,1,IF(E159&lt;2,1.2,IF(E159,1.35,IF(E159&lt;4,1.5,1.6)))))</f>
        <v>1.2</v>
      </c>
    </row>
    <row r="162" spans="2:13" ht="13.5">
      <c r="B162" s="9" t="s">
        <v>217</v>
      </c>
      <c r="D162" s="7" t="str">
        <f>"pvd=α{γh-(γ-γp)tp}="&amp;L162&amp;M162</f>
        <v>pvd=α{γh-(γ-γp)tp}=87.48(kN/m2)</v>
      </c>
      <c r="F162" s="53"/>
      <c r="K162" s="7" t="s">
        <v>899</v>
      </c>
      <c r="L162" s="11">
        <f>E160*(E143*E145-(E143-E144)*E146)</f>
        <v>87.48</v>
      </c>
      <c r="M162" s="7" t="s">
        <v>901</v>
      </c>
    </row>
    <row r="164" ht="13.5">
      <c r="A164" s="9" t="s">
        <v>167</v>
      </c>
    </row>
    <row r="165" spans="2:5" ht="15.75">
      <c r="B165" s="9" t="s">
        <v>219</v>
      </c>
      <c r="D165" s="6" t="s">
        <v>220</v>
      </c>
      <c r="E165" s="7">
        <f>'入力'!E23</f>
        <v>0.5</v>
      </c>
    </row>
    <row r="166" ht="13.5">
      <c r="B166" s="9" t="s">
        <v>221</v>
      </c>
    </row>
    <row r="167" spans="3:16" ht="16.5">
      <c r="C167" s="7" t="str">
        <f>K167&amp;L167&amp;M167</f>
        <v>z=4.2(m)</v>
      </c>
      <c r="E167" s="7" t="str">
        <f>"phd=ko{γz-(γ-γp)tp}="&amp;O167&amp;P167</f>
        <v>phd=ko{γz-(γ-γp)tp}=38.25(kN/m2)</v>
      </c>
      <c r="G167" s="53"/>
      <c r="K167" s="6" t="s">
        <v>222</v>
      </c>
      <c r="L167" s="7">
        <f>E145+E7/2</f>
        <v>4.2</v>
      </c>
      <c r="M167" s="7" t="s">
        <v>889</v>
      </c>
      <c r="N167" s="7" t="s">
        <v>902</v>
      </c>
      <c r="O167" s="11">
        <f>$E$165*($E$143*L167-($E$143-$E$144)*$E$146)</f>
        <v>38.25000000000001</v>
      </c>
      <c r="P167" s="7" t="s">
        <v>900</v>
      </c>
    </row>
    <row r="168" ht="13.5">
      <c r="H168" s="11"/>
    </row>
    <row r="169" spans="3:16" ht="16.5">
      <c r="C169" s="7" t="str">
        <f>K169&amp;L169&amp;M169</f>
        <v>z=7.625(m)</v>
      </c>
      <c r="E169" s="7" t="str">
        <f>"phd=ko{γz-(γ-γp)tp}="&amp;O169&amp;P169</f>
        <v>phd=ko{γz-(γ-γp)tp}=69.075(kN/m2)</v>
      </c>
      <c r="G169" s="53"/>
      <c r="K169" s="6" t="s">
        <v>222</v>
      </c>
      <c r="L169" s="7">
        <f>E145+E7+E5+E8/2</f>
        <v>7.625</v>
      </c>
      <c r="M169" s="7" t="s">
        <v>889</v>
      </c>
      <c r="N169" s="7" t="s">
        <v>902</v>
      </c>
      <c r="O169" s="11">
        <f>$E$165*($E$143*L169-($E$143-$E$144)*$E$146)</f>
        <v>69.075</v>
      </c>
      <c r="P169" s="7" t="s">
        <v>900</v>
      </c>
    </row>
    <row r="172" spans="1:3" ht="13.5">
      <c r="A172" s="9" t="s">
        <v>225</v>
      </c>
      <c r="C172" s="7" t="str">
        <f>K173&amp;L173&amp;M173</f>
        <v>qd=pvd=87.48(kN/m2)</v>
      </c>
    </row>
    <row r="173" spans="11:13" ht="16.5">
      <c r="K173" s="56" t="s">
        <v>226</v>
      </c>
      <c r="L173" s="11">
        <f>L162</f>
        <v>87.48</v>
      </c>
      <c r="M173" s="7" t="s">
        <v>900</v>
      </c>
    </row>
    <row r="176" ht="13.5">
      <c r="A176" s="9" t="s">
        <v>227</v>
      </c>
    </row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spans="29:69" ht="15"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</row>
    <row r="190" spans="29:69" ht="15"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68"/>
      <c r="BN190" s="369"/>
      <c r="BO190" s="369"/>
      <c r="BP190" s="41"/>
      <c r="BQ190" s="18"/>
    </row>
    <row r="191" spans="29:69" ht="15"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4"/>
      <c r="BN191" s="24"/>
      <c r="BO191" s="24"/>
      <c r="BP191" s="25"/>
      <c r="BQ191" s="18"/>
    </row>
    <row r="192" spans="29:69" ht="15"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4"/>
      <c r="BN192" s="24"/>
      <c r="BO192" s="24"/>
      <c r="BP192" s="25"/>
      <c r="BQ192" s="18"/>
    </row>
    <row r="193" spans="29:69" ht="15"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4"/>
      <c r="BN193" s="24"/>
      <c r="BO193" s="24"/>
      <c r="BP193" s="40"/>
      <c r="BQ193" s="18"/>
    </row>
    <row r="194" spans="29:69" ht="13.5"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</row>
    <row r="195" spans="4:69" ht="13.5">
      <c r="D195" s="9" t="s">
        <v>572</v>
      </c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</row>
    <row r="196" spans="29:69" ht="13.5"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</row>
    <row r="197" spans="1:69" ht="13.5">
      <c r="A197" s="9" t="s">
        <v>573</v>
      </c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</row>
    <row r="198" spans="2:69" ht="16.5">
      <c r="B198" s="51" t="s">
        <v>574</v>
      </c>
      <c r="C198" s="6" t="s">
        <v>575</v>
      </c>
      <c r="D198" s="7">
        <f>データ!J6</f>
        <v>10</v>
      </c>
      <c r="E198" s="7" t="s">
        <v>202</v>
      </c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42"/>
      <c r="BN198" s="19"/>
      <c r="BO198" s="20"/>
      <c r="BP198" s="18"/>
      <c r="BQ198" s="18"/>
    </row>
    <row r="199" spans="29:69" ht="13.5"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42"/>
      <c r="BN199" s="19"/>
      <c r="BO199" s="20"/>
      <c r="BP199" s="18"/>
      <c r="BQ199" s="18"/>
    </row>
    <row r="200" spans="2:69" ht="16.5">
      <c r="B200" s="9" t="s">
        <v>234</v>
      </c>
      <c r="C200" s="6" t="s">
        <v>576</v>
      </c>
      <c r="D200" s="7">
        <f>D198</f>
        <v>10</v>
      </c>
      <c r="E200" s="7" t="s">
        <v>202</v>
      </c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42"/>
      <c r="BN200" s="42"/>
      <c r="BO200" s="20"/>
      <c r="BP200" s="18"/>
      <c r="BQ200" s="18"/>
    </row>
    <row r="201" spans="3:6" ht="13.5">
      <c r="C201" s="9"/>
      <c r="E201" s="53"/>
      <c r="F201" s="11"/>
    </row>
    <row r="202" ht="18" customHeight="1"/>
    <row r="203" ht="13.5">
      <c r="A203" s="9" t="s">
        <v>577</v>
      </c>
    </row>
    <row r="204" spans="3:6" ht="18.75" customHeight="1">
      <c r="C204" s="51" t="s">
        <v>485</v>
      </c>
      <c r="D204" s="6" t="s">
        <v>242</v>
      </c>
      <c r="E204" s="7">
        <f>E20</f>
        <v>10</v>
      </c>
      <c r="F204" s="7" t="s">
        <v>243</v>
      </c>
    </row>
    <row r="205" spans="3:5" ht="15.75">
      <c r="C205" s="51" t="s">
        <v>486</v>
      </c>
      <c r="D205" s="6" t="s">
        <v>180</v>
      </c>
      <c r="E205" s="7">
        <f>'入力'!E23</f>
        <v>0.5</v>
      </c>
    </row>
    <row r="206" spans="3:7" ht="16.5">
      <c r="C206" s="9" t="s">
        <v>244</v>
      </c>
      <c r="E206" s="6" t="s">
        <v>620</v>
      </c>
      <c r="F206" s="11">
        <f>E204*E205</f>
        <v>5</v>
      </c>
      <c r="G206" s="7" t="s">
        <v>224</v>
      </c>
    </row>
    <row r="208" spans="1:5" ht="16.5">
      <c r="A208" s="9" t="s">
        <v>578</v>
      </c>
      <c r="C208" s="6" t="s">
        <v>579</v>
      </c>
      <c r="D208" s="7">
        <f>D198</f>
        <v>10</v>
      </c>
      <c r="E208" s="7" t="s">
        <v>202</v>
      </c>
    </row>
    <row r="209" ht="20.25" customHeight="1"/>
    <row r="211" ht="13.5">
      <c r="A211" s="9" t="s">
        <v>487</v>
      </c>
    </row>
    <row r="212" ht="15"/>
    <row r="213" ht="15"/>
    <row r="214" ht="15"/>
    <row r="215" ht="15"/>
    <row r="216" ht="16.5" customHeight="1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9" ht="15"/>
    <row r="230" ht="15"/>
    <row r="231" spans="29:67" ht="15"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</row>
    <row r="232" spans="29:67" ht="15"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368"/>
      <c r="BN232" s="369"/>
      <c r="BO232" s="369"/>
    </row>
    <row r="233" spans="29:67" ht="15"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4"/>
      <c r="BN233" s="24"/>
      <c r="BO233" s="24"/>
    </row>
    <row r="234" spans="1:67" ht="13.5">
      <c r="A234" s="9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4"/>
      <c r="BN234" s="24"/>
      <c r="BO234" s="24"/>
    </row>
    <row r="235" spans="1:67" ht="16.5">
      <c r="A235" s="31" t="s">
        <v>245</v>
      </c>
      <c r="B235" s="31" t="s">
        <v>246</v>
      </c>
      <c r="C235" s="57" t="s">
        <v>247</v>
      </c>
      <c r="D235" s="57" t="s">
        <v>248</v>
      </c>
      <c r="E235" s="57" t="s">
        <v>249</v>
      </c>
      <c r="F235" s="57" t="s">
        <v>250</v>
      </c>
      <c r="G235" s="57" t="s">
        <v>251</v>
      </c>
      <c r="H235" s="57" t="s">
        <v>252</v>
      </c>
      <c r="I235" s="57" t="s">
        <v>253</v>
      </c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4"/>
      <c r="BN235" s="24"/>
      <c r="BO235" s="24"/>
    </row>
    <row r="236" spans="1:67" ht="13.5">
      <c r="A236" s="361" t="s">
        <v>489</v>
      </c>
      <c r="B236" s="58" t="s">
        <v>254</v>
      </c>
      <c r="C236" s="59">
        <f>E5+E7/2+E8/2</f>
        <v>3.4250000000000003</v>
      </c>
      <c r="D236" s="59">
        <v>0</v>
      </c>
      <c r="E236" s="59">
        <f>C236</f>
        <v>3.4250000000000003</v>
      </c>
      <c r="F236" s="59">
        <f>O169</f>
        <v>69.075</v>
      </c>
      <c r="G236" s="59">
        <f>O167</f>
        <v>38.25000000000001</v>
      </c>
      <c r="H236" s="60">
        <f>1/C236^2*(F236*(C236^2/2*(E236^2-D236^2)-2/3*C236*(E236^3-D236^3)+1/4*(E236^4-D236^4))+(F236-G236)/(D236-E236)*(1/5*(E236^5-D236^5)-1/4*(2*C236+D236)*(E236^4-D236^4)+1/3*(C236^2+2*C236*D236)*(E236^3-D236^3)-0.5*C236^2*D236*(E236^2-D236^2)))</f>
        <v>55.47119296875015</v>
      </c>
      <c r="I236" s="61">
        <f>1/C236^2*(F236*(C236/3*(E236^3-D236^3)-1/4*(E236^4-D236^4))+(F236-G236)/(D236-E236)*(1/4*(C236+D236)*(E236^4-D236^4)-1/5*(E236^5-D236^5)-1/3*C236*D236*(E236^3-D236^3)))</f>
        <v>49.444584375000034</v>
      </c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</row>
    <row r="237" spans="1:67" ht="13.5">
      <c r="A237" s="362"/>
      <c r="B237" s="62" t="s">
        <v>255</v>
      </c>
      <c r="C237" s="63">
        <f>C236</f>
        <v>3.4250000000000003</v>
      </c>
      <c r="D237" s="63">
        <f>D236</f>
        <v>0</v>
      </c>
      <c r="E237" s="63">
        <f>E236</f>
        <v>3.4250000000000003</v>
      </c>
      <c r="F237" s="63">
        <v>0</v>
      </c>
      <c r="G237" s="63">
        <v>0</v>
      </c>
      <c r="H237" s="60">
        <f>1/C237^2*(F237*(C237^2/2*(E237^2-D237^2)-2/3*C237*(E237^3-D237^3)+1/4*(E237^4-D237^4))+(F237-G237)/(D237-E237)*(1/5*(E237^5-D237^5)-1/4*(2*C237+D237)*(E237^4-D237^4)+1/3*(C237^2+2*C237*D237)*(E237^3-D237^3)-0.5*C237^2*D237*(E237^2-D237^2)))</f>
        <v>0</v>
      </c>
      <c r="I237" s="64">
        <f aca="true" t="shared" si="2" ref="I237:I248">1/C237^2*(F237*(C237/3*(E237^3-D237^3)-1/4*(E237^4-D237^4))+(F237-G237)/(D237-E237)*(1/4*(C237+D237)*(E237^4-D237^4)-1/5*(E237^5-D237^5)-1/3*C237*D237*(E237^3-D237^3)))</f>
        <v>0</v>
      </c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</row>
    <row r="238" spans="1:67" ht="13.5">
      <c r="A238" s="363"/>
      <c r="B238" s="31" t="s">
        <v>256</v>
      </c>
      <c r="C238" s="102" t="s">
        <v>428</v>
      </c>
      <c r="D238" s="102" t="s">
        <v>428</v>
      </c>
      <c r="E238" s="102" t="s">
        <v>428</v>
      </c>
      <c r="F238" s="65">
        <f>SUM(F236:F237)</f>
        <v>69.075</v>
      </c>
      <c r="G238" s="65">
        <f>SUM(G236:G237)</f>
        <v>38.25000000000001</v>
      </c>
      <c r="H238" s="66">
        <f>SUM(H236:H237)</f>
        <v>55.47119296875015</v>
      </c>
      <c r="I238" s="66">
        <f>SUM(I236:I237)</f>
        <v>49.444584375000034</v>
      </c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</row>
    <row r="239" spans="1:67" ht="13.5">
      <c r="A239" s="43"/>
      <c r="B239" s="58" t="s">
        <v>490</v>
      </c>
      <c r="C239" s="59">
        <f>E4+E6</f>
        <v>3.35</v>
      </c>
      <c r="D239" s="59">
        <f>0</f>
        <v>0</v>
      </c>
      <c r="E239" s="59">
        <f>C239</f>
        <v>3.35</v>
      </c>
      <c r="F239" s="59">
        <f>F114</f>
        <v>11.116417910447764</v>
      </c>
      <c r="G239" s="59">
        <f>F239</f>
        <v>11.116417910447764</v>
      </c>
      <c r="H239" s="60">
        <f>1/C239^2*(F239*(C239^2/2*(E239^2-D239^2)-2/3*C239*(E239^3-D239^3)+1/4*(E239^4-D239^4))+(F239-G239)/(D239-E239)*(1/5*(E239^5-D239^5)-1/4*(2*C239+D239)*(E239^4-D239^4)+1/3*(C239^2+2*C239*D239)*(E239^3-D239^3)-0.5*C239^2*D239*(E239^2-D239^2)))</f>
        <v>10.39616666666666</v>
      </c>
      <c r="I239" s="61">
        <f t="shared" si="2"/>
        <v>10.396166666666675</v>
      </c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</row>
    <row r="240" spans="1:67" ht="13.5">
      <c r="A240" s="34" t="s">
        <v>468</v>
      </c>
      <c r="B240" s="58" t="s">
        <v>257</v>
      </c>
      <c r="C240" s="59">
        <f>C239</f>
        <v>3.35</v>
      </c>
      <c r="D240" s="59">
        <v>0</v>
      </c>
      <c r="E240" s="59">
        <f>C240</f>
        <v>3.35</v>
      </c>
      <c r="F240" s="59">
        <f>L162</f>
        <v>87.48</v>
      </c>
      <c r="G240" s="59">
        <f>F240</f>
        <v>87.48</v>
      </c>
      <c r="H240" s="60">
        <f>1/C240^2*(F240*(C240^2/2*(E240^2-D240^2)-2/3*C240*(E240^3-D240^3)+1/4*(E240^4-D240^4))+(F240-G240)/(D240-E240)*(1/5*(E240^5-D240^5)-1/4*(2*C240+D240)*(E240^4-D240^4)+1/3*(C240^2+2*C240*D240)*(E240^3-D240^3)-0.5*C240^2*D240*(E240^2-D240^2)))</f>
        <v>81.81202499999993</v>
      </c>
      <c r="I240" s="61">
        <f t="shared" si="2"/>
        <v>81.81202500000005</v>
      </c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42"/>
      <c r="BN240" s="19"/>
      <c r="BO240" s="20"/>
    </row>
    <row r="241" spans="1:67" ht="13.5">
      <c r="A241" s="43" t="s">
        <v>491</v>
      </c>
      <c r="B241" s="62" t="s">
        <v>262</v>
      </c>
      <c r="C241" s="59">
        <f>C240</f>
        <v>3.35</v>
      </c>
      <c r="D241" s="59">
        <v>0</v>
      </c>
      <c r="E241" s="59">
        <f>C241</f>
        <v>3.35</v>
      </c>
      <c r="F241" s="59">
        <f>D200</f>
        <v>10</v>
      </c>
      <c r="G241" s="59">
        <f>F241</f>
        <v>10</v>
      </c>
      <c r="H241" s="60">
        <f>1/C241^2*(F241*(C241^2/2*(E241^2-D241^2)-2/3*C241*(E241^3-D241^3)+1/4*(E241^4-D241^4))+(F241-G241)/(D241-E241)*(1/5*(E241^5-D241^5)-1/4*(2*C241+D241)*(E241^4-D241^4)+1/3*(C241^2+2*C241*D241)*(E241^3-D241^3)-0.5*C241^2*D241*(E241^2-D241^2)))</f>
        <v>9.352083333333324</v>
      </c>
      <c r="I241" s="61">
        <f t="shared" si="2"/>
        <v>9.352083333333338</v>
      </c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42"/>
      <c r="BN241" s="19"/>
      <c r="BO241" s="20"/>
    </row>
    <row r="242" spans="1:67" ht="13.5">
      <c r="A242" s="30"/>
      <c r="B242" s="31" t="s">
        <v>260</v>
      </c>
      <c r="C242" s="102" t="s">
        <v>428</v>
      </c>
      <c r="D242" s="102" t="s">
        <v>428</v>
      </c>
      <c r="E242" s="102" t="s">
        <v>428</v>
      </c>
      <c r="F242" s="65"/>
      <c r="G242" s="65"/>
      <c r="H242" s="66">
        <f>SUM(H239:H241)</f>
        <v>101.56027499999992</v>
      </c>
      <c r="I242" s="66">
        <f>SUM(I239:I241)</f>
        <v>101.56027500000006</v>
      </c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42"/>
      <c r="BN242" s="42"/>
      <c r="BO242" s="20"/>
    </row>
    <row r="243" spans="1:9" ht="13.5">
      <c r="A243" s="361" t="s">
        <v>535</v>
      </c>
      <c r="B243" s="58" t="s">
        <v>492</v>
      </c>
      <c r="C243" s="59">
        <f>C236</f>
        <v>3.4250000000000003</v>
      </c>
      <c r="D243" s="59">
        <v>0</v>
      </c>
      <c r="E243" s="59">
        <f>C243</f>
        <v>3.4250000000000003</v>
      </c>
      <c r="F243" s="59">
        <f>G236</f>
        <v>38.25000000000001</v>
      </c>
      <c r="G243" s="59">
        <f>F236</f>
        <v>69.075</v>
      </c>
      <c r="H243" s="60">
        <f>IF(F243=0,0,1/C243^2*(F243*(C243^2/2*(E243^2-D243^2)-2/3*C243*(E243^3-D243^3)+1/4*(E243^4-D243^4))+(F243-G243)/(D243-E243)*(1/5*(E243^5-D243^5)-1/4*(2*C243+D243)*(E243^4-D243^4)+1/3*(C243^2+2*C243*D243)*(E243^3-D243^3)-0.5*C243^2*D243*(E243^2-D243^2))))</f>
        <v>49.444584375000105</v>
      </c>
      <c r="I243" s="61">
        <f t="shared" si="2"/>
        <v>55.47119296875002</v>
      </c>
    </row>
    <row r="244" spans="1:9" ht="13.5">
      <c r="A244" s="362"/>
      <c r="B244" s="62" t="s">
        <v>255</v>
      </c>
      <c r="C244" s="63">
        <f>C243</f>
        <v>3.4250000000000003</v>
      </c>
      <c r="D244" s="63">
        <f>D243</f>
        <v>0</v>
      </c>
      <c r="E244" s="63">
        <f>C244</f>
        <v>3.4250000000000003</v>
      </c>
      <c r="F244" s="63">
        <f>F237</f>
        <v>0</v>
      </c>
      <c r="G244" s="63">
        <f>G237</f>
        <v>0</v>
      </c>
      <c r="H244" s="60">
        <f>IF(F244=0,0,1/C244^2*(F244*(C244^2/2*(E244^2-D244^2)-2/3*C244*(E244^3-D244^3)+1/4*(E244^4-D244^4))+(F244-G244)/(D244-E244)*(1/5*(E244^5-D244^5)-1/4*(2*C244+D244)*(E244^4-D244^4)+1/3*(C244^2+2*C244*D244)*(E244^3-D244^3)-0.5*C244^2*D244*(E244^2-D244^2))))</f>
        <v>0</v>
      </c>
      <c r="I244" s="64">
        <f t="shared" si="2"/>
        <v>0</v>
      </c>
    </row>
    <row r="245" spans="1:9" ht="13.5">
      <c r="A245" s="363"/>
      <c r="B245" s="31" t="s">
        <v>256</v>
      </c>
      <c r="C245" s="102" t="s">
        <v>428</v>
      </c>
      <c r="D245" s="102" t="s">
        <v>428</v>
      </c>
      <c r="E245" s="102" t="s">
        <v>428</v>
      </c>
      <c r="F245" s="65">
        <f>SUM(F243:F244)</f>
        <v>38.25000000000001</v>
      </c>
      <c r="G245" s="65">
        <f>SUM(G243:G244)</f>
        <v>69.075</v>
      </c>
      <c r="H245" s="66">
        <f>SUM(H243:H244)</f>
        <v>49.444584375000105</v>
      </c>
      <c r="I245" s="66">
        <f>SUM(I243:I244)</f>
        <v>55.47119296875002</v>
      </c>
    </row>
    <row r="246" spans="1:9" ht="13.5">
      <c r="A246" s="361" t="s">
        <v>536</v>
      </c>
      <c r="B246" s="58" t="s">
        <v>490</v>
      </c>
      <c r="C246" s="59">
        <f>C239</f>
        <v>3.35</v>
      </c>
      <c r="D246" s="59">
        <f>D244</f>
        <v>0</v>
      </c>
      <c r="E246" s="59">
        <f>C246</f>
        <v>3.35</v>
      </c>
      <c r="F246" s="59">
        <f aca="true" t="shared" si="3" ref="F246:G248">F239</f>
        <v>11.116417910447764</v>
      </c>
      <c r="G246" s="59">
        <f t="shared" si="3"/>
        <v>11.116417910447764</v>
      </c>
      <c r="H246" s="60">
        <f>IF(F246=0,0,1/C246^2*(F246*(C246^2/2*(E246^2-D246^2)-2/3*C246*(E246^3-D246^3)+1/4*(E246^4-D246^4))+(F246-G246)/(D246-E246)*(1/5*(E246^5-D246^5)-1/4*(2*C246+D246)*(E246^4-D246^4)+1/3*(C246^2+2*C246*D246)*(E246^3-D246^3)-0.5*C246^2*D246*(E246^2-D246^2))))</f>
        <v>10.39616666666666</v>
      </c>
      <c r="I246" s="61">
        <f>1/C246^2*(F246*(C246/3*(E246^3-D246^3)-1/4*(E246^4-D246^4))+(F246-G246)/(D246-E246)*(1/4*(C246+D246)*(E246^4-D246^4)-1/5*(E246^5-D246^5)-1/3*C246*D246*(E246^3-D246^3)))</f>
        <v>10.396166666666675</v>
      </c>
    </row>
    <row r="247" spans="1:9" ht="13.5">
      <c r="A247" s="362"/>
      <c r="B247" s="58" t="s">
        <v>493</v>
      </c>
      <c r="C247" s="59">
        <f>C241</f>
        <v>3.35</v>
      </c>
      <c r="D247" s="59">
        <v>0</v>
      </c>
      <c r="E247" s="59">
        <f>E246</f>
        <v>3.35</v>
      </c>
      <c r="F247" s="59">
        <f t="shared" si="3"/>
        <v>87.48</v>
      </c>
      <c r="G247" s="59">
        <f t="shared" si="3"/>
        <v>87.48</v>
      </c>
      <c r="H247" s="60">
        <f>IF(F247=0,0,1/C247^2*(F247*(C247^2/2*(E247^2-D247^2)-2/3*C247*(E247^3-D247^3)+1/4*(E247^4-D247^4))+(F247-G247)/(D247-E247)*(1/5*(E247^5-D247^5)-1/4*(2*C247+D247)*(E247^4-D247^4)+1/3*(C247^2+2*C247*D247)*(E247^3-D247^3)-0.5*C247^2*D247*(E247^2-D247^2))))</f>
        <v>81.81202499999993</v>
      </c>
      <c r="I247" s="61">
        <f t="shared" si="2"/>
        <v>81.81202500000005</v>
      </c>
    </row>
    <row r="248" spans="1:9" ht="13.5">
      <c r="A248" s="363"/>
      <c r="B248" s="62" t="s">
        <v>262</v>
      </c>
      <c r="C248" s="63">
        <f>C247</f>
        <v>3.35</v>
      </c>
      <c r="D248" s="63">
        <v>0</v>
      </c>
      <c r="E248" s="63">
        <f>E247</f>
        <v>3.35</v>
      </c>
      <c r="F248" s="63">
        <f t="shared" si="3"/>
        <v>10</v>
      </c>
      <c r="G248" s="63">
        <f t="shared" si="3"/>
        <v>10</v>
      </c>
      <c r="H248" s="60">
        <f>IF(F248=0,0,1/C248^2*(F248*(C248^2/2*(E248^2-D248^2)-2/3*C248*(E248^3-D248^3)+1/4*(E248^4-D248^4))+(F248-G248)/(D248-E248)*(1/5*(E248^5-D248^5)-1/4*(2*C248+D248)*(E248^4-D248^4)+1/3*(C248^2+2*C248*D248)*(E248^3-D248^3)-0.5*C248^2*D248*(E248^2-D248^2))))</f>
        <v>9.352083333333324</v>
      </c>
      <c r="I248" s="64">
        <f t="shared" si="2"/>
        <v>9.352083333333338</v>
      </c>
    </row>
    <row r="249" spans="1:9" ht="13.5">
      <c r="A249" s="30"/>
      <c r="B249" s="31" t="s">
        <v>256</v>
      </c>
      <c r="C249" s="102" t="s">
        <v>428</v>
      </c>
      <c r="D249" s="102" t="s">
        <v>428</v>
      </c>
      <c r="E249" s="102" t="s">
        <v>428</v>
      </c>
      <c r="F249" s="65">
        <f>SUM(F246:F248)</f>
        <v>108.59641791044777</v>
      </c>
      <c r="G249" s="65">
        <f>SUM(G246:G248)</f>
        <v>108.59641791044777</v>
      </c>
      <c r="H249" s="66">
        <f>SUM(H246:H248)</f>
        <v>101.56027499999992</v>
      </c>
      <c r="I249" s="66">
        <f>SUM(I246:I248)</f>
        <v>101.56027500000006</v>
      </c>
    </row>
    <row r="250" ht="13.5">
      <c r="D250" s="68"/>
    </row>
    <row r="251" ht="13.5">
      <c r="D251" s="68"/>
    </row>
    <row r="252" ht="13.5">
      <c r="D252" s="68"/>
    </row>
    <row r="253" ht="13.5">
      <c r="A253" s="9" t="s">
        <v>537</v>
      </c>
    </row>
    <row r="255" ht="13.5">
      <c r="A255" s="9" t="s">
        <v>539</v>
      </c>
    </row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71" spans="2:8" ht="15.75">
      <c r="B271" s="6" t="s">
        <v>263</v>
      </c>
      <c r="C271" s="69">
        <f>E5+E7/2+E8/2</f>
        <v>3.4250000000000003</v>
      </c>
      <c r="D271" s="7" t="s">
        <v>264</v>
      </c>
      <c r="F271" s="6" t="s">
        <v>265</v>
      </c>
      <c r="G271" s="69">
        <f>G110</f>
        <v>3.35</v>
      </c>
      <c r="H271" s="7" t="s">
        <v>264</v>
      </c>
    </row>
    <row r="272" spans="2:7" ht="13.5">
      <c r="B272" s="6"/>
      <c r="C272" s="69"/>
      <c r="F272" s="6"/>
      <c r="G272" s="69"/>
    </row>
    <row r="273" ht="13.5">
      <c r="B273" s="9" t="s">
        <v>495</v>
      </c>
    </row>
    <row r="274" spans="2:4" ht="15.75">
      <c r="B274" s="9" t="s">
        <v>496</v>
      </c>
      <c r="C274" s="6" t="s">
        <v>266</v>
      </c>
      <c r="D274" s="11">
        <v>1</v>
      </c>
    </row>
    <row r="275" ht="15"/>
    <row r="276" spans="2:4" ht="15">
      <c r="B276" s="9" t="s">
        <v>468</v>
      </c>
      <c r="D276" s="49">
        <f>C271/G271*E7^3/E6^3</f>
        <v>1.5261302815369227</v>
      </c>
    </row>
    <row r="277" ht="15">
      <c r="D277" s="49"/>
    </row>
    <row r="278" ht="15">
      <c r="D278" s="49"/>
    </row>
    <row r="279" spans="2:4" ht="15">
      <c r="B279" s="9" t="s">
        <v>23</v>
      </c>
      <c r="D279" s="49">
        <f>C271/G271*E8^3/E6^3</f>
        <v>2.1729472172664384</v>
      </c>
    </row>
    <row r="280" spans="2:4" ht="15">
      <c r="B280" s="9"/>
      <c r="D280" s="49"/>
    </row>
    <row r="281" spans="2:4" ht="13.5">
      <c r="B281" s="9"/>
      <c r="D281" s="49"/>
    </row>
    <row r="283" ht="13.5">
      <c r="A283" s="9" t="s">
        <v>538</v>
      </c>
    </row>
    <row r="284" ht="18" customHeight="1">
      <c r="A284" s="9"/>
    </row>
    <row r="285" ht="13.5">
      <c r="A285" s="9" t="s">
        <v>540</v>
      </c>
    </row>
    <row r="286" ht="15"/>
    <row r="287" ht="15"/>
    <row r="288" ht="15"/>
    <row r="289" ht="15"/>
    <row r="290" ht="15"/>
    <row r="291" ht="15"/>
    <row r="292" ht="13.5" customHeight="1"/>
    <row r="293" ht="15"/>
    <row r="295" ht="13.5">
      <c r="A295" s="9"/>
    </row>
    <row r="296" ht="13.5">
      <c r="B296" s="9" t="s">
        <v>289</v>
      </c>
    </row>
    <row r="297" spans="3:7" ht="15.75">
      <c r="C297" s="9" t="s">
        <v>497</v>
      </c>
      <c r="D297" s="6" t="s">
        <v>291</v>
      </c>
      <c r="E297" s="11">
        <f>H238</f>
        <v>55.47119296875015</v>
      </c>
      <c r="F297" s="6" t="s">
        <v>292</v>
      </c>
      <c r="G297" s="11">
        <f>I238</f>
        <v>49.444584375000034</v>
      </c>
    </row>
    <row r="298" spans="3:7" ht="15.75">
      <c r="C298" s="9" t="s">
        <v>293</v>
      </c>
      <c r="D298" s="6" t="s">
        <v>294</v>
      </c>
      <c r="E298" s="11">
        <f>H242</f>
        <v>101.56027499999992</v>
      </c>
      <c r="F298" s="6" t="s">
        <v>295</v>
      </c>
      <c r="G298" s="11">
        <f>I242</f>
        <v>101.56027500000006</v>
      </c>
    </row>
    <row r="299" spans="3:7" ht="15.75">
      <c r="C299" s="9" t="s">
        <v>261</v>
      </c>
      <c r="D299" s="6" t="s">
        <v>296</v>
      </c>
      <c r="E299" s="11">
        <f>H245</f>
        <v>49.444584375000105</v>
      </c>
      <c r="F299" s="6" t="s">
        <v>297</v>
      </c>
      <c r="G299" s="11">
        <f>I245</f>
        <v>55.47119296875002</v>
      </c>
    </row>
    <row r="300" spans="3:7" ht="13.5" customHeight="1">
      <c r="C300" s="9" t="s">
        <v>298</v>
      </c>
      <c r="D300" s="6" t="s">
        <v>299</v>
      </c>
      <c r="E300" s="11">
        <f>H249</f>
        <v>101.56027499999992</v>
      </c>
      <c r="F300" s="6" t="s">
        <v>300</v>
      </c>
      <c r="G300" s="11">
        <f>I249</f>
        <v>101.56027500000006</v>
      </c>
    </row>
    <row r="301" spans="3:7" ht="13.5">
      <c r="C301" s="9"/>
      <c r="D301" s="6"/>
      <c r="E301" s="11"/>
      <c r="F301" s="6"/>
      <c r="G301" s="11"/>
    </row>
    <row r="303" spans="2:9" ht="13.5" customHeight="1">
      <c r="B303" s="49">
        <f>2*($D$274+$D$279)</f>
        <v>6.345894434532877</v>
      </c>
      <c r="C303" s="49">
        <f>$D$274</f>
        <v>1</v>
      </c>
      <c r="D303" s="49">
        <v>0</v>
      </c>
      <c r="E303" s="49">
        <f>D279</f>
        <v>2.1729472172664384</v>
      </c>
      <c r="F303" s="11">
        <f>-3*D274</f>
        <v>-3</v>
      </c>
      <c r="G303" s="51" t="s">
        <v>301</v>
      </c>
      <c r="I303" s="70">
        <f>E297-G300</f>
        <v>-46.08908203124991</v>
      </c>
    </row>
    <row r="304" spans="2:9" ht="15.75">
      <c r="B304" s="49">
        <f>D274</f>
        <v>1</v>
      </c>
      <c r="C304" s="49">
        <f>2*(D274+D276)</f>
        <v>5.052260563073846</v>
      </c>
      <c r="D304" s="49">
        <f>D276</f>
        <v>1.5261302815369227</v>
      </c>
      <c r="E304" s="49">
        <v>0</v>
      </c>
      <c r="F304" s="11">
        <f>F303</f>
        <v>-3</v>
      </c>
      <c r="G304" s="51" t="s">
        <v>302</v>
      </c>
      <c r="I304" s="70">
        <f>E298-G297</f>
        <v>52.115690624999885</v>
      </c>
    </row>
    <row r="305" spans="2:9" ht="15.75">
      <c r="B305" s="49">
        <v>0</v>
      </c>
      <c r="C305" s="49">
        <f>D304</f>
        <v>1.5261302815369227</v>
      </c>
      <c r="D305" s="49">
        <f>C304</f>
        <v>5.052260563073846</v>
      </c>
      <c r="E305" s="49">
        <f>1</f>
        <v>1</v>
      </c>
      <c r="F305" s="11">
        <f>F304</f>
        <v>-3</v>
      </c>
      <c r="G305" s="51" t="s">
        <v>303</v>
      </c>
      <c r="H305" s="48" t="s">
        <v>304</v>
      </c>
      <c r="I305" s="70">
        <f>E299-G298</f>
        <v>-52.11569062499996</v>
      </c>
    </row>
    <row r="306" spans="2:9" ht="15.75">
      <c r="B306" s="49">
        <f>D279</f>
        <v>2.1729472172664384</v>
      </c>
      <c r="C306" s="49">
        <v>0</v>
      </c>
      <c r="D306" s="49">
        <f>D274</f>
        <v>1</v>
      </c>
      <c r="E306" s="49">
        <f>B303</f>
        <v>6.345894434532877</v>
      </c>
      <c r="F306" s="11">
        <f>F305</f>
        <v>-3</v>
      </c>
      <c r="G306" s="51" t="s">
        <v>305</v>
      </c>
      <c r="I306" s="70">
        <f>E300-G299</f>
        <v>46.0890820312499</v>
      </c>
    </row>
    <row r="307" spans="2:9" ht="13.5">
      <c r="B307" s="49">
        <f>C303</f>
        <v>1</v>
      </c>
      <c r="C307" s="49">
        <f>B307</f>
        <v>1</v>
      </c>
      <c r="D307" s="49">
        <f>C307</f>
        <v>1</v>
      </c>
      <c r="E307" s="49">
        <f>D307</f>
        <v>1</v>
      </c>
      <c r="F307" s="11">
        <f>-4*D274</f>
        <v>-4</v>
      </c>
      <c r="G307" s="6" t="s">
        <v>306</v>
      </c>
      <c r="I307" s="70">
        <f>E310</f>
        <v>6.631732200427601E-14</v>
      </c>
    </row>
    <row r="309" ht="15"/>
    <row r="310" spans="5:6" ht="15">
      <c r="E310" s="52">
        <f>1/3*(E297+E299-G297-G299)</f>
        <v>6.631732200427601E-14</v>
      </c>
      <c r="F310" s="7" t="s">
        <v>307</v>
      </c>
    </row>
    <row r="311" ht="15"/>
    <row r="313" spans="2:5" ht="15.75">
      <c r="B313" s="9" t="s">
        <v>308</v>
      </c>
      <c r="C313" s="51" t="s">
        <v>309</v>
      </c>
      <c r="D313" s="20">
        <f>INDEX(MMULT(MINVERSE($B$303:$F$307),$I$303:$I$307),1)</f>
        <v>-15.650155612694164</v>
      </c>
      <c r="E313" s="7" t="s">
        <v>310</v>
      </c>
    </row>
    <row r="314" spans="3:5" ht="18" customHeight="1">
      <c r="C314" s="51" t="s">
        <v>311</v>
      </c>
      <c r="D314" s="20">
        <f>INDEX(MMULT(MINVERSE($B$303:$F$307),$I$303:$I$307),2)</f>
        <v>19.21819128252888</v>
      </c>
      <c r="E314" s="7" t="s">
        <v>310</v>
      </c>
    </row>
    <row r="315" spans="3:5" ht="15.75">
      <c r="C315" s="51" t="s">
        <v>312</v>
      </c>
      <c r="D315" s="20">
        <f>INDEX(MMULT(MINVERSE($B$303:$F$307),$I$303:$I$307),3)</f>
        <v>-19.21819128252892</v>
      </c>
      <c r="E315" s="7" t="s">
        <v>310</v>
      </c>
    </row>
    <row r="316" spans="3:5" ht="15.75">
      <c r="C316" s="51" t="s">
        <v>313</v>
      </c>
      <c r="D316" s="20">
        <f>INDEX(MMULT(MINVERSE($B$303:$F$307),$I$303:$I$307),4)</f>
        <v>15.650155612694148</v>
      </c>
      <c r="E316" s="7" t="s">
        <v>310</v>
      </c>
    </row>
    <row r="317" spans="2:5" ht="13.5">
      <c r="B317" s="9" t="s">
        <v>314</v>
      </c>
      <c r="C317" s="6" t="s">
        <v>315</v>
      </c>
      <c r="D317" s="20">
        <f>INDEX(MMULT(MINVERSE($B$303:$F$307),$I$303:$I$307),5)</f>
        <v>-3.0666751301656303E-14</v>
      </c>
      <c r="E317" s="7" t="s">
        <v>316</v>
      </c>
    </row>
    <row r="319" ht="13.5">
      <c r="B319" s="9" t="s">
        <v>317</v>
      </c>
    </row>
    <row r="321" spans="4:6" ht="15.75">
      <c r="D321" s="53" t="s">
        <v>983</v>
      </c>
      <c r="E321" s="11">
        <f>1*(2*D313+D314-3*D317)-E297</f>
        <v>-67.55331291160951</v>
      </c>
      <c r="F321" s="7" t="s">
        <v>318</v>
      </c>
    </row>
    <row r="322" ht="13.5">
      <c r="E322" s="11"/>
    </row>
    <row r="323" spans="4:6" ht="15.75">
      <c r="D323" s="53" t="s">
        <v>984</v>
      </c>
      <c r="E323" s="11">
        <f>1*(D313+2*D314-3*D317)+G297</f>
        <v>72.23081132736372</v>
      </c>
      <c r="F323" s="7" t="s">
        <v>318</v>
      </c>
    </row>
    <row r="324" ht="13.5">
      <c r="E324" s="11"/>
    </row>
    <row r="325" spans="4:6" ht="15.75">
      <c r="D325" s="53" t="s">
        <v>985</v>
      </c>
      <c r="E325" s="11">
        <f>$D$276*(2*D314+D315)-E298</f>
        <v>-72.23081132736374</v>
      </c>
      <c r="F325" s="7" t="s">
        <v>318</v>
      </c>
    </row>
    <row r="326" ht="13.5">
      <c r="E326" s="11"/>
    </row>
    <row r="327" spans="4:6" ht="15.75">
      <c r="D327" s="53" t="s">
        <v>986</v>
      </c>
      <c r="E327" s="11">
        <f>$D$276*(D314+2*D315)+G298</f>
        <v>72.23081132736371</v>
      </c>
      <c r="F327" s="7" t="s">
        <v>318</v>
      </c>
    </row>
    <row r="328" ht="13.5">
      <c r="E328" s="11"/>
    </row>
    <row r="329" spans="4:6" ht="15.75">
      <c r="D329" s="53" t="s">
        <v>987</v>
      </c>
      <c r="E329" s="11">
        <f>1*(2*D315+D316-3*D317)-E299</f>
        <v>-72.23081132736371</v>
      </c>
      <c r="F329" s="7" t="s">
        <v>318</v>
      </c>
    </row>
    <row r="330" ht="13.5">
      <c r="E330" s="11"/>
    </row>
    <row r="331" spans="4:6" ht="15.75">
      <c r="D331" s="53" t="s">
        <v>989</v>
      </c>
      <c r="E331" s="11">
        <f>1*(D315+2*D316-3*D317)+G299</f>
        <v>67.55331291160948</v>
      </c>
      <c r="F331" s="7" t="s">
        <v>318</v>
      </c>
    </row>
    <row r="332" ht="17.25" customHeight="1">
      <c r="E332" s="11"/>
    </row>
    <row r="333" spans="4:6" ht="15.75">
      <c r="D333" s="53" t="s">
        <v>988</v>
      </c>
      <c r="E333" s="11">
        <f>$D$279*(2*D316+D313)-E300</f>
        <v>-67.55331291160948</v>
      </c>
      <c r="F333" s="7" t="s">
        <v>318</v>
      </c>
    </row>
    <row r="334" ht="13.5">
      <c r="E334" s="11"/>
    </row>
    <row r="335" spans="4:6" ht="15.75">
      <c r="D335" s="53" t="s">
        <v>0</v>
      </c>
      <c r="E335" s="11">
        <f>$D$279*(2*D313+D316)+G300</f>
        <v>67.55331291160951</v>
      </c>
      <c r="F335" s="7" t="s">
        <v>318</v>
      </c>
    </row>
    <row r="336" ht="13.5">
      <c r="E336" s="11"/>
    </row>
    <row r="337" spans="2:5" ht="13.5">
      <c r="B337" s="9" t="s">
        <v>319</v>
      </c>
      <c r="E337" s="11"/>
    </row>
    <row r="338" spans="4:6" ht="15.75">
      <c r="D338" s="51" t="s">
        <v>1</v>
      </c>
      <c r="E338" s="71">
        <f>E321+E335</f>
        <v>0</v>
      </c>
      <c r="F338" s="7" t="s">
        <v>320</v>
      </c>
    </row>
    <row r="339" spans="4:6" ht="15.75">
      <c r="D339" s="51" t="s">
        <v>2</v>
      </c>
      <c r="E339" s="71">
        <f>E323+E325</f>
        <v>0</v>
      </c>
      <c r="F339" s="7" t="s">
        <v>320</v>
      </c>
    </row>
    <row r="340" spans="4:6" ht="15.75">
      <c r="D340" s="51" t="s">
        <v>3</v>
      </c>
      <c r="E340" s="71">
        <f>E327+E329</f>
        <v>0</v>
      </c>
      <c r="F340" s="7" t="s">
        <v>320</v>
      </c>
    </row>
    <row r="341" spans="4:6" ht="15.75">
      <c r="D341" s="51" t="s">
        <v>4</v>
      </c>
      <c r="E341" s="71">
        <f>E331+E333</f>
        <v>0</v>
      </c>
      <c r="F341" s="7" t="s">
        <v>320</v>
      </c>
    </row>
    <row r="342" ht="13.5">
      <c r="E342" s="11"/>
    </row>
    <row r="344" ht="13.5">
      <c r="A344" s="9" t="s">
        <v>541</v>
      </c>
    </row>
    <row r="345" ht="13.5">
      <c r="A345" s="9" t="s">
        <v>542</v>
      </c>
    </row>
    <row r="346" ht="13.5">
      <c r="A346" s="9"/>
    </row>
    <row r="347" ht="13.5">
      <c r="A347" s="9" t="s">
        <v>543</v>
      </c>
    </row>
    <row r="348" ht="15"/>
    <row r="349" ht="15"/>
    <row r="350" ht="15"/>
    <row r="351" ht="15"/>
    <row r="352" ht="15"/>
    <row r="353" ht="15"/>
    <row r="354" ht="15"/>
    <row r="357" ht="13.5">
      <c r="B357" s="9" t="s">
        <v>324</v>
      </c>
    </row>
    <row r="361" ht="15"/>
    <row r="362" ht="15">
      <c r="B362" s="9" t="s">
        <v>325</v>
      </c>
    </row>
    <row r="363" ht="15"/>
    <row r="364" ht="15">
      <c r="BW364" s="9"/>
    </row>
    <row r="365" spans="2:6" ht="13.5">
      <c r="B365" s="9" t="s">
        <v>326</v>
      </c>
      <c r="D365" s="6"/>
      <c r="F365" s="6"/>
    </row>
    <row r="366" ht="15">
      <c r="BW366" s="9"/>
    </row>
    <row r="367" ht="15"/>
    <row r="368" ht="15">
      <c r="B368" s="9" t="s">
        <v>327</v>
      </c>
    </row>
    <row r="369" ht="15"/>
    <row r="370" ht="15"/>
    <row r="371" ht="15">
      <c r="B371" s="9" t="s">
        <v>498</v>
      </c>
    </row>
    <row r="372" ht="15"/>
    <row r="373" ht="15"/>
    <row r="374" ht="13.5">
      <c r="A374" s="9" t="s">
        <v>544</v>
      </c>
    </row>
    <row r="376" ht="15"/>
    <row r="377" ht="15"/>
    <row r="378" ht="15"/>
    <row r="379" ht="15"/>
    <row r="380" spans="67:74" ht="15">
      <c r="BO380" s="9" t="s">
        <v>390</v>
      </c>
      <c r="BV380" s="9"/>
    </row>
    <row r="381" spans="68:69" ht="15">
      <c r="BP381" s="9" t="s">
        <v>455</v>
      </c>
      <c r="BQ381" s="75">
        <v>100</v>
      </c>
    </row>
    <row r="382" spans="67:74" ht="15">
      <c r="BO382" s="9" t="s">
        <v>503</v>
      </c>
      <c r="BV382" s="9"/>
    </row>
    <row r="383" spans="67:72" ht="15">
      <c r="BO383" s="7" t="s">
        <v>457</v>
      </c>
      <c r="BP383" s="9" t="s">
        <v>458</v>
      </c>
      <c r="BQ383" s="7" t="s">
        <v>381</v>
      </c>
      <c r="BR383" s="7" t="s">
        <v>382</v>
      </c>
      <c r="BS383" s="7" t="s">
        <v>383</v>
      </c>
      <c r="BT383" s="7" t="s">
        <v>384</v>
      </c>
    </row>
    <row r="384" spans="67:68" ht="15">
      <c r="BO384" s="7">
        <v>0</v>
      </c>
      <c r="BP384" s="7">
        <v>0</v>
      </c>
    </row>
    <row r="385" spans="67:68" ht="13.5">
      <c r="BO385" s="7">
        <v>0</v>
      </c>
      <c r="BP385" s="69">
        <f>D477</f>
        <v>3.4250000000000003</v>
      </c>
    </row>
    <row r="386" spans="2:68" ht="13.5">
      <c r="B386" s="9" t="s">
        <v>328</v>
      </c>
      <c r="BO386" s="69">
        <f>D496</f>
        <v>3.35</v>
      </c>
      <c r="BP386" s="69">
        <f>BP385</f>
        <v>3.4250000000000003</v>
      </c>
    </row>
    <row r="387" spans="67:68" ht="13.5">
      <c r="BO387" s="69">
        <f>BO386</f>
        <v>3.35</v>
      </c>
      <c r="BP387" s="7">
        <v>0</v>
      </c>
    </row>
    <row r="388" spans="67:68" ht="13.5">
      <c r="BO388" s="7">
        <v>0</v>
      </c>
      <c r="BP388" s="7">
        <v>0</v>
      </c>
    </row>
    <row r="389" spans="67:69" ht="13.5">
      <c r="BO389" s="7">
        <v>0</v>
      </c>
      <c r="BQ389" s="7">
        <v>0</v>
      </c>
    </row>
    <row r="390" spans="67:69" ht="13.5">
      <c r="BO390" s="7">
        <f>-E442/$BQ$381</f>
        <v>-0.9932930703189661</v>
      </c>
      <c r="BQ390" s="7">
        <v>0</v>
      </c>
    </row>
    <row r="391" spans="67:69" ht="13.5">
      <c r="BO391" s="7">
        <f aca="true" t="shared" si="4" ref="BO391:BO400">-($E$442-$E$438*BQ391+($E$438-$E$439)/2/$D$435*BQ391^2)/$BQ$381</f>
        <v>-0.761989976568966</v>
      </c>
      <c r="BQ391" s="7">
        <f aca="true" t="shared" si="5" ref="BQ391:BQ400">BQ390+$BP$385/10</f>
        <v>0.3425</v>
      </c>
    </row>
    <row r="392" spans="67:69" ht="13.5">
      <c r="BO392" s="7">
        <f t="shared" si="4"/>
        <v>-0.541244445318966</v>
      </c>
      <c r="BQ392" s="7">
        <f t="shared" si="5"/>
        <v>0.685</v>
      </c>
    </row>
    <row r="393" spans="67:69" ht="13.5">
      <c r="BO393" s="7">
        <f t="shared" si="4"/>
        <v>-0.33105647656896603</v>
      </c>
      <c r="BQ393" s="7">
        <f t="shared" si="5"/>
        <v>1.0275</v>
      </c>
    </row>
    <row r="394" spans="2:69" ht="13.5">
      <c r="B394" s="9" t="s">
        <v>325</v>
      </c>
      <c r="BO394" s="7">
        <f t="shared" si="4"/>
        <v>-0.1314260703189659</v>
      </c>
      <c r="BQ394" s="7">
        <f t="shared" si="5"/>
        <v>1.37</v>
      </c>
    </row>
    <row r="395" spans="67:69" ht="15">
      <c r="BO395" s="7">
        <f t="shared" si="4"/>
        <v>0.057646773431034096</v>
      </c>
      <c r="BQ395" s="7">
        <f t="shared" si="5"/>
        <v>1.7125000000000001</v>
      </c>
    </row>
    <row r="396" spans="66:69" ht="15">
      <c r="BN396" s="7">
        <v>1</v>
      </c>
      <c r="BO396" s="7">
        <f t="shared" si="4"/>
        <v>0.23616205468103404</v>
      </c>
      <c r="BQ396" s="7">
        <f t="shared" si="5"/>
        <v>2.055</v>
      </c>
    </row>
    <row r="397" spans="66:69" ht="15">
      <c r="BN397" s="7">
        <v>2</v>
      </c>
      <c r="BO397" s="7">
        <f t="shared" si="4"/>
        <v>0.4041197734310341</v>
      </c>
      <c r="BQ397" s="7">
        <f t="shared" si="5"/>
        <v>2.3975</v>
      </c>
    </row>
    <row r="398" spans="66:69" ht="15">
      <c r="BN398" s="7">
        <v>3</v>
      </c>
      <c r="BO398" s="7">
        <f t="shared" si="4"/>
        <v>0.5615199296810343</v>
      </c>
      <c r="BQ398" s="7">
        <f>BQ397+$BP$385/10</f>
        <v>2.74</v>
      </c>
    </row>
    <row r="399" spans="66:69" ht="15">
      <c r="BN399" s="7">
        <v>4</v>
      </c>
      <c r="BO399" s="7">
        <f t="shared" si="4"/>
        <v>0.7083625234310341</v>
      </c>
      <c r="BQ399" s="7">
        <f t="shared" si="5"/>
        <v>3.0825000000000005</v>
      </c>
    </row>
    <row r="400" spans="66:69" ht="15">
      <c r="BN400" s="7">
        <v>5</v>
      </c>
      <c r="BO400" s="7">
        <f t="shared" si="4"/>
        <v>0.8446475546810344</v>
      </c>
      <c r="BQ400" s="7">
        <f t="shared" si="5"/>
        <v>3.4250000000000007</v>
      </c>
    </row>
    <row r="401" spans="67:69" ht="15">
      <c r="BO401" s="7">
        <v>0</v>
      </c>
      <c r="BQ401" s="7">
        <f>BQ400</f>
        <v>3.4250000000000007</v>
      </c>
    </row>
    <row r="402" spans="67:70" ht="15">
      <c r="BO402" s="7">
        <v>0</v>
      </c>
      <c r="BR402" s="7">
        <f>BQ401</f>
        <v>3.4250000000000007</v>
      </c>
    </row>
    <row r="403" spans="67:70" ht="15">
      <c r="BO403" s="7">
        <v>0</v>
      </c>
      <c r="BR403" s="7">
        <f aca="true" t="shared" si="6" ref="BR403:BR413">(IF(BO403&lt;$E$460,$E$465-$E$457*BO403,IF(BO403&lt;=($E$460+$E$461),$E$465-$E$457*BO403-$E$458*(BO403-$E$460),IF(BO403&lt;=($D$454-$E$462),$E$465-$E$457*BO403-$E$458*$E$461,$E$465-$E$457*BO403-$E$458*$E$461-$E$459*($E$462-$D$454+BO403)))))/$BQ$381+$BR$402</f>
        <v>4.89029</v>
      </c>
    </row>
    <row r="404" spans="67:70" ht="15">
      <c r="BO404" s="7">
        <f aca="true" t="shared" si="7" ref="BO404:BO413">BO403+$BO$386/10</f>
        <v>0.335</v>
      </c>
      <c r="BR404" s="7">
        <f t="shared" si="6"/>
        <v>4.597232000000001</v>
      </c>
    </row>
    <row r="405" spans="67:70" ht="15">
      <c r="BO405" s="7">
        <f t="shared" si="7"/>
        <v>0.67</v>
      </c>
      <c r="BR405" s="7">
        <f t="shared" si="6"/>
        <v>4.304174000000001</v>
      </c>
    </row>
    <row r="406" spans="67:70" ht="15">
      <c r="BO406" s="7">
        <f t="shared" si="7"/>
        <v>1.0050000000000001</v>
      </c>
      <c r="BR406" s="7">
        <f t="shared" si="6"/>
        <v>4.011116</v>
      </c>
    </row>
    <row r="407" spans="2:70" ht="15">
      <c r="B407" s="9" t="s">
        <v>326</v>
      </c>
      <c r="J407" s="49">
        <v>0</v>
      </c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BO407" s="7">
        <f t="shared" si="7"/>
        <v>1.34</v>
      </c>
      <c r="BR407" s="7">
        <f t="shared" si="6"/>
        <v>3.7180580000000005</v>
      </c>
    </row>
    <row r="408" spans="10:70" ht="15">
      <c r="J408" s="49">
        <f>H435*2</f>
        <v>0.5</v>
      </c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BO408" s="7">
        <f t="shared" si="7"/>
        <v>1.675</v>
      </c>
      <c r="BR408" s="7">
        <f t="shared" si="6"/>
        <v>3.4250000000000007</v>
      </c>
    </row>
    <row r="409" spans="2:70" ht="13.5">
      <c r="B409" s="9" t="s">
        <v>327</v>
      </c>
      <c r="J409" s="7">
        <f>D435-2*H435</f>
        <v>2.9250000000000003</v>
      </c>
      <c r="BO409" s="7">
        <f t="shared" si="7"/>
        <v>2.0100000000000002</v>
      </c>
      <c r="BR409" s="7">
        <f t="shared" si="6"/>
        <v>3.1319420000000004</v>
      </c>
    </row>
    <row r="410" spans="67:70" ht="15">
      <c r="BO410" s="7">
        <f t="shared" si="7"/>
        <v>2.345</v>
      </c>
      <c r="BR410" s="7">
        <f t="shared" si="6"/>
        <v>2.838884</v>
      </c>
    </row>
    <row r="411" spans="67:70" ht="15">
      <c r="BO411" s="7">
        <f>BO410+$BO$386/10</f>
        <v>2.68</v>
      </c>
      <c r="BR411" s="7">
        <f t="shared" si="6"/>
        <v>2.545826000000001</v>
      </c>
    </row>
    <row r="412" spans="67:70" ht="15">
      <c r="BO412" s="7">
        <f t="shared" si="7"/>
        <v>3.015</v>
      </c>
      <c r="BR412" s="7">
        <f t="shared" si="6"/>
        <v>2.2527680000000005</v>
      </c>
    </row>
    <row r="413" spans="67:70" ht="15">
      <c r="BO413" s="7">
        <f t="shared" si="7"/>
        <v>3.35</v>
      </c>
      <c r="BR413" s="7">
        <f t="shared" si="6"/>
        <v>1.9597100000000007</v>
      </c>
    </row>
    <row r="414" spans="67:70" ht="15">
      <c r="BO414" s="7">
        <f>BO413</f>
        <v>3.35</v>
      </c>
      <c r="BR414" s="7">
        <f>BR402</f>
        <v>3.4250000000000007</v>
      </c>
    </row>
    <row r="415" spans="67:71" ht="15">
      <c r="BO415" s="7">
        <f>BO414</f>
        <v>3.35</v>
      </c>
      <c r="BS415" s="7">
        <f>BR414</f>
        <v>3.4250000000000007</v>
      </c>
    </row>
    <row r="416" spans="67:71" ht="15">
      <c r="BO416" s="7">
        <f>$E$484/BQ381+BO415</f>
        <v>4.194647554681034</v>
      </c>
      <c r="BS416" s="7">
        <f>BS415</f>
        <v>3.4250000000000007</v>
      </c>
    </row>
    <row r="417" spans="67:71" ht="15">
      <c r="BO417" s="7">
        <f aca="true" t="shared" si="8" ref="BO417:BO426">($E$484-$E$480*($BS$416-BS417)+($E$480-$E$481)/2/$D$477*($BS$416-BS417)^2)/$BQ$381+$BO$415</f>
        <v>4.058362523431034</v>
      </c>
      <c r="BS417" s="7">
        <f>BS416-$BS$416/10</f>
        <v>3.0825000000000005</v>
      </c>
    </row>
    <row r="418" spans="67:71" ht="15">
      <c r="BO418" s="7">
        <f t="shared" si="8"/>
        <v>3.9115199296810346</v>
      </c>
      <c r="BS418" s="7">
        <f aca="true" t="shared" si="9" ref="BS418:BS426">BS417-$BS$416/10</f>
        <v>2.74</v>
      </c>
    </row>
    <row r="419" spans="67:71" ht="15">
      <c r="BO419" s="7">
        <f t="shared" si="8"/>
        <v>3.754119773431034</v>
      </c>
      <c r="BS419" s="7">
        <f t="shared" si="9"/>
        <v>2.3975</v>
      </c>
    </row>
    <row r="420" spans="67:71" ht="15">
      <c r="BO420" s="7">
        <f t="shared" si="8"/>
        <v>3.5861620546810338</v>
      </c>
      <c r="BS420" s="7">
        <f t="shared" si="9"/>
        <v>2.0549999999999997</v>
      </c>
    </row>
    <row r="421" spans="67:71" ht="15">
      <c r="BO421" s="7">
        <f t="shared" si="8"/>
        <v>3.407646773431034</v>
      </c>
      <c r="BS421" s="7">
        <f t="shared" si="9"/>
        <v>1.7124999999999997</v>
      </c>
    </row>
    <row r="422" spans="67:71" ht="15">
      <c r="BO422" s="7">
        <f t="shared" si="8"/>
        <v>3.218573929681034</v>
      </c>
      <c r="BS422" s="7">
        <f t="shared" si="9"/>
        <v>1.3699999999999997</v>
      </c>
    </row>
    <row r="423" spans="67:71" ht="15">
      <c r="BO423" s="7">
        <f t="shared" si="8"/>
        <v>3.018943523431034</v>
      </c>
      <c r="BS423" s="7">
        <f t="shared" si="9"/>
        <v>1.0274999999999996</v>
      </c>
    </row>
    <row r="424" spans="67:71" ht="15">
      <c r="BO424" s="7">
        <f t="shared" si="8"/>
        <v>2.8087555546810337</v>
      </c>
      <c r="BS424" s="7">
        <f t="shared" si="9"/>
        <v>0.6849999999999996</v>
      </c>
    </row>
    <row r="425" spans="67:71" ht="15">
      <c r="BO425" s="7">
        <f t="shared" si="8"/>
        <v>2.5880100234310337</v>
      </c>
      <c r="BS425" s="7">
        <f t="shared" si="9"/>
        <v>0.3424999999999995</v>
      </c>
    </row>
    <row r="426" spans="2:71" ht="13.5">
      <c r="B426" s="9" t="s">
        <v>498</v>
      </c>
      <c r="BO426" s="7">
        <f t="shared" si="8"/>
        <v>2.3567069296810335</v>
      </c>
      <c r="BS426" s="7">
        <f t="shared" si="9"/>
        <v>-5.551115123125783E-16</v>
      </c>
    </row>
    <row r="427" spans="67:71" ht="15">
      <c r="BO427" s="7">
        <f>BO415</f>
        <v>3.35</v>
      </c>
      <c r="BS427" s="7">
        <f>BS426</f>
        <v>-5.551115123125783E-16</v>
      </c>
    </row>
    <row r="428" spans="67:76" ht="15">
      <c r="BO428" s="7">
        <f>BO427</f>
        <v>3.35</v>
      </c>
      <c r="BT428" s="7">
        <v>0</v>
      </c>
      <c r="BW428" s="9"/>
      <c r="BX428" s="75"/>
    </row>
    <row r="429" spans="67:72" ht="15">
      <c r="BO429" s="7">
        <f>BO428</f>
        <v>3.35</v>
      </c>
      <c r="BT429" s="7">
        <f>-$E$503/BQ381</f>
        <v>-1.8189900000000003</v>
      </c>
    </row>
    <row r="430" spans="67:75" ht="15">
      <c r="BO430" s="7">
        <f>BO429-$BO$429/10</f>
        <v>3.015</v>
      </c>
      <c r="BT430" s="7">
        <f aca="true" t="shared" si="10" ref="BT430:BT439">-($E$503-$E$499*($BO$429-BO430)+($E$499-$E$500)/2/$D$496*($BO$429-BO430)^2)/$BQ$381</f>
        <v>-1.4551920000000005</v>
      </c>
      <c r="BW430" s="9"/>
    </row>
    <row r="431" spans="67:72" ht="13.5">
      <c r="BO431" s="7">
        <f aca="true" t="shared" si="11" ref="BO431:BO439">BO430-$BO$429/10</f>
        <v>2.68</v>
      </c>
      <c r="BT431" s="7">
        <f t="shared" si="10"/>
        <v>-1.0913940000000004</v>
      </c>
    </row>
    <row r="432" spans="67:72" ht="13.5">
      <c r="BO432" s="7">
        <f t="shared" si="11"/>
        <v>2.345</v>
      </c>
      <c r="BT432" s="7">
        <f t="shared" si="10"/>
        <v>-0.7275960000000004</v>
      </c>
    </row>
    <row r="433" spans="1:72" ht="13.5">
      <c r="A433" s="9" t="s">
        <v>545</v>
      </c>
      <c r="BO433" s="7">
        <f t="shared" si="11"/>
        <v>2.0100000000000002</v>
      </c>
      <c r="BT433" s="7">
        <f t="shared" si="10"/>
        <v>-0.36379800000000045</v>
      </c>
    </row>
    <row r="434" spans="67:72" ht="13.5">
      <c r="BO434" s="7">
        <f t="shared" si="11"/>
        <v>1.6750000000000003</v>
      </c>
      <c r="BT434" s="7">
        <f t="shared" si="10"/>
        <v>-2.842170943040401E-16</v>
      </c>
    </row>
    <row r="435" spans="2:72" ht="13.5">
      <c r="B435" s="9" t="s">
        <v>329</v>
      </c>
      <c r="C435" s="6" t="s">
        <v>330</v>
      </c>
      <c r="D435" s="69">
        <f>C271</f>
        <v>3.4250000000000003</v>
      </c>
      <c r="E435" s="7" t="s">
        <v>331</v>
      </c>
      <c r="F435" s="9" t="s">
        <v>279</v>
      </c>
      <c r="G435" s="6" t="s">
        <v>332</v>
      </c>
      <c r="H435" s="7">
        <f>G72/1000</f>
        <v>0.25</v>
      </c>
      <c r="I435" s="7" t="s">
        <v>333</v>
      </c>
      <c r="BO435" s="7">
        <f t="shared" si="11"/>
        <v>1.3400000000000003</v>
      </c>
      <c r="BT435" s="7">
        <f t="shared" si="10"/>
        <v>0.3637979999999996</v>
      </c>
    </row>
    <row r="436" spans="67:72" ht="13.5">
      <c r="BO436" s="7">
        <f t="shared" si="11"/>
        <v>1.0050000000000003</v>
      </c>
      <c r="BT436" s="7">
        <f t="shared" si="10"/>
        <v>0.7275959999999995</v>
      </c>
    </row>
    <row r="437" spans="2:72" ht="13.5">
      <c r="B437" s="31" t="s">
        <v>334</v>
      </c>
      <c r="C437" s="31" t="s">
        <v>335</v>
      </c>
      <c r="D437" s="31" t="s">
        <v>336</v>
      </c>
      <c r="E437" s="31" t="s">
        <v>580</v>
      </c>
      <c r="F437" s="36"/>
      <c r="BO437" s="7">
        <f t="shared" si="11"/>
        <v>0.6700000000000004</v>
      </c>
      <c r="BT437" s="7">
        <f t="shared" si="10"/>
        <v>1.0913939999999993</v>
      </c>
    </row>
    <row r="438" spans="2:72" ht="16.5">
      <c r="B438" s="342" t="s">
        <v>338</v>
      </c>
      <c r="C438" s="72" t="s">
        <v>339</v>
      </c>
      <c r="D438" s="43" t="s">
        <v>340</v>
      </c>
      <c r="E438" s="59">
        <f>F238</f>
        <v>69.075</v>
      </c>
      <c r="F438" s="70"/>
      <c r="BO438" s="7">
        <f t="shared" si="11"/>
        <v>0.33500000000000035</v>
      </c>
      <c r="BT438" s="7">
        <f t="shared" si="10"/>
        <v>1.4551919999999998</v>
      </c>
    </row>
    <row r="439" spans="2:72" ht="16.5">
      <c r="B439" s="360"/>
      <c r="C439" s="29" t="s">
        <v>341</v>
      </c>
      <c r="D439" s="30" t="s">
        <v>340</v>
      </c>
      <c r="E439" s="63">
        <f>G238</f>
        <v>38.25000000000001</v>
      </c>
      <c r="F439" s="70"/>
      <c r="J439" s="49">
        <v>0</v>
      </c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BO439" s="7">
        <f t="shared" si="11"/>
        <v>0</v>
      </c>
      <c r="BT439" s="7">
        <f t="shared" si="10"/>
        <v>1.8189900000000003</v>
      </c>
    </row>
    <row r="440" spans="2:72" ht="15.75">
      <c r="B440" s="34" t="s">
        <v>342</v>
      </c>
      <c r="C440" s="72" t="s">
        <v>343</v>
      </c>
      <c r="D440" s="43" t="s">
        <v>344</v>
      </c>
      <c r="E440" s="61">
        <f>E321</f>
        <v>-67.55331291160951</v>
      </c>
      <c r="F440" s="60"/>
      <c r="J440" s="49">
        <f>H454*2</f>
        <v>0.5</v>
      </c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BO440" s="7">
        <f>BO439</f>
        <v>0</v>
      </c>
      <c r="BT440" s="7">
        <v>0</v>
      </c>
    </row>
    <row r="441" spans="2:10" ht="15.75">
      <c r="B441" s="33" t="s">
        <v>345</v>
      </c>
      <c r="C441" s="29" t="s">
        <v>346</v>
      </c>
      <c r="D441" s="30" t="s">
        <v>344</v>
      </c>
      <c r="E441" s="64">
        <f>E323</f>
        <v>72.23081132736372</v>
      </c>
      <c r="F441" s="60"/>
      <c r="J441" s="7">
        <f>D454-2*H454</f>
        <v>2.85</v>
      </c>
    </row>
    <row r="442" spans="2:6" ht="15.75">
      <c r="B442" s="34" t="s">
        <v>342</v>
      </c>
      <c r="C442" s="72" t="s">
        <v>347</v>
      </c>
      <c r="D442" s="43" t="s">
        <v>348</v>
      </c>
      <c r="E442" s="61">
        <f>(2*E438+E439)/6*$D$435-(E440+E441)/$D$435</f>
        <v>99.3293070318966</v>
      </c>
      <c r="F442" s="60"/>
    </row>
    <row r="443" spans="2:6" ht="15.75">
      <c r="B443" s="33" t="s">
        <v>349</v>
      </c>
      <c r="C443" s="29" t="s">
        <v>350</v>
      </c>
      <c r="D443" s="30" t="s">
        <v>348</v>
      </c>
      <c r="E443" s="64">
        <f>E442-(E438+E439)/2*$D$435</f>
        <v>-84.46475546810345</v>
      </c>
      <c r="F443" s="60"/>
    </row>
    <row r="444" spans="2:74" ht="13.5">
      <c r="B444" s="34" t="s">
        <v>349</v>
      </c>
      <c r="C444" s="43" t="str">
        <f>"x="&amp;J407</f>
        <v>x=0</v>
      </c>
      <c r="D444" s="43" t="s">
        <v>351</v>
      </c>
      <c r="E444" s="61">
        <f>E$442-E$438*$J407-(E$439-E$438)/2/$D$435*$J407^2</f>
        <v>99.3293070318966</v>
      </c>
      <c r="F444" s="60"/>
      <c r="BO444" s="9" t="s">
        <v>459</v>
      </c>
      <c r="BV444" s="9"/>
    </row>
    <row r="445" spans="2:69" ht="15.75">
      <c r="B445" s="72" t="s">
        <v>352</v>
      </c>
      <c r="C445" s="43" t="str">
        <f>"x="&amp;J408</f>
        <v>x=0.5</v>
      </c>
      <c r="D445" s="43" t="s">
        <v>351</v>
      </c>
      <c r="E445" s="61">
        <f>E$442-E$438*$J408-(E$439-E$438)/2/$D$435*$J408^2</f>
        <v>65.91680703189661</v>
      </c>
      <c r="F445" s="60"/>
      <c r="BP445" s="9" t="s">
        <v>380</v>
      </c>
      <c r="BQ445" s="75">
        <v>100</v>
      </c>
    </row>
    <row r="446" spans="2:74" ht="13.5">
      <c r="B446" s="30" t="s">
        <v>353</v>
      </c>
      <c r="C446" s="30" t="str">
        <f>"x="&amp;J409</f>
        <v>x=2.925</v>
      </c>
      <c r="D446" s="30" t="s">
        <v>351</v>
      </c>
      <c r="E446" s="64">
        <f>E$442-E$438*$J409-(E$439-E$438)/2/$D$435*$J409^2</f>
        <v>-64.21475546810342</v>
      </c>
      <c r="F446" s="60"/>
      <c r="BO446" s="9" t="s">
        <v>402</v>
      </c>
      <c r="BV446" s="9"/>
    </row>
    <row r="447" spans="2:72" ht="15.75">
      <c r="B447" s="34" t="s">
        <v>354</v>
      </c>
      <c r="C447" s="72" t="s">
        <v>355</v>
      </c>
      <c r="D447" s="43" t="s">
        <v>344</v>
      </c>
      <c r="E447" s="61">
        <f>E440</f>
        <v>-67.55331291160951</v>
      </c>
      <c r="F447" s="60"/>
      <c r="BO447" s="7" t="s">
        <v>460</v>
      </c>
      <c r="BP447" s="9" t="s">
        <v>510</v>
      </c>
      <c r="BQ447" s="7" t="s">
        <v>381</v>
      </c>
      <c r="BR447" s="7" t="s">
        <v>382</v>
      </c>
      <c r="BS447" s="7" t="s">
        <v>383</v>
      </c>
      <c r="BT447" s="7" t="s">
        <v>384</v>
      </c>
    </row>
    <row r="448" spans="2:68" ht="15.75">
      <c r="B448" s="73" t="s">
        <v>345</v>
      </c>
      <c r="C448" s="29" t="s">
        <v>356</v>
      </c>
      <c r="D448" s="30" t="s">
        <v>344</v>
      </c>
      <c r="E448" s="64">
        <f>-E441</f>
        <v>-72.23081132736372</v>
      </c>
      <c r="F448" s="60"/>
      <c r="BO448" s="7">
        <f aca="true" t="shared" si="12" ref="BO448:BP452">BO384</f>
        <v>0</v>
      </c>
      <c r="BP448" s="7">
        <f t="shared" si="12"/>
        <v>0</v>
      </c>
    </row>
    <row r="449" spans="2:68" ht="15.75">
      <c r="B449" s="34" t="s">
        <v>357</v>
      </c>
      <c r="C449" s="72" t="s">
        <v>358</v>
      </c>
      <c r="D449" s="43" t="s">
        <v>359</v>
      </c>
      <c r="E449" s="74">
        <f>(E438-(E438^2-2*E442*(E438-E439)/$D$435)^0.5)/((E438-E439)/$D$435)</f>
        <v>1.6060259796586271</v>
      </c>
      <c r="F449" s="104"/>
      <c r="BO449" s="7">
        <f t="shared" si="12"/>
        <v>0</v>
      </c>
      <c r="BP449" s="7">
        <f t="shared" si="12"/>
        <v>3.4250000000000003</v>
      </c>
    </row>
    <row r="450" spans="2:68" ht="15.75">
      <c r="B450" s="33" t="s">
        <v>360</v>
      </c>
      <c r="C450" s="29" t="s">
        <v>361</v>
      </c>
      <c r="D450" s="30" t="s">
        <v>362</v>
      </c>
      <c r="E450" s="64">
        <f>E442*E449-E438/2*E449^2-(E439-E438)*E449^3/6/$D$435+E440</f>
        <v>9.10257037404942</v>
      </c>
      <c r="F450" s="60"/>
      <c r="BO450" s="7">
        <f t="shared" si="12"/>
        <v>3.35</v>
      </c>
      <c r="BP450" s="7">
        <f t="shared" si="12"/>
        <v>3.4250000000000003</v>
      </c>
    </row>
    <row r="451" spans="67:68" ht="13.5">
      <c r="BO451" s="7">
        <f t="shared" si="12"/>
        <v>3.35</v>
      </c>
      <c r="BP451" s="7">
        <f t="shared" si="12"/>
        <v>0</v>
      </c>
    </row>
    <row r="452" spans="67:68" ht="13.5">
      <c r="BO452" s="7">
        <f t="shared" si="12"/>
        <v>0</v>
      </c>
      <c r="BP452" s="7">
        <f t="shared" si="12"/>
        <v>0</v>
      </c>
    </row>
    <row r="453" spans="1:69" ht="13.5">
      <c r="A453" s="9" t="s">
        <v>546</v>
      </c>
      <c r="BO453" s="7">
        <f>BO389</f>
        <v>0</v>
      </c>
      <c r="BQ453" s="7">
        <v>0</v>
      </c>
    </row>
    <row r="454" spans="2:69" ht="13.5">
      <c r="B454" s="9" t="s">
        <v>329</v>
      </c>
      <c r="C454" s="6" t="s">
        <v>330</v>
      </c>
      <c r="D454" s="69">
        <f>G110</f>
        <v>3.35</v>
      </c>
      <c r="E454" s="7" t="s">
        <v>331</v>
      </c>
      <c r="F454" s="9" t="s">
        <v>279</v>
      </c>
      <c r="G454" s="6" t="s">
        <v>332</v>
      </c>
      <c r="H454" s="7">
        <f>G74/1000</f>
        <v>0.25</v>
      </c>
      <c r="I454" s="7" t="s">
        <v>333</v>
      </c>
      <c r="BO454" s="7">
        <f aca="true" t="shared" si="13" ref="BO454:BO464">($E$442*BQ454-0.5*$E$438*BQ454^2+($E$438-$E$439)/6/$D$435*BQ454^3+$E$440)/$BQ$445</f>
        <v>-0.6755331291160951</v>
      </c>
      <c r="BQ454" s="7">
        <f aca="true" t="shared" si="14" ref="BQ454:BQ465">BQ390</f>
        <v>0</v>
      </c>
    </row>
    <row r="455" spans="67:69" ht="13.5">
      <c r="BO455" s="7">
        <f t="shared" si="13"/>
        <v>-0.37524223776622423</v>
      </c>
      <c r="BQ455" s="7">
        <f t="shared" si="14"/>
        <v>0.3425</v>
      </c>
    </row>
    <row r="456" spans="2:69" ht="13.5">
      <c r="B456" s="31" t="s">
        <v>334</v>
      </c>
      <c r="C456" s="31" t="s">
        <v>335</v>
      </c>
      <c r="D456" s="31" t="s">
        <v>336</v>
      </c>
      <c r="E456" s="31" t="s">
        <v>580</v>
      </c>
      <c r="F456" s="36"/>
      <c r="BO456" s="7">
        <f t="shared" si="13"/>
        <v>-0.1523646734476032</v>
      </c>
      <c r="BQ456" s="7">
        <f t="shared" si="14"/>
        <v>0.685</v>
      </c>
    </row>
    <row r="457" spans="2:69" ht="16.5">
      <c r="B457" s="100"/>
      <c r="C457" s="72" t="s">
        <v>339</v>
      </c>
      <c r="D457" s="43" t="s">
        <v>340</v>
      </c>
      <c r="E457" s="59">
        <f>L162</f>
        <v>87.48</v>
      </c>
      <c r="F457" s="70"/>
      <c r="J457" s="49">
        <v>0</v>
      </c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BO457" s="7">
        <f t="shared" si="13"/>
        <v>-0.0032844710039825033</v>
      </c>
      <c r="BQ457" s="7">
        <f t="shared" si="14"/>
        <v>1.0275</v>
      </c>
    </row>
    <row r="458" spans="2:69" ht="16.5">
      <c r="B458" s="34" t="s">
        <v>338</v>
      </c>
      <c r="C458" s="72" t="s">
        <v>341</v>
      </c>
      <c r="D458" s="43" t="s">
        <v>340</v>
      </c>
      <c r="E458" s="59">
        <f>F201</f>
        <v>0</v>
      </c>
      <c r="F458" s="70"/>
      <c r="J458" s="49">
        <f>H477*2</f>
        <v>0.5</v>
      </c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BO458" s="7">
        <f t="shared" si="13"/>
        <v>0.0756143347208885</v>
      </c>
      <c r="BQ458" s="7">
        <f t="shared" si="14"/>
        <v>1.37</v>
      </c>
    </row>
    <row r="459" spans="2:69" ht="16.5">
      <c r="B459" s="38"/>
      <c r="C459" s="29" t="s">
        <v>363</v>
      </c>
      <c r="D459" s="30" t="s">
        <v>340</v>
      </c>
      <c r="E459" s="63">
        <v>0</v>
      </c>
      <c r="F459" s="70"/>
      <c r="J459" s="7">
        <f>D477-2*H477</f>
        <v>2.9250000000000003</v>
      </c>
      <c r="BO459" s="7">
        <f t="shared" si="13"/>
        <v>0.087947708883259</v>
      </c>
      <c r="BQ459" s="7">
        <f t="shared" si="14"/>
        <v>1.7125000000000001</v>
      </c>
    </row>
    <row r="460" spans="2:69" ht="13.5">
      <c r="B460" s="44" t="s">
        <v>499</v>
      </c>
      <c r="C460" s="72" t="s">
        <v>364</v>
      </c>
      <c r="D460" s="43" t="s">
        <v>365</v>
      </c>
      <c r="E460" s="59">
        <f>D454</f>
        <v>3.35</v>
      </c>
      <c r="F460" s="70"/>
      <c r="H460" s="69"/>
      <c r="BO460" s="7">
        <f t="shared" si="13"/>
        <v>0.037331616639379915</v>
      </c>
      <c r="BQ460" s="7">
        <f t="shared" si="14"/>
        <v>2.055</v>
      </c>
    </row>
    <row r="461" spans="2:69" ht="13.5">
      <c r="B461" s="44" t="s">
        <v>500</v>
      </c>
      <c r="C461" s="72" t="s">
        <v>366</v>
      </c>
      <c r="D461" s="43" t="s">
        <v>367</v>
      </c>
      <c r="E461" s="59">
        <v>0</v>
      </c>
      <c r="F461" s="70"/>
      <c r="H461" s="69"/>
      <c r="I461" s="69"/>
      <c r="BO461" s="7">
        <f t="shared" si="13"/>
        <v>-0.07261797685449921</v>
      </c>
      <c r="BQ461" s="7">
        <f t="shared" si="14"/>
        <v>2.3975</v>
      </c>
    </row>
    <row r="462" spans="2:69" ht="13.5">
      <c r="B462" s="38"/>
      <c r="C462" s="29" t="s">
        <v>368</v>
      </c>
      <c r="D462" s="30" t="s">
        <v>367</v>
      </c>
      <c r="E462" s="63">
        <v>0</v>
      </c>
      <c r="F462" s="70"/>
      <c r="BO462" s="7">
        <f t="shared" si="13"/>
        <v>-0.23828510644212791</v>
      </c>
      <c r="BQ462" s="7">
        <f t="shared" si="14"/>
        <v>2.74</v>
      </c>
    </row>
    <row r="463" spans="2:69" ht="15.75">
      <c r="B463" s="34" t="s">
        <v>501</v>
      </c>
      <c r="C463" s="72" t="s">
        <v>369</v>
      </c>
      <c r="D463" s="43" t="s">
        <v>344</v>
      </c>
      <c r="E463" s="61">
        <f>E325</f>
        <v>-72.23081132736374</v>
      </c>
      <c r="F463" s="60"/>
      <c r="BO463" s="7">
        <f t="shared" si="13"/>
        <v>-0.45605380696725784</v>
      </c>
      <c r="BQ463" s="7">
        <f t="shared" si="14"/>
        <v>3.0825000000000005</v>
      </c>
    </row>
    <row r="464" spans="2:69" ht="15.75">
      <c r="B464" s="33" t="s">
        <v>345</v>
      </c>
      <c r="C464" s="29" t="s">
        <v>370</v>
      </c>
      <c r="D464" s="30" t="s">
        <v>344</v>
      </c>
      <c r="E464" s="64">
        <f>E327</f>
        <v>72.23081132736371</v>
      </c>
      <c r="F464" s="60"/>
      <c r="BO464" s="7">
        <f t="shared" si="13"/>
        <v>-0.7223081132736374</v>
      </c>
      <c r="BQ464" s="7">
        <f t="shared" si="14"/>
        <v>3.4250000000000007</v>
      </c>
    </row>
    <row r="465" spans="2:69" ht="15.75">
      <c r="B465" s="34" t="s">
        <v>501</v>
      </c>
      <c r="C465" s="72" t="s">
        <v>371</v>
      </c>
      <c r="D465" s="43" t="s">
        <v>348</v>
      </c>
      <c r="E465" s="61">
        <f>0.5*(E457*$D$454+E458*E461+E459/$D$454*E462^2)-(E463+E464)/$D$454</f>
        <v>146.529</v>
      </c>
      <c r="F465" s="60"/>
      <c r="BO465" s="7">
        <f aca="true" t="shared" si="15" ref="BO465:BO479">BO401</f>
        <v>0</v>
      </c>
      <c r="BQ465" s="7">
        <f t="shared" si="14"/>
        <v>3.4250000000000007</v>
      </c>
    </row>
    <row r="466" spans="2:70" ht="15.75">
      <c r="B466" s="33" t="s">
        <v>349</v>
      </c>
      <c r="C466" s="29" t="s">
        <v>372</v>
      </c>
      <c r="D466" s="30" t="s">
        <v>348</v>
      </c>
      <c r="E466" s="64">
        <f>E465-E457*$D$454-E458*E461-E459*E462</f>
        <v>-146.529</v>
      </c>
      <c r="F466" s="60"/>
      <c r="BO466" s="7">
        <f t="shared" si="15"/>
        <v>0</v>
      </c>
      <c r="BR466" s="7">
        <f>BQ465</f>
        <v>3.4250000000000007</v>
      </c>
    </row>
    <row r="467" spans="2:70" ht="13.5">
      <c r="B467" s="34" t="s">
        <v>349</v>
      </c>
      <c r="C467" s="43" t="str">
        <f>"x="&amp;J439</f>
        <v>x=0</v>
      </c>
      <c r="D467" s="43" t="s">
        <v>351</v>
      </c>
      <c r="E467" s="61">
        <f>E465-E457*$J439</f>
        <v>146.529</v>
      </c>
      <c r="F467" s="60"/>
      <c r="BO467" s="7">
        <f t="shared" si="15"/>
        <v>0</v>
      </c>
      <c r="BR467" s="7">
        <f aca="true" t="shared" si="16" ref="BR467:BR477">$BR$466-(IF(BO467&lt;=$E$460,$E$465*BO467-0.5*$E$457*BO467^2+$E$463,IF(BO467&lt;=($E$460+$E$461),$E$465*BO467-0.5*$E$457*BO467^2-0.5*$E$458*(BO467-$E$460)^2+$E$463,IF(BO467&lt;=($D$454-$E$462),$E$465*BO467-0.5*$E$457*BO467^2-0.5*$E$458*$E$461*(2*BO467-2*$E$460-$E$461)+$E$463,$E$465*BO467-0.5*$E$457*BO467^2-0.5*$E$458*$E$461*(2*BO467-2*$E$460-$E$461)+0.5*$E$459*($E$462-$D$454+BO467)^2+$E$463))))/$BQ$445</f>
        <v>4.147308113273638</v>
      </c>
    </row>
    <row r="468" spans="2:70" ht="15.75">
      <c r="B468" s="72" t="s">
        <v>352</v>
      </c>
      <c r="C468" s="43" t="str">
        <f>"x="&amp;J440</f>
        <v>x=0.5</v>
      </c>
      <c r="D468" s="43" t="s">
        <v>351</v>
      </c>
      <c r="E468" s="61">
        <f>IF($J440&lt;=E460,E465-E457*$J440,IF($J440&lt;=E460+E461,E465-E457*$J440-E458*($J440-E460),0))</f>
        <v>102.78899999999999</v>
      </c>
      <c r="F468" s="60"/>
      <c r="BO468" s="7">
        <f t="shared" si="15"/>
        <v>0.335</v>
      </c>
      <c r="BR468" s="7">
        <f t="shared" si="16"/>
        <v>3.705523178273638</v>
      </c>
    </row>
    <row r="469" spans="2:70" ht="13.5">
      <c r="B469" s="30" t="s">
        <v>353</v>
      </c>
      <c r="C469" s="30" t="str">
        <f>"x="&amp;J441</f>
        <v>x=2.85</v>
      </c>
      <c r="D469" s="30" t="s">
        <v>351</v>
      </c>
      <c r="E469" s="64">
        <f>IF($J441&lt;=E460,E465-E457*$J441,IF($J441&lt;=E460+E461,E465-E457*$J441-E458*($J441-E460),IF($J441&lt;=$D$454-E462,E465-E457*$J441-E458*E461-E459*(E462-$D$454+$J441))))</f>
        <v>-102.78900000000002</v>
      </c>
      <c r="F469" s="60"/>
      <c r="BO469" s="7">
        <f t="shared" si="15"/>
        <v>0.67</v>
      </c>
      <c r="BR469" s="7">
        <f t="shared" si="16"/>
        <v>3.361912673273638</v>
      </c>
    </row>
    <row r="470" spans="2:70" ht="15.75">
      <c r="B470" s="34" t="s">
        <v>373</v>
      </c>
      <c r="C470" s="72" t="s">
        <v>355</v>
      </c>
      <c r="D470" s="43" t="s">
        <v>344</v>
      </c>
      <c r="E470" s="61">
        <f>E463</f>
        <v>-72.23081132736374</v>
      </c>
      <c r="F470" s="60"/>
      <c r="BO470" s="7">
        <f t="shared" si="15"/>
        <v>1.0050000000000001</v>
      </c>
      <c r="BR470" s="7">
        <f t="shared" si="16"/>
        <v>3.116476598273638</v>
      </c>
    </row>
    <row r="471" spans="2:70" ht="15.75">
      <c r="B471" s="73" t="s">
        <v>345</v>
      </c>
      <c r="C471" s="29" t="s">
        <v>356</v>
      </c>
      <c r="D471" s="30" t="s">
        <v>344</v>
      </c>
      <c r="E471" s="64">
        <f>-E464</f>
        <v>-72.23081132736371</v>
      </c>
      <c r="F471" s="60"/>
      <c r="BO471" s="7">
        <f t="shared" si="15"/>
        <v>1.34</v>
      </c>
      <c r="BR471" s="7">
        <f t="shared" si="16"/>
        <v>2.9692149532736383</v>
      </c>
    </row>
    <row r="472" spans="2:70" ht="15.75">
      <c r="B472" s="34" t="s">
        <v>374</v>
      </c>
      <c r="C472" s="72" t="s">
        <v>358</v>
      </c>
      <c r="D472" s="43" t="s">
        <v>359</v>
      </c>
      <c r="E472" s="74">
        <f>(E465+E458*E460)/(E457+E458)</f>
        <v>1.6749999999999998</v>
      </c>
      <c r="F472" s="104"/>
      <c r="BO472" s="7">
        <f t="shared" si="15"/>
        <v>1.675</v>
      </c>
      <c r="BR472" s="7">
        <f t="shared" si="16"/>
        <v>2.920127738273638</v>
      </c>
    </row>
    <row r="473" spans="2:70" ht="15.75">
      <c r="B473" s="33" t="s">
        <v>360</v>
      </c>
      <c r="C473" s="29" t="s">
        <v>361</v>
      </c>
      <c r="D473" s="30" t="s">
        <v>362</v>
      </c>
      <c r="E473" s="64">
        <f>E465*E472-1/2*E457*E472^2-1/2*E458*(E472-E460)^2+E463</f>
        <v>50.48722617263623</v>
      </c>
      <c r="F473" s="60"/>
      <c r="BO473" s="7">
        <f t="shared" si="15"/>
        <v>2.0100000000000002</v>
      </c>
      <c r="BR473" s="7">
        <f t="shared" si="16"/>
        <v>2.9692149532736383</v>
      </c>
    </row>
    <row r="474" spans="2:70" ht="13.5">
      <c r="B474" s="36"/>
      <c r="C474" s="80"/>
      <c r="D474" s="48"/>
      <c r="E474" s="60"/>
      <c r="F474" s="60"/>
      <c r="BO474" s="7">
        <f t="shared" si="15"/>
        <v>2.345</v>
      </c>
      <c r="BR474" s="7">
        <f t="shared" si="16"/>
        <v>3.116476598273638</v>
      </c>
    </row>
    <row r="475" spans="67:70" ht="13.5">
      <c r="BO475" s="7">
        <f t="shared" si="15"/>
        <v>2.68</v>
      </c>
      <c r="BR475" s="7">
        <f t="shared" si="16"/>
        <v>3.361912673273639</v>
      </c>
    </row>
    <row r="476" spans="1:70" ht="13.5">
      <c r="A476" s="9" t="s">
        <v>547</v>
      </c>
      <c r="BO476" s="7">
        <f t="shared" si="15"/>
        <v>3.015</v>
      </c>
      <c r="BR476" s="7">
        <f t="shared" si="16"/>
        <v>3.705523178273638</v>
      </c>
    </row>
    <row r="477" spans="2:70" ht="13.5">
      <c r="B477" s="9" t="s">
        <v>375</v>
      </c>
      <c r="C477" s="6" t="s">
        <v>330</v>
      </c>
      <c r="D477" s="69">
        <f>D435</f>
        <v>3.4250000000000003</v>
      </c>
      <c r="E477" s="7" t="s">
        <v>331</v>
      </c>
      <c r="F477" s="9" t="s">
        <v>279</v>
      </c>
      <c r="G477" s="6" t="s">
        <v>332</v>
      </c>
      <c r="H477" s="7">
        <f>H435</f>
        <v>0.25</v>
      </c>
      <c r="I477" s="7" t="s">
        <v>333</v>
      </c>
      <c r="BO477" s="7">
        <f t="shared" si="15"/>
        <v>3.35</v>
      </c>
      <c r="BR477" s="7">
        <f t="shared" si="16"/>
        <v>4.147308113273638</v>
      </c>
    </row>
    <row r="478" spans="67:70" ht="13.5">
      <c r="BO478" s="7">
        <f t="shared" si="15"/>
        <v>3.35</v>
      </c>
      <c r="BR478" s="7">
        <f>BR466</f>
        <v>3.4250000000000007</v>
      </c>
    </row>
    <row r="479" spans="2:71" ht="13.5">
      <c r="B479" s="31" t="s">
        <v>334</v>
      </c>
      <c r="C479" s="31" t="s">
        <v>335</v>
      </c>
      <c r="D479" s="31" t="s">
        <v>336</v>
      </c>
      <c r="E479" s="31" t="s">
        <v>580</v>
      </c>
      <c r="F479" s="36"/>
      <c r="BO479" s="7">
        <f t="shared" si="15"/>
        <v>3.35</v>
      </c>
      <c r="BS479" s="7">
        <f aca="true" t="shared" si="17" ref="BS479:BS489">BS415</f>
        <v>3.4250000000000007</v>
      </c>
    </row>
    <row r="480" spans="2:71" ht="16.5">
      <c r="B480" s="342" t="s">
        <v>338</v>
      </c>
      <c r="C480" s="72" t="s">
        <v>339</v>
      </c>
      <c r="D480" s="43" t="s">
        <v>340</v>
      </c>
      <c r="E480" s="59">
        <f>E439</f>
        <v>38.25000000000001</v>
      </c>
      <c r="F480" s="70"/>
      <c r="BO480" s="7">
        <f aca="true" t="shared" si="18" ref="BO480:BO490">$BO$479-($E$484*($BS$479-BS480)-0.5*$E$480*($BS$479-BS480)^2+($E$480-$E$481)/6/$D$477*($BS$479-BS480)^3+$E$482)/$BQ$445</f>
        <v>4.072308113273637</v>
      </c>
      <c r="BS480" s="7">
        <f t="shared" si="17"/>
        <v>3.4250000000000007</v>
      </c>
    </row>
    <row r="481" spans="2:71" ht="16.5">
      <c r="B481" s="360"/>
      <c r="C481" s="29" t="s">
        <v>341</v>
      </c>
      <c r="D481" s="30" t="s">
        <v>340</v>
      </c>
      <c r="E481" s="63">
        <f>E438</f>
        <v>69.075</v>
      </c>
      <c r="F481" s="70"/>
      <c r="BO481" s="7">
        <f t="shared" si="18"/>
        <v>3.806053806967258</v>
      </c>
      <c r="BS481" s="7">
        <f t="shared" si="17"/>
        <v>3.0825000000000005</v>
      </c>
    </row>
    <row r="482" spans="2:71" ht="15.75">
      <c r="B482" s="34" t="s">
        <v>342</v>
      </c>
      <c r="C482" s="72" t="s">
        <v>376</v>
      </c>
      <c r="D482" s="43" t="s">
        <v>344</v>
      </c>
      <c r="E482" s="61">
        <f>E329</f>
        <v>-72.23081132736371</v>
      </c>
      <c r="F482" s="60"/>
      <c r="BO482" s="7">
        <f t="shared" si="18"/>
        <v>3.5882851064421284</v>
      </c>
      <c r="BS482" s="7">
        <f t="shared" si="17"/>
        <v>2.74</v>
      </c>
    </row>
    <row r="483" spans="2:71" ht="15.75">
      <c r="B483" s="33" t="s">
        <v>345</v>
      </c>
      <c r="C483" s="29" t="s">
        <v>377</v>
      </c>
      <c r="D483" s="30" t="s">
        <v>344</v>
      </c>
      <c r="E483" s="64">
        <f>E331</f>
        <v>67.55331291160948</v>
      </c>
      <c r="F483" s="60"/>
      <c r="BO483" s="7">
        <f t="shared" si="18"/>
        <v>3.4226179768544993</v>
      </c>
      <c r="BS483" s="7">
        <f t="shared" si="17"/>
        <v>2.3975</v>
      </c>
    </row>
    <row r="484" spans="2:71" ht="15.75">
      <c r="B484" s="34" t="s">
        <v>342</v>
      </c>
      <c r="C484" s="72" t="s">
        <v>378</v>
      </c>
      <c r="D484" s="43" t="s">
        <v>348</v>
      </c>
      <c r="E484" s="61">
        <f>(2*E480+E481)/6*$D$477-(E482+E483)/$D$477</f>
        <v>84.46475546810345</v>
      </c>
      <c r="F484" s="60"/>
      <c r="BO484" s="7">
        <f t="shared" si="18"/>
        <v>3.3126683833606196</v>
      </c>
      <c r="BS484" s="7">
        <f t="shared" si="17"/>
        <v>2.0549999999999997</v>
      </c>
    </row>
    <row r="485" spans="2:71" ht="15.75">
      <c r="B485" s="33" t="s">
        <v>349</v>
      </c>
      <c r="C485" s="29" t="s">
        <v>379</v>
      </c>
      <c r="D485" s="30" t="s">
        <v>348</v>
      </c>
      <c r="E485" s="64">
        <f>E484-(E480+E481)/2*$D$477</f>
        <v>-99.3293070318966</v>
      </c>
      <c r="F485" s="60"/>
      <c r="BO485" s="7">
        <f t="shared" si="18"/>
        <v>3.2620522911167407</v>
      </c>
      <c r="BS485" s="7">
        <f t="shared" si="17"/>
        <v>1.7124999999999997</v>
      </c>
    </row>
    <row r="486" spans="2:71" ht="13.5">
      <c r="B486" s="34" t="s">
        <v>349</v>
      </c>
      <c r="C486" s="43" t="str">
        <f>"x="&amp;J457</f>
        <v>x=0</v>
      </c>
      <c r="D486" s="43" t="s">
        <v>351</v>
      </c>
      <c r="E486" s="61">
        <f>E484-E480*$J457+(E480-E481)/2/$D$477*$J457^2</f>
        <v>84.46475546810345</v>
      </c>
      <c r="F486" s="60"/>
      <c r="BO486" s="7">
        <f t="shared" si="18"/>
        <v>3.2743856652791115</v>
      </c>
      <c r="BS486" s="7">
        <f t="shared" si="17"/>
        <v>1.3699999999999997</v>
      </c>
    </row>
    <row r="487" spans="2:71" ht="15.75">
      <c r="B487" s="72" t="s">
        <v>502</v>
      </c>
      <c r="C487" s="43" t="str">
        <f>"x="&amp;J458</f>
        <v>x=0.5</v>
      </c>
      <c r="D487" s="43" t="s">
        <v>139</v>
      </c>
      <c r="E487" s="61">
        <f>E484-E480*$J458+(E480-E481)/2/$D$477*$J458^2</f>
        <v>64.21475546810345</v>
      </c>
      <c r="F487" s="60"/>
      <c r="J487" s="49">
        <v>0</v>
      </c>
      <c r="BO487" s="7">
        <f t="shared" si="18"/>
        <v>3.3532844710039824</v>
      </c>
      <c r="BS487" s="7">
        <f t="shared" si="17"/>
        <v>1.0274999999999996</v>
      </c>
    </row>
    <row r="488" spans="2:71" ht="13.5">
      <c r="B488" s="30" t="s">
        <v>504</v>
      </c>
      <c r="C488" s="30" t="str">
        <f>"x="&amp;J459</f>
        <v>x=2.925</v>
      </c>
      <c r="D488" s="30" t="s">
        <v>456</v>
      </c>
      <c r="E488" s="64">
        <f>E484-E480*$J459+(E480-E481)/2/$D$477*$J459^2</f>
        <v>-65.91680703189658</v>
      </c>
      <c r="F488" s="60"/>
      <c r="J488" s="49">
        <f>H496*2</f>
        <v>0.7</v>
      </c>
      <c r="BO488" s="7">
        <f t="shared" si="18"/>
        <v>3.5023646734476035</v>
      </c>
      <c r="BS488" s="7">
        <f t="shared" si="17"/>
        <v>0.6849999999999996</v>
      </c>
    </row>
    <row r="489" spans="2:71" ht="15.75">
      <c r="B489" s="34" t="s">
        <v>354</v>
      </c>
      <c r="C489" s="72" t="s">
        <v>355</v>
      </c>
      <c r="D489" s="43" t="s">
        <v>344</v>
      </c>
      <c r="E489" s="61">
        <f>E482</f>
        <v>-72.23081132736371</v>
      </c>
      <c r="F489" s="60"/>
      <c r="J489" s="7">
        <f>D496-2*H496</f>
        <v>2.6500000000000004</v>
      </c>
      <c r="BO489" s="7">
        <f t="shared" si="18"/>
        <v>3.725242237766225</v>
      </c>
      <c r="BS489" s="7">
        <f t="shared" si="17"/>
        <v>0.3424999999999995</v>
      </c>
    </row>
    <row r="490" spans="2:71" ht="15.75">
      <c r="B490" s="73" t="s">
        <v>392</v>
      </c>
      <c r="C490" s="29" t="s">
        <v>505</v>
      </c>
      <c r="D490" s="30" t="s">
        <v>506</v>
      </c>
      <c r="E490" s="64">
        <f>-E483</f>
        <v>-67.55331291160948</v>
      </c>
      <c r="F490" s="60"/>
      <c r="BO490" s="7">
        <f t="shared" si="18"/>
        <v>4.025533129116095</v>
      </c>
      <c r="BS490" s="7">
        <v>0</v>
      </c>
    </row>
    <row r="491" spans="2:71" ht="15.75">
      <c r="B491" s="34" t="s">
        <v>357</v>
      </c>
      <c r="C491" s="72" t="s">
        <v>358</v>
      </c>
      <c r="D491" s="43" t="s">
        <v>359</v>
      </c>
      <c r="E491" s="74">
        <f>(E480*$D$477-(E480^2*$D$477^2-2*E484*(E480-E481)*$D$477)^0.5)/(E480-E481)</f>
        <v>1.8189740203413742</v>
      </c>
      <c r="F491" s="104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BO491" s="7">
        <f aca="true" t="shared" si="19" ref="BO491:BO502">BO427</f>
        <v>3.35</v>
      </c>
      <c r="BS491" s="7">
        <v>0</v>
      </c>
    </row>
    <row r="492" spans="2:72" ht="15.75">
      <c r="B492" s="33" t="s">
        <v>507</v>
      </c>
      <c r="C492" s="29" t="s">
        <v>508</v>
      </c>
      <c r="D492" s="30" t="s">
        <v>509</v>
      </c>
      <c r="E492" s="64">
        <f>E484*E491-E480/2*E491^2+(E480-E481)*E491^3/6/$D$477+E482</f>
        <v>9.10257037404942</v>
      </c>
      <c r="F492" s="60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BO492" s="7">
        <f t="shared" si="19"/>
        <v>3.35</v>
      </c>
      <c r="BT492" s="7">
        <f>BT428</f>
        <v>0</v>
      </c>
    </row>
    <row r="493" spans="67:72" ht="13.5">
      <c r="BO493" s="7">
        <f t="shared" si="19"/>
        <v>3.35</v>
      </c>
      <c r="BT493" s="7">
        <f aca="true" t="shared" si="20" ref="BT493:BT503">($E$503*($BO$492-BO493)-0.5*$E$499*($BO$492-BO493)^2+($E$499-$E$500)/6/$D$496*($BO$492-BO493)^3+$E$501)/$BQ$445</f>
        <v>-0.6755331291160949</v>
      </c>
    </row>
    <row r="494" spans="67:72" ht="13.5">
      <c r="BO494" s="7">
        <f t="shared" si="19"/>
        <v>3.015</v>
      </c>
      <c r="BT494" s="7">
        <f t="shared" si="20"/>
        <v>-0.12710764411609474</v>
      </c>
    </row>
    <row r="495" spans="1:72" ht="13.5">
      <c r="A495" s="9" t="s">
        <v>548</v>
      </c>
      <c r="BO495" s="7">
        <f t="shared" si="19"/>
        <v>2.68</v>
      </c>
      <c r="BT495" s="7">
        <f t="shared" si="20"/>
        <v>0.29944551088390525</v>
      </c>
    </row>
    <row r="496" spans="2:72" ht="13.5">
      <c r="B496" s="9" t="s">
        <v>329</v>
      </c>
      <c r="C496" s="6" t="s">
        <v>330</v>
      </c>
      <c r="D496" s="69">
        <f>D454</f>
        <v>3.35</v>
      </c>
      <c r="E496" s="7" t="s">
        <v>331</v>
      </c>
      <c r="F496" s="9" t="s">
        <v>279</v>
      </c>
      <c r="G496" s="6" t="s">
        <v>332</v>
      </c>
      <c r="H496" s="7">
        <f>G77/1000</f>
        <v>0.35</v>
      </c>
      <c r="I496" s="7" t="s">
        <v>333</v>
      </c>
      <c r="BO496" s="7">
        <f t="shared" si="19"/>
        <v>2.345</v>
      </c>
      <c r="BT496" s="7">
        <f t="shared" si="20"/>
        <v>0.6041263358839055</v>
      </c>
    </row>
    <row r="497" spans="67:72" ht="13.5">
      <c r="BO497" s="7">
        <f t="shared" si="19"/>
        <v>2.0100000000000002</v>
      </c>
      <c r="BT497" s="7">
        <f t="shared" si="20"/>
        <v>0.7869348308839054</v>
      </c>
    </row>
    <row r="498" spans="2:72" ht="13.5">
      <c r="B498" s="31" t="s">
        <v>334</v>
      </c>
      <c r="C498" s="31" t="s">
        <v>335</v>
      </c>
      <c r="D498" s="31" t="s">
        <v>336</v>
      </c>
      <c r="E498" s="31" t="s">
        <v>337</v>
      </c>
      <c r="F498" s="36"/>
      <c r="BL498" s="48"/>
      <c r="BO498" s="7">
        <f t="shared" si="19"/>
        <v>1.6750000000000003</v>
      </c>
      <c r="BT498" s="7">
        <f t="shared" si="20"/>
        <v>0.8478709958839056</v>
      </c>
    </row>
    <row r="499" spans="2:72" ht="16.5">
      <c r="B499" s="342" t="s">
        <v>338</v>
      </c>
      <c r="C499" s="72" t="s">
        <v>339</v>
      </c>
      <c r="D499" s="43" t="s">
        <v>340</v>
      </c>
      <c r="E499" s="59">
        <f>F249</f>
        <v>108.59641791044777</v>
      </c>
      <c r="F499" s="70"/>
      <c r="BO499" s="7">
        <f t="shared" si="19"/>
        <v>1.3400000000000003</v>
      </c>
      <c r="BT499" s="7">
        <f t="shared" si="20"/>
        <v>0.7869348308839059</v>
      </c>
    </row>
    <row r="500" spans="2:72" ht="16.5">
      <c r="B500" s="360"/>
      <c r="C500" s="29" t="s">
        <v>341</v>
      </c>
      <c r="D500" s="30" t="s">
        <v>340</v>
      </c>
      <c r="E500" s="63">
        <f>G249</f>
        <v>108.59641791044777</v>
      </c>
      <c r="F500" s="70"/>
      <c r="BO500" s="7">
        <f t="shared" si="19"/>
        <v>1.0050000000000003</v>
      </c>
      <c r="BT500" s="7">
        <f t="shared" si="20"/>
        <v>0.6041263358839055</v>
      </c>
    </row>
    <row r="501" spans="2:72" ht="15.75">
      <c r="B501" s="34" t="s">
        <v>342</v>
      </c>
      <c r="C501" s="72" t="s">
        <v>385</v>
      </c>
      <c r="D501" s="43" t="s">
        <v>344</v>
      </c>
      <c r="E501" s="61">
        <f>E333</f>
        <v>-67.55331291160948</v>
      </c>
      <c r="F501" s="60"/>
      <c r="BO501" s="7">
        <f t="shared" si="19"/>
        <v>0.6700000000000004</v>
      </c>
      <c r="BT501" s="7">
        <f t="shared" si="20"/>
        <v>0.2994455108839057</v>
      </c>
    </row>
    <row r="502" spans="2:72" ht="15.75">
      <c r="B502" s="33" t="s">
        <v>345</v>
      </c>
      <c r="C502" s="29" t="s">
        <v>386</v>
      </c>
      <c r="D502" s="30" t="s">
        <v>344</v>
      </c>
      <c r="E502" s="64">
        <f>E335</f>
        <v>67.55331291160951</v>
      </c>
      <c r="F502" s="60"/>
      <c r="BO502" s="7">
        <f t="shared" si="19"/>
        <v>0.33500000000000035</v>
      </c>
      <c r="BT502" s="7">
        <f t="shared" si="20"/>
        <v>-0.1271076441160946</v>
      </c>
    </row>
    <row r="503" spans="2:72" ht="15.75">
      <c r="B503" s="34" t="s">
        <v>342</v>
      </c>
      <c r="C503" s="72" t="s">
        <v>387</v>
      </c>
      <c r="D503" s="43" t="s">
        <v>348</v>
      </c>
      <c r="E503" s="61">
        <f>(2*E499+E500)/6*$D$496-(E501+E502)/$D$496</f>
        <v>181.89900000000003</v>
      </c>
      <c r="F503" s="60"/>
      <c r="BO503" s="7">
        <v>0</v>
      </c>
      <c r="BT503" s="7">
        <f t="shared" si="20"/>
        <v>-0.6755331291160936</v>
      </c>
    </row>
    <row r="504" spans="2:72" ht="15.75">
      <c r="B504" s="33" t="s">
        <v>349</v>
      </c>
      <c r="C504" s="29" t="s">
        <v>388</v>
      </c>
      <c r="D504" s="30" t="s">
        <v>348</v>
      </c>
      <c r="E504" s="64">
        <f>E503-(E499+E500)/2*$D$496</f>
        <v>-181.89900000000003</v>
      </c>
      <c r="F504" s="60"/>
      <c r="BO504" s="7">
        <v>0</v>
      </c>
      <c r="BT504" s="7">
        <f>BT440</f>
        <v>0</v>
      </c>
    </row>
    <row r="505" spans="2:6" ht="13.5">
      <c r="B505" s="34" t="s">
        <v>349</v>
      </c>
      <c r="C505" s="43" t="str">
        <f>"x="&amp;J487</f>
        <v>x=0</v>
      </c>
      <c r="D505" s="43" t="s">
        <v>351</v>
      </c>
      <c r="E505" s="61">
        <f>E503-E499*$J487+(E499-E500)/2/$D$454*$J487^2</f>
        <v>181.89900000000003</v>
      </c>
      <c r="F505" s="60"/>
    </row>
    <row r="506" spans="2:6" ht="15.75">
      <c r="B506" s="72" t="s">
        <v>352</v>
      </c>
      <c r="C506" s="43" t="str">
        <f>"x="&amp;J488</f>
        <v>x=0.7</v>
      </c>
      <c r="D506" s="43" t="s">
        <v>351</v>
      </c>
      <c r="E506" s="61">
        <f>E503-E499*$J488+(E499-E500)/2/$D$454*$J488^2</f>
        <v>105.8815074626866</v>
      </c>
      <c r="F506" s="60"/>
    </row>
    <row r="507" spans="2:6" ht="13.5">
      <c r="B507" s="30" t="s">
        <v>353</v>
      </c>
      <c r="C507" s="30" t="str">
        <f>"x="&amp;J489</f>
        <v>x=2.65</v>
      </c>
      <c r="D507" s="30" t="s">
        <v>351</v>
      </c>
      <c r="E507" s="64">
        <f>E503-E499*$J489+(E499-E500)/2/$D$454*$J489^2</f>
        <v>-105.88150746268659</v>
      </c>
      <c r="F507" s="60"/>
    </row>
    <row r="508" spans="2:6" ht="15.75">
      <c r="B508" s="34" t="s">
        <v>354</v>
      </c>
      <c r="C508" s="72" t="s">
        <v>389</v>
      </c>
      <c r="D508" s="43" t="s">
        <v>344</v>
      </c>
      <c r="E508" s="61">
        <f>E501</f>
        <v>-67.55331291160948</v>
      </c>
      <c r="F508" s="60"/>
    </row>
    <row r="509" spans="2:6" ht="15.75">
      <c r="B509" s="73" t="s">
        <v>345</v>
      </c>
      <c r="C509" s="29" t="s">
        <v>355</v>
      </c>
      <c r="D509" s="30" t="s">
        <v>344</v>
      </c>
      <c r="E509" s="64">
        <f>-E502</f>
        <v>-67.55331291160951</v>
      </c>
      <c r="F509" s="60"/>
    </row>
    <row r="510" spans="2:6" ht="15.75">
      <c r="B510" s="34" t="s">
        <v>357</v>
      </c>
      <c r="C510" s="72" t="s">
        <v>358</v>
      </c>
      <c r="D510" s="43" t="s">
        <v>359</v>
      </c>
      <c r="E510" s="74">
        <f>IF(E499=E500,$D$496/2,(E499*$D$496-(E499^2*$D$496^2-2*E503*(E499-E500)*$D$496)^0.5)/(E499-E500))</f>
        <v>1.675</v>
      </c>
      <c r="F510" s="104"/>
    </row>
    <row r="511" spans="2:6" ht="15.75">
      <c r="B511" s="33" t="s">
        <v>360</v>
      </c>
      <c r="C511" s="29" t="s">
        <v>361</v>
      </c>
      <c r="D511" s="30" t="s">
        <v>362</v>
      </c>
      <c r="E511" s="64">
        <f>E503*E510-E499/2*E510^2+(E499-E500)*E510^3/6/$D$454+E501</f>
        <v>84.78709958839059</v>
      </c>
      <c r="F511" s="60"/>
    </row>
    <row r="514" ht="13.5">
      <c r="A514" s="9" t="s">
        <v>549</v>
      </c>
    </row>
    <row r="532" ht="13.5">
      <c r="A532" s="9" t="s">
        <v>550</v>
      </c>
    </row>
    <row r="533" ht="13.5">
      <c r="B533" s="9"/>
    </row>
    <row r="534" spans="3:8" ht="13.5">
      <c r="C534" s="338" t="s">
        <v>391</v>
      </c>
      <c r="D534" s="341"/>
      <c r="E534" s="28" t="s">
        <v>392</v>
      </c>
      <c r="F534" s="27" t="s">
        <v>393</v>
      </c>
      <c r="G534" s="338" t="s">
        <v>511</v>
      </c>
      <c r="H534" s="339"/>
    </row>
    <row r="535" spans="3:8" ht="13.5">
      <c r="C535" s="339"/>
      <c r="D535" s="341"/>
      <c r="E535" s="29" t="s">
        <v>394</v>
      </c>
      <c r="F535" s="29" t="s">
        <v>395</v>
      </c>
      <c r="G535" s="31" t="s">
        <v>396</v>
      </c>
      <c r="H535" s="32" t="s">
        <v>397</v>
      </c>
    </row>
    <row r="536" spans="3:8" ht="13.5">
      <c r="C536" s="338" t="s">
        <v>398</v>
      </c>
      <c r="D536" s="76" t="s">
        <v>399</v>
      </c>
      <c r="E536" s="77">
        <f>E447</f>
        <v>-67.55331291160951</v>
      </c>
      <c r="F536" s="77">
        <f>F538+$D$435*$E$6*$E$50</f>
        <v>175.898375</v>
      </c>
      <c r="G536" s="77">
        <f>E442</f>
        <v>99.3293070318966</v>
      </c>
      <c r="H536" s="77">
        <f>E445</f>
        <v>65.91680703189661</v>
      </c>
    </row>
    <row r="537" spans="3:8" ht="13.5">
      <c r="C537" s="339"/>
      <c r="D537" s="34" t="s">
        <v>400</v>
      </c>
      <c r="E537" s="61">
        <f>E450</f>
        <v>9.10257037404942</v>
      </c>
      <c r="F537" s="61">
        <f>F538+$E$6*$E$50*($D$435-$E$449)</f>
        <v>162.12670222442728</v>
      </c>
      <c r="G537" s="43">
        <v>0</v>
      </c>
      <c r="H537" s="34" t="s">
        <v>401</v>
      </c>
    </row>
    <row r="538" spans="3:8" ht="13.5">
      <c r="C538" s="339"/>
      <c r="D538" s="30" t="s">
        <v>403</v>
      </c>
      <c r="E538" s="64">
        <f>E448</f>
        <v>-72.23081132736372</v>
      </c>
      <c r="F538" s="64">
        <f>G539</f>
        <v>146.529</v>
      </c>
      <c r="G538" s="64">
        <f>E485</f>
        <v>-99.3293070318966</v>
      </c>
      <c r="H538" s="64">
        <f>E446</f>
        <v>-64.21475546810342</v>
      </c>
    </row>
    <row r="539" spans="3:8" ht="13.5">
      <c r="C539" s="338" t="s">
        <v>293</v>
      </c>
      <c r="D539" s="76" t="s">
        <v>403</v>
      </c>
      <c r="E539" s="77">
        <f>E470</f>
        <v>-72.23081132736374</v>
      </c>
      <c r="F539" s="77">
        <f>-G538</f>
        <v>99.3293070318966</v>
      </c>
      <c r="G539" s="77">
        <f>E465</f>
        <v>146.529</v>
      </c>
      <c r="H539" s="77">
        <f>E468</f>
        <v>102.78899999999999</v>
      </c>
    </row>
    <row r="540" spans="3:8" ht="13.5">
      <c r="C540" s="339"/>
      <c r="D540" s="34" t="s">
        <v>400</v>
      </c>
      <c r="E540" s="61">
        <f>E473</f>
        <v>50.48722617263623</v>
      </c>
      <c r="F540" s="61">
        <f>F539</f>
        <v>99.3293070318966</v>
      </c>
      <c r="G540" s="43">
        <v>0</v>
      </c>
      <c r="H540" s="34" t="s">
        <v>401</v>
      </c>
    </row>
    <row r="541" spans="3:8" ht="13.5">
      <c r="C541" s="339"/>
      <c r="D541" s="30" t="s">
        <v>404</v>
      </c>
      <c r="E541" s="64">
        <f>E471</f>
        <v>-72.23081132736371</v>
      </c>
      <c r="F541" s="64">
        <f>F540</f>
        <v>99.3293070318966</v>
      </c>
      <c r="G541" s="64">
        <f>E466</f>
        <v>-146.529</v>
      </c>
      <c r="H541" s="64">
        <f>E469</f>
        <v>-102.78900000000002</v>
      </c>
    </row>
    <row r="542" spans="3:8" ht="13.5">
      <c r="C542" s="338" t="s">
        <v>261</v>
      </c>
      <c r="D542" s="76" t="s">
        <v>405</v>
      </c>
      <c r="E542" s="77">
        <f>E489</f>
        <v>-72.23081132736371</v>
      </c>
      <c r="F542" s="77">
        <f>-G541</f>
        <v>146.529</v>
      </c>
      <c r="G542" s="77">
        <f>E484</f>
        <v>84.46475546810345</v>
      </c>
      <c r="H542" s="77">
        <f>E487</f>
        <v>64.21475546810345</v>
      </c>
    </row>
    <row r="543" spans="3:63" ht="13.5">
      <c r="C543" s="339"/>
      <c r="D543" s="34" t="s">
        <v>406</v>
      </c>
      <c r="E543" s="61">
        <f>E492</f>
        <v>9.10257037404942</v>
      </c>
      <c r="F543" s="61">
        <f>F542+$E$6*$E$50*E491</f>
        <v>162.12670222442728</v>
      </c>
      <c r="G543" s="43">
        <v>0</v>
      </c>
      <c r="H543" s="34" t="s">
        <v>401</v>
      </c>
      <c r="BK543" s="69"/>
    </row>
    <row r="544" spans="3:63" ht="13.5">
      <c r="C544" s="339"/>
      <c r="D544" s="30" t="s">
        <v>407</v>
      </c>
      <c r="E544" s="64">
        <f>E490</f>
        <v>-67.55331291160948</v>
      </c>
      <c r="F544" s="64">
        <f>F542+$D$435*$E$6*$E$50</f>
        <v>175.898375</v>
      </c>
      <c r="G544" s="64">
        <f>E485</f>
        <v>-99.3293070318966</v>
      </c>
      <c r="H544" s="64">
        <f>E488</f>
        <v>-65.91680703189658</v>
      </c>
      <c r="BK544" s="69"/>
    </row>
    <row r="545" spans="3:63" ht="13.5">
      <c r="C545" s="338" t="s">
        <v>23</v>
      </c>
      <c r="D545" s="76" t="s">
        <v>408</v>
      </c>
      <c r="E545" s="77">
        <f>E508</f>
        <v>-67.55331291160948</v>
      </c>
      <c r="F545" s="77">
        <f>-G544</f>
        <v>99.3293070318966</v>
      </c>
      <c r="G545" s="77">
        <f>E503</f>
        <v>181.89900000000003</v>
      </c>
      <c r="H545" s="77">
        <f>E506</f>
        <v>105.8815074626866</v>
      </c>
      <c r="BK545" s="69"/>
    </row>
    <row r="546" spans="3:63" ht="13.5">
      <c r="C546" s="339"/>
      <c r="D546" s="34" t="s">
        <v>512</v>
      </c>
      <c r="E546" s="61">
        <f>E511</f>
        <v>84.78709958839059</v>
      </c>
      <c r="F546" s="61">
        <f>F545</f>
        <v>99.3293070318966</v>
      </c>
      <c r="G546" s="43">
        <v>0</v>
      </c>
      <c r="H546" s="34" t="s">
        <v>401</v>
      </c>
      <c r="BK546" s="69"/>
    </row>
    <row r="547" spans="3:63" ht="13.5">
      <c r="C547" s="339"/>
      <c r="D547" s="30" t="s">
        <v>410</v>
      </c>
      <c r="E547" s="64">
        <f>E509</f>
        <v>-67.55331291160951</v>
      </c>
      <c r="F547" s="64">
        <f>F546</f>
        <v>99.3293070318966</v>
      </c>
      <c r="G547" s="64">
        <f>E504</f>
        <v>-181.89900000000003</v>
      </c>
      <c r="H547" s="64">
        <f>E507</f>
        <v>-105.88150746268659</v>
      </c>
      <c r="BK547" s="69"/>
    </row>
    <row r="548" ht="13.5">
      <c r="BK548" s="69"/>
    </row>
    <row r="549" ht="13.5">
      <c r="BK549" s="69"/>
    </row>
    <row r="550" spans="1:63" ht="13.5">
      <c r="A550" s="9" t="s">
        <v>551</v>
      </c>
      <c r="BK550" s="69"/>
    </row>
    <row r="551" spans="1:63" ht="13.5">
      <c r="A551" s="9" t="s">
        <v>552</v>
      </c>
      <c r="BK551" s="69"/>
    </row>
    <row r="552" spans="1:63" ht="14.25" customHeight="1">
      <c r="A552" s="9"/>
      <c r="B552" s="9" t="s">
        <v>553</v>
      </c>
      <c r="BK552" s="69"/>
    </row>
    <row r="553" ht="14.25" customHeight="1">
      <c r="BK553" s="69"/>
    </row>
    <row r="554" ht="14.25" customHeight="1">
      <c r="BK554" s="69"/>
    </row>
    <row r="555" ht="14.25" customHeight="1">
      <c r="BK555" s="69"/>
    </row>
    <row r="556" ht="14.25" customHeight="1">
      <c r="BK556" s="69"/>
    </row>
    <row r="557" ht="14.25" customHeight="1">
      <c r="BK557" s="69"/>
    </row>
    <row r="558" ht="15">
      <c r="BK558" s="69"/>
    </row>
    <row r="559" ht="15">
      <c r="BK559" s="69"/>
    </row>
    <row r="560" ht="15">
      <c r="BK560" s="69"/>
    </row>
    <row r="561" ht="15">
      <c r="BK561" s="69"/>
    </row>
    <row r="562" ht="15">
      <c r="BK562" s="69"/>
    </row>
    <row r="563" ht="13.5">
      <c r="BK563" s="69"/>
    </row>
    <row r="564" spans="3:63" ht="16.5">
      <c r="C564" s="51" t="s">
        <v>412</v>
      </c>
      <c r="D564" s="7">
        <v>160</v>
      </c>
      <c r="E564" s="7" t="s">
        <v>413</v>
      </c>
      <c r="G564" s="6" t="s">
        <v>414</v>
      </c>
      <c r="H564" s="7">
        <v>1000</v>
      </c>
      <c r="I564" s="7" t="s">
        <v>415</v>
      </c>
      <c r="BK564" s="69"/>
    </row>
    <row r="565" spans="3:63" ht="13.5">
      <c r="C565" s="6" t="s">
        <v>416</v>
      </c>
      <c r="D565" s="7">
        <v>15</v>
      </c>
      <c r="BK565" s="69"/>
    </row>
    <row r="566" spans="1:63" ht="13.5">
      <c r="A566" s="9"/>
      <c r="BK566" s="69"/>
    </row>
    <row r="567" spans="1:63" ht="15.75">
      <c r="A567" s="338" t="s">
        <v>513</v>
      </c>
      <c r="B567" s="341"/>
      <c r="C567" s="78" t="s">
        <v>420</v>
      </c>
      <c r="D567" s="78" t="s">
        <v>421</v>
      </c>
      <c r="E567" s="78" t="s">
        <v>422</v>
      </c>
      <c r="F567" s="78" t="s">
        <v>423</v>
      </c>
      <c r="G567" s="79" t="s">
        <v>424</v>
      </c>
      <c r="H567" s="78" t="s">
        <v>425</v>
      </c>
      <c r="I567" s="78" t="s">
        <v>426</v>
      </c>
      <c r="BK567" s="69"/>
    </row>
    <row r="568" spans="1:63" ht="16.5">
      <c r="A568" s="339"/>
      <c r="B568" s="341"/>
      <c r="C568" s="38" t="s">
        <v>420</v>
      </c>
      <c r="D568" s="30" t="s">
        <v>442</v>
      </c>
      <c r="E568" s="30" t="s">
        <v>442</v>
      </c>
      <c r="F568" s="30" t="s">
        <v>442</v>
      </c>
      <c r="G568" s="30" t="s">
        <v>514</v>
      </c>
      <c r="H568" s="33" t="s">
        <v>515</v>
      </c>
      <c r="I568" s="30" t="s">
        <v>516</v>
      </c>
      <c r="BK568" s="69"/>
    </row>
    <row r="569" spans="1:63" ht="13.5">
      <c r="A569" s="338" t="s">
        <v>497</v>
      </c>
      <c r="B569" s="76" t="s">
        <v>399</v>
      </c>
      <c r="C569" s="82">
        <f>F536*1000</f>
        <v>175898.375</v>
      </c>
      <c r="D569" s="82">
        <f>ABS(E536)/F536*1000</f>
        <v>384.0473961832195</v>
      </c>
      <c r="E569" s="76">
        <f>$G$72</f>
        <v>250</v>
      </c>
      <c r="F569" s="76">
        <f>E569-$E$6*1000/2</f>
        <v>75</v>
      </c>
      <c r="G569" s="83">
        <f>O718</f>
        <v>7.337005134172877</v>
      </c>
      <c r="H569" s="83">
        <f aca="true" t="shared" si="21" ref="H569:H580">15*G569/(15*G569+$D$564)</f>
        <v>0.40752826508594425</v>
      </c>
      <c r="I569" s="82">
        <f aca="true" t="shared" si="22" ref="I569:I580">MAX(0,(G569/2*H569-C569/$H$564/E569)/$D$564*$H$564*E569)</f>
        <v>1236.601541606358</v>
      </c>
      <c r="BK569" s="69"/>
    </row>
    <row r="570" spans="1:63" ht="13.5">
      <c r="A570" s="339"/>
      <c r="B570" s="34" t="s">
        <v>400</v>
      </c>
      <c r="C570" s="84">
        <f aca="true" t="shared" si="23" ref="C570:C579">F537*1000</f>
        <v>162126.70222442728</v>
      </c>
      <c r="D570" s="84">
        <f aca="true" t="shared" si="24" ref="D570:D580">ABS(E537)/F537*1000</f>
        <v>56.144794467286445</v>
      </c>
      <c r="E570" s="43">
        <f>IF(E537&gt;0,$G$73,$G$72)</f>
        <v>250</v>
      </c>
      <c r="F570" s="43">
        <f>E570-$E$6*1000/2</f>
        <v>75</v>
      </c>
      <c r="G570" s="74">
        <f>S718</f>
        <v>3.1965011277252544</v>
      </c>
      <c r="H570" s="74">
        <f t="shared" si="21"/>
        <v>0.23057508753651076</v>
      </c>
      <c r="I570" s="84">
        <f t="shared" si="22"/>
        <v>0</v>
      </c>
      <c r="BK570" s="69"/>
    </row>
    <row r="571" spans="1:63" ht="13.5">
      <c r="A571" s="339"/>
      <c r="B571" s="30" t="s">
        <v>403</v>
      </c>
      <c r="C571" s="85">
        <f t="shared" si="23"/>
        <v>146529</v>
      </c>
      <c r="D571" s="85">
        <f t="shared" si="24"/>
        <v>492.94550107735483</v>
      </c>
      <c r="E571" s="30">
        <f>G74</f>
        <v>250</v>
      </c>
      <c r="F571" s="30">
        <f>E571-$E$6*1000/2</f>
        <v>75</v>
      </c>
      <c r="G571" s="86">
        <f>W718</f>
        <v>7.48650365381014</v>
      </c>
      <c r="H571" s="86">
        <f t="shared" si="21"/>
        <v>0.4124075035733759</v>
      </c>
      <c r="I571" s="85">
        <f t="shared" si="22"/>
        <v>1496.2955330943728</v>
      </c>
      <c r="BK571" s="69"/>
    </row>
    <row r="572" spans="1:63" ht="13.5">
      <c r="A572" s="338" t="s">
        <v>293</v>
      </c>
      <c r="B572" s="76" t="s">
        <v>403</v>
      </c>
      <c r="C572" s="84">
        <f t="shared" si="23"/>
        <v>99329.3070318966</v>
      </c>
      <c r="D572" s="84">
        <f t="shared" si="24"/>
        <v>727.1852939049398</v>
      </c>
      <c r="E572" s="43">
        <f>$G$75</f>
        <v>300</v>
      </c>
      <c r="F572" s="43">
        <f>E572-$E$7*1000/2</f>
        <v>100</v>
      </c>
      <c r="G572" s="74">
        <f>AA718</f>
        <v>5.84689629421169</v>
      </c>
      <c r="H572" s="74">
        <f t="shared" si="21"/>
        <v>0.35406630949743223</v>
      </c>
      <c r="I572" s="84">
        <f t="shared" si="22"/>
        <v>1319.9940118997827</v>
      </c>
      <c r="BK572" s="69"/>
    </row>
    <row r="573" spans="1:63" ht="13.5">
      <c r="A573" s="339"/>
      <c r="B573" s="34" t="s">
        <v>400</v>
      </c>
      <c r="C573" s="84">
        <f t="shared" si="23"/>
        <v>99329.3070318966</v>
      </c>
      <c r="D573" s="84">
        <f t="shared" si="24"/>
        <v>508.281268452057</v>
      </c>
      <c r="E573" s="43">
        <f>IF(E540&gt;0,$G$76,$G$75)</f>
        <v>300</v>
      </c>
      <c r="F573" s="43">
        <f>E573-$E$7*1000/2</f>
        <v>100</v>
      </c>
      <c r="G573" s="74">
        <f>AE718</f>
        <v>4.815875176542731</v>
      </c>
      <c r="H573" s="74">
        <f t="shared" si="21"/>
        <v>0.31105197229968806</v>
      </c>
      <c r="I573" s="84">
        <f t="shared" si="22"/>
        <v>783.5550860625757</v>
      </c>
      <c r="BK573" s="69"/>
    </row>
    <row r="574" spans="1:63" ht="13.5">
      <c r="A574" s="339"/>
      <c r="B574" s="30" t="s">
        <v>404</v>
      </c>
      <c r="C574" s="85">
        <f t="shared" si="23"/>
        <v>99329.3070318966</v>
      </c>
      <c r="D574" s="85">
        <f t="shared" si="24"/>
        <v>727.1852939049396</v>
      </c>
      <c r="E574" s="30">
        <f>G75</f>
        <v>300</v>
      </c>
      <c r="F574" s="30">
        <f>E574-$E$7*1000/2</f>
        <v>100</v>
      </c>
      <c r="G574" s="86">
        <f>AI718</f>
        <v>5.846896294211689</v>
      </c>
      <c r="H574" s="86">
        <f t="shared" si="21"/>
        <v>0.35406630949743223</v>
      </c>
      <c r="I574" s="85">
        <f t="shared" si="22"/>
        <v>1319.9940118997827</v>
      </c>
      <c r="BK574" s="69"/>
    </row>
    <row r="575" spans="1:63" ht="13.5">
      <c r="A575" s="338" t="s">
        <v>261</v>
      </c>
      <c r="B575" s="76" t="s">
        <v>405</v>
      </c>
      <c r="C575" s="84">
        <f t="shared" si="23"/>
        <v>146529</v>
      </c>
      <c r="D575" s="84">
        <f t="shared" si="24"/>
        <v>492.9455010773547</v>
      </c>
      <c r="E575" s="43">
        <f>G74</f>
        <v>250</v>
      </c>
      <c r="F575" s="43">
        <f>E575-$E$6*1000/2</f>
        <v>75</v>
      </c>
      <c r="G575" s="74">
        <f>AM718</f>
        <v>7.486503653810138</v>
      </c>
      <c r="H575" s="74">
        <f t="shared" si="21"/>
        <v>0.41240750357337586</v>
      </c>
      <c r="I575" s="84">
        <f t="shared" si="22"/>
        <v>1496.2955330943719</v>
      </c>
      <c r="BK575" s="69"/>
    </row>
    <row r="576" spans="1:63" ht="13.5">
      <c r="A576" s="339"/>
      <c r="B576" s="34" t="s">
        <v>406</v>
      </c>
      <c r="C576" s="84">
        <f t="shared" si="23"/>
        <v>162126.70222442728</v>
      </c>
      <c r="D576" s="84">
        <f t="shared" si="24"/>
        <v>56.144794467286445</v>
      </c>
      <c r="E576" s="43">
        <f>IF(E543&gt;0,$G$73,$G$72)</f>
        <v>250</v>
      </c>
      <c r="F576" s="43">
        <f>E576-$E$6*1000/2</f>
        <v>75</v>
      </c>
      <c r="G576" s="74">
        <f>AQ718</f>
        <v>3.1965011277252544</v>
      </c>
      <c r="H576" s="74">
        <f t="shared" si="21"/>
        <v>0.23057508753651076</v>
      </c>
      <c r="I576" s="84">
        <f t="shared" si="22"/>
        <v>0</v>
      </c>
      <c r="BK576" s="69"/>
    </row>
    <row r="577" spans="1:63" ht="13.5">
      <c r="A577" s="339"/>
      <c r="B577" s="30" t="s">
        <v>407</v>
      </c>
      <c r="C577" s="85">
        <f t="shared" si="23"/>
        <v>175898.375</v>
      </c>
      <c r="D577" s="85">
        <f t="shared" si="24"/>
        <v>384.04739618321935</v>
      </c>
      <c r="E577" s="30">
        <f>G72</f>
        <v>250</v>
      </c>
      <c r="F577" s="30">
        <f>E577-$E$6*1000/2</f>
        <v>75</v>
      </c>
      <c r="G577" s="86">
        <f>AU718</f>
        <v>7.337005134172875</v>
      </c>
      <c r="H577" s="86">
        <f t="shared" si="21"/>
        <v>0.4075282650859442</v>
      </c>
      <c r="I577" s="85">
        <f t="shared" si="22"/>
        <v>1236.601541606357</v>
      </c>
      <c r="BK577" s="69"/>
    </row>
    <row r="578" spans="1:63" ht="13.5">
      <c r="A578" s="338" t="s">
        <v>23</v>
      </c>
      <c r="B578" s="76" t="s">
        <v>408</v>
      </c>
      <c r="C578" s="84">
        <f t="shared" si="23"/>
        <v>99329.3070318966</v>
      </c>
      <c r="D578" s="84">
        <f>ABS(E545)/F545*1000</f>
        <v>680.09447493595</v>
      </c>
      <c r="E578" s="43">
        <f>$G$78</f>
        <v>340</v>
      </c>
      <c r="F578" s="43">
        <f>E578-$E$8*1000/2</f>
        <v>115</v>
      </c>
      <c r="G578" s="74">
        <f>AY718</f>
        <v>4.868568476314499</v>
      </c>
      <c r="H578" s="74">
        <f t="shared" si="21"/>
        <v>0.31338878565440464</v>
      </c>
      <c r="I578" s="84">
        <f t="shared" si="22"/>
        <v>1000.3062663848818</v>
      </c>
      <c r="BK578" s="69"/>
    </row>
    <row r="579" spans="1:63" ht="13.5">
      <c r="A579" s="339"/>
      <c r="B579" s="34" t="s">
        <v>512</v>
      </c>
      <c r="C579" s="84">
        <f t="shared" si="23"/>
        <v>99329.3070318966</v>
      </c>
      <c r="D579" s="84">
        <f t="shared" si="24"/>
        <v>853.5960042604926</v>
      </c>
      <c r="E579" s="43">
        <f>IF(E546&gt;0,$G$77,$G$78)</f>
        <v>350</v>
      </c>
      <c r="F579" s="43">
        <f>E579-$E$8*1000/2</f>
        <v>125</v>
      </c>
      <c r="G579" s="74">
        <f>BC718</f>
        <v>5.347702979769498</v>
      </c>
      <c r="H579" s="74">
        <f t="shared" si="21"/>
        <v>0.3339315313581247</v>
      </c>
      <c r="I579" s="84">
        <f t="shared" si="22"/>
        <v>1332.3740993287472</v>
      </c>
      <c r="BK579" s="69"/>
    </row>
    <row r="580" spans="1:63" ht="13.5">
      <c r="A580" s="339"/>
      <c r="B580" s="30" t="s">
        <v>410</v>
      </c>
      <c r="C580" s="85">
        <f>F547*1000</f>
        <v>99329.3070318966</v>
      </c>
      <c r="D580" s="85">
        <f t="shared" si="24"/>
        <v>680.0944749359502</v>
      </c>
      <c r="E580" s="30">
        <f>G78</f>
        <v>340</v>
      </c>
      <c r="F580" s="30">
        <f>E580-$E$8*1000/2</f>
        <v>115</v>
      </c>
      <c r="G580" s="86">
        <f>BG718</f>
        <v>4.8685684763145</v>
      </c>
      <c r="H580" s="86">
        <f t="shared" si="21"/>
        <v>0.3133887856544047</v>
      </c>
      <c r="I580" s="85">
        <f t="shared" si="22"/>
        <v>1000.3062663848823</v>
      </c>
      <c r="BK580" s="69"/>
    </row>
    <row r="581" ht="13.5">
      <c r="BK581" s="69"/>
    </row>
    <row r="582" spans="1:63" ht="13.5">
      <c r="A582" s="9" t="s">
        <v>554</v>
      </c>
      <c r="BK582" s="69"/>
    </row>
    <row r="583" spans="2:63" ht="13.5">
      <c r="B583" s="7" t="str">
        <f>IF(データ!B19=1,"必要鉄筋量を満たすように自動的に決定する","必要鉄筋量に関係なく，指定した鉄筋量を使用する")</f>
        <v>必要鉄筋量を満たすように自動的に決定する</v>
      </c>
      <c r="BK583" s="69"/>
    </row>
    <row r="584" ht="13.5">
      <c r="BK584" s="69"/>
    </row>
    <row r="585" spans="2:63" ht="13.5">
      <c r="B585" s="356" t="s">
        <v>513</v>
      </c>
      <c r="C585" s="357"/>
      <c r="D585" s="27" t="s">
        <v>279</v>
      </c>
      <c r="E585" s="27" t="s">
        <v>521</v>
      </c>
      <c r="F585" s="27" t="s">
        <v>429</v>
      </c>
      <c r="G585" s="76" t="s">
        <v>430</v>
      </c>
      <c r="H585" s="27" t="s">
        <v>522</v>
      </c>
      <c r="BK585" s="69"/>
    </row>
    <row r="586" spans="2:63" ht="16.5">
      <c r="B586" s="358"/>
      <c r="C586" s="359"/>
      <c r="D586" s="29" t="s">
        <v>523</v>
      </c>
      <c r="E586" s="33" t="s">
        <v>439</v>
      </c>
      <c r="F586" s="30" t="s">
        <v>435</v>
      </c>
      <c r="G586" s="30" t="s">
        <v>435</v>
      </c>
      <c r="H586" s="33" t="s">
        <v>439</v>
      </c>
      <c r="BK586" s="69"/>
    </row>
    <row r="587" spans="2:63" ht="13.5">
      <c r="B587" s="342" t="s">
        <v>9</v>
      </c>
      <c r="C587" s="27" t="s">
        <v>586</v>
      </c>
      <c r="D587" s="76">
        <f aca="true" t="shared" si="25" ref="D587:D593">G72</f>
        <v>250</v>
      </c>
      <c r="E587" s="82">
        <f>MAX(I569,I577,I578,I580)</f>
        <v>1236.601541606358</v>
      </c>
      <c r="F587" s="76" t="str">
        <f>IF(データ!$B$19=1,"D"&amp;P738,"D"&amp;S738)</f>
        <v>D22</v>
      </c>
      <c r="G587" s="76">
        <f>IF(データ!$B$19=1,Q738,T738)</f>
        <v>250</v>
      </c>
      <c r="H587" s="76">
        <f>IF(データ!$B$19=1,R738,U738)</f>
        <v>1548</v>
      </c>
      <c r="BK587" s="69"/>
    </row>
    <row r="588" spans="2:63" ht="13.5">
      <c r="B588" s="321"/>
      <c r="C588" s="34" t="s">
        <v>526</v>
      </c>
      <c r="D588" s="43">
        <f t="shared" si="25"/>
        <v>250</v>
      </c>
      <c r="E588" s="84">
        <f>MAX(I570,I576)</f>
        <v>0</v>
      </c>
      <c r="F588" s="43" t="str">
        <f>IF(データ!$B$19=1,"D"&amp;P739,"D"&amp;S739)</f>
        <v>D13</v>
      </c>
      <c r="G588" s="43">
        <f>IF(データ!$B$19=1,Q739,T739)</f>
        <v>250</v>
      </c>
      <c r="H588" s="43">
        <f>IF(データ!$B$19=1,R739,U739)</f>
        <v>507</v>
      </c>
      <c r="BK588" s="69"/>
    </row>
    <row r="589" spans="2:63" ht="13.5">
      <c r="B589" s="308"/>
      <c r="C589" s="33" t="s">
        <v>584</v>
      </c>
      <c r="D589" s="30">
        <f t="shared" si="25"/>
        <v>250</v>
      </c>
      <c r="E589" s="85">
        <f>MAX(I571,I572,I574,I575)</f>
        <v>1496.2955330943728</v>
      </c>
      <c r="F589" s="30" t="str">
        <f>IF(データ!$B$19=1,"D"&amp;P740,"D"&amp;S740)</f>
        <v>D22</v>
      </c>
      <c r="G589" s="30">
        <f>IF(データ!$B$19=1,Q740,T740)</f>
        <v>250</v>
      </c>
      <c r="H589" s="30">
        <f>IF(データ!$B$19=1,R740,U740)</f>
        <v>1548</v>
      </c>
      <c r="BK589" s="69"/>
    </row>
    <row r="590" spans="2:63" ht="13.5">
      <c r="B590" s="342" t="s">
        <v>468</v>
      </c>
      <c r="C590" s="27" t="s">
        <v>482</v>
      </c>
      <c r="D590" s="76">
        <f t="shared" si="25"/>
        <v>300</v>
      </c>
      <c r="E590" s="82">
        <f>E589</f>
        <v>1496.2955330943728</v>
      </c>
      <c r="F590" s="76" t="str">
        <f>IF(データ!$B$19=1,"D"&amp;P741,"D"&amp;S741)</f>
        <v>D22</v>
      </c>
      <c r="G590" s="76">
        <f>IF(データ!$B$19=1,Q741,T741)</f>
        <v>250</v>
      </c>
      <c r="H590" s="76">
        <f>IF(データ!$B$19=1,R741,U741)</f>
        <v>1548</v>
      </c>
      <c r="BK590" s="69"/>
    </row>
    <row r="591" spans="2:63" ht="13.5">
      <c r="B591" s="343"/>
      <c r="C591" s="33" t="s">
        <v>286</v>
      </c>
      <c r="D591" s="30">
        <f t="shared" si="25"/>
        <v>300</v>
      </c>
      <c r="E591" s="85">
        <f>I573</f>
        <v>783.5550860625757</v>
      </c>
      <c r="F591" s="30" t="str">
        <f>IF(データ!$B$19=1,"D"&amp;P742,"D"&amp;S742)</f>
        <v>D16</v>
      </c>
      <c r="G591" s="30">
        <f>IF(データ!$B$19=1,Q742,T742)</f>
        <v>250</v>
      </c>
      <c r="H591" s="30">
        <f>IF(データ!$B$19=1,R742,U742)</f>
        <v>794</v>
      </c>
      <c r="BK591" s="69"/>
    </row>
    <row r="592" spans="2:63" ht="13.5">
      <c r="B592" s="342" t="s">
        <v>10</v>
      </c>
      <c r="C592" s="27" t="s">
        <v>287</v>
      </c>
      <c r="D592" s="76">
        <f t="shared" si="25"/>
        <v>350</v>
      </c>
      <c r="E592" s="82">
        <f>I579</f>
        <v>1332.3740993287472</v>
      </c>
      <c r="F592" s="76" t="str">
        <f>IF(データ!$B$19=1,"D"&amp;P743,"D"&amp;S743)</f>
        <v>D22</v>
      </c>
      <c r="G592" s="76">
        <f>IF(データ!$B$19=1,Q743,T743)</f>
        <v>250</v>
      </c>
      <c r="H592" s="76">
        <f>IF(データ!$B$19=1,R743,U743)</f>
        <v>1548</v>
      </c>
      <c r="BK592" s="69"/>
    </row>
    <row r="593" spans="2:63" ht="13.5">
      <c r="B593" s="343"/>
      <c r="C593" s="33" t="s">
        <v>286</v>
      </c>
      <c r="D593" s="30">
        <f t="shared" si="25"/>
        <v>340</v>
      </c>
      <c r="E593" s="85">
        <f>E587</f>
        <v>1236.601541606358</v>
      </c>
      <c r="F593" s="30" t="str">
        <f>IF(データ!$B$19=1,"D"&amp;P744,"D"&amp;S744)</f>
        <v>D22</v>
      </c>
      <c r="G593" s="30">
        <f>IF(データ!$B$19=1,Q744,T744)</f>
        <v>250</v>
      </c>
      <c r="H593" s="30">
        <f>IF(データ!$B$19=1,R744,U744)</f>
        <v>1548</v>
      </c>
      <c r="BK593" s="69"/>
    </row>
    <row r="594" spans="2:63" ht="13.5">
      <c r="B594" s="48"/>
      <c r="C594" s="48"/>
      <c r="BK594" s="69"/>
    </row>
    <row r="595" spans="1:63" ht="13.5">
      <c r="A595" s="9" t="s">
        <v>555</v>
      </c>
      <c r="B595" s="48"/>
      <c r="C595" s="48"/>
      <c r="BK595" s="69"/>
    </row>
    <row r="596" spans="1:63" ht="13.5">
      <c r="A596" s="103" t="s">
        <v>556</v>
      </c>
      <c r="C596" s="48"/>
      <c r="BK596" s="69"/>
    </row>
    <row r="597" spans="1:63" ht="13.5">
      <c r="A597" s="103"/>
      <c r="B597" s="9" t="s">
        <v>557</v>
      </c>
      <c r="C597" s="48"/>
      <c r="BK597" s="69"/>
    </row>
    <row r="598" spans="1:63" ht="15">
      <c r="A598" s="103"/>
      <c r="C598" s="48"/>
      <c r="BK598" s="69"/>
    </row>
    <row r="599" spans="1:63" ht="15">
      <c r="A599" s="103"/>
      <c r="C599" s="48"/>
      <c r="BK599" s="69"/>
    </row>
    <row r="600" spans="1:63" ht="15">
      <c r="A600" s="103"/>
      <c r="C600" s="48"/>
      <c r="BK600" s="69"/>
    </row>
    <row r="601" spans="1:63" ht="15">
      <c r="A601" s="103"/>
      <c r="C601" s="48"/>
      <c r="BK601" s="69"/>
    </row>
    <row r="602" spans="1:63" ht="15">
      <c r="A602" s="103"/>
      <c r="C602" s="48"/>
      <c r="BK602" s="69"/>
    </row>
    <row r="603" spans="1:63" ht="15">
      <c r="A603" s="103"/>
      <c r="C603" s="48"/>
      <c r="BK603" s="69"/>
    </row>
    <row r="604" spans="1:63" ht="15">
      <c r="A604" s="103"/>
      <c r="C604" s="48"/>
      <c r="BK604" s="69"/>
    </row>
    <row r="605" spans="1:63" ht="15">
      <c r="A605" s="103"/>
      <c r="C605" s="48"/>
      <c r="BK605" s="69"/>
    </row>
    <row r="606" spans="1:63" ht="15">
      <c r="A606" s="103"/>
      <c r="C606" s="48"/>
      <c r="BK606" s="69"/>
    </row>
    <row r="607" spans="1:63" ht="15">
      <c r="A607" s="103"/>
      <c r="C607" s="48"/>
      <c r="BK607" s="69"/>
    </row>
    <row r="608" spans="1:63" ht="15">
      <c r="A608" s="103"/>
      <c r="C608" s="48"/>
      <c r="BK608" s="69"/>
    </row>
    <row r="609" spans="1:63" ht="15">
      <c r="A609" s="103"/>
      <c r="C609" s="48"/>
      <c r="BK609" s="69"/>
    </row>
    <row r="610" spans="2:63" ht="15">
      <c r="B610" s="37"/>
      <c r="C610" s="48"/>
      <c r="BK610" s="69"/>
    </row>
    <row r="611" ht="15">
      <c r="BK611" s="69"/>
    </row>
    <row r="612" ht="15">
      <c r="BK612" s="69"/>
    </row>
    <row r="613" ht="15">
      <c r="BK613" s="69"/>
    </row>
    <row r="614" ht="15">
      <c r="BK614" s="69"/>
    </row>
    <row r="615" ht="15">
      <c r="BK615" s="69"/>
    </row>
    <row r="616" ht="15">
      <c r="BK616" s="69"/>
    </row>
    <row r="617" ht="15">
      <c r="BK617" s="69"/>
    </row>
    <row r="618" spans="2:63" ht="13.5">
      <c r="B618" s="9" t="s">
        <v>595</v>
      </c>
      <c r="BK618" s="69"/>
    </row>
    <row r="619" spans="2:63" ht="13.5">
      <c r="B619" s="9" t="s">
        <v>594</v>
      </c>
      <c r="BK619" s="69"/>
    </row>
    <row r="620" spans="3:63" ht="13.5">
      <c r="C620" s="6" t="s">
        <v>441</v>
      </c>
      <c r="D620" s="7">
        <v>1000</v>
      </c>
      <c r="E620" s="7" t="s">
        <v>442</v>
      </c>
      <c r="F620" s="6" t="s">
        <v>443</v>
      </c>
      <c r="G620" s="7">
        <v>15</v>
      </c>
      <c r="BK620" s="69"/>
    </row>
    <row r="621" spans="1:63" ht="15.75">
      <c r="A621" s="338" t="s">
        <v>513</v>
      </c>
      <c r="B621" s="341"/>
      <c r="C621" s="78" t="s">
        <v>420</v>
      </c>
      <c r="D621" s="78" t="s">
        <v>421</v>
      </c>
      <c r="E621" s="78" t="s">
        <v>422</v>
      </c>
      <c r="F621" s="78" t="s">
        <v>426</v>
      </c>
      <c r="G621" s="78" t="s">
        <v>444</v>
      </c>
      <c r="H621" s="79" t="s">
        <v>424</v>
      </c>
      <c r="I621" s="79" t="s">
        <v>445</v>
      </c>
      <c r="BK621" s="69"/>
    </row>
    <row r="622" spans="1:63" ht="16.5">
      <c r="A622" s="339"/>
      <c r="B622" s="341"/>
      <c r="C622" s="38" t="s">
        <v>420</v>
      </c>
      <c r="D622" s="30" t="s">
        <v>442</v>
      </c>
      <c r="E622" s="30" t="s">
        <v>442</v>
      </c>
      <c r="F622" s="30" t="s">
        <v>516</v>
      </c>
      <c r="G622" s="30" t="s">
        <v>442</v>
      </c>
      <c r="H622" s="30" t="s">
        <v>514</v>
      </c>
      <c r="I622" s="30" t="s">
        <v>514</v>
      </c>
      <c r="BK622" s="69"/>
    </row>
    <row r="623" spans="1:63" ht="13.5">
      <c r="A623" s="338" t="s">
        <v>497</v>
      </c>
      <c r="B623" s="76" t="s">
        <v>399</v>
      </c>
      <c r="C623" s="82">
        <f>C569</f>
        <v>175898.375</v>
      </c>
      <c r="D623" s="88">
        <f>D569</f>
        <v>384.0473961832195</v>
      </c>
      <c r="E623" s="82">
        <f>E569</f>
        <v>250</v>
      </c>
      <c r="F623" s="82">
        <f>H587</f>
        <v>1548</v>
      </c>
      <c r="G623" s="105">
        <f>Q784</f>
        <v>110.14350864637349</v>
      </c>
      <c r="H623" s="77">
        <f>MAX(0,C623/($D$620*G623/2-15*F623/G623*(K769+J769/2-G623)))*M763</f>
        <v>6.8743100938955815</v>
      </c>
      <c r="I623" s="88">
        <f>(K769+J769/2-G623)/G623*15*H623/M763</f>
        <v>130.93148684264875</v>
      </c>
      <c r="BK623" s="69"/>
    </row>
    <row r="624" spans="1:63" ht="13.5">
      <c r="A624" s="339"/>
      <c r="B624" s="34" t="s">
        <v>400</v>
      </c>
      <c r="C624" s="84">
        <f aca="true" t="shared" si="26" ref="C624:C634">C570</f>
        <v>162126.70222442728</v>
      </c>
      <c r="D624" s="89">
        <f aca="true" t="shared" si="27" ref="D624:E634">D570</f>
        <v>56.144794467286445</v>
      </c>
      <c r="E624" s="84">
        <f t="shared" si="27"/>
        <v>250</v>
      </c>
      <c r="F624" s="84">
        <f>H588</f>
        <v>507</v>
      </c>
      <c r="G624" s="60" t="str">
        <f>IF(E588=0,"****",U784)</f>
        <v>****</v>
      </c>
      <c r="H624" s="61" t="str">
        <f>IF(E588=0,"****",C624/($D$620*G624/2-15*F624/G624*(K770+J770/2-G624)))</f>
        <v>****</v>
      </c>
      <c r="I624" s="89" t="str">
        <f>IF(E588=0,"****",(K770+J770/2-G624)/G624*15*H624)</f>
        <v>****</v>
      </c>
      <c r="BK624" s="69"/>
    </row>
    <row r="625" spans="1:63" ht="13.5">
      <c r="A625" s="339"/>
      <c r="B625" s="30" t="s">
        <v>403</v>
      </c>
      <c r="C625" s="84">
        <f t="shared" si="26"/>
        <v>146529</v>
      </c>
      <c r="D625" s="106">
        <f t="shared" si="27"/>
        <v>492.94550107735483</v>
      </c>
      <c r="E625" s="85">
        <f t="shared" si="27"/>
        <v>250</v>
      </c>
      <c r="F625" s="85">
        <f>H589</f>
        <v>1548</v>
      </c>
      <c r="G625" s="64">
        <f>Y784</f>
        <v>104.35712660185351</v>
      </c>
      <c r="H625" s="64">
        <f>MAX(0,C625/($D$620*G625/2-15*F625/G625*(K771+J771/2-G625)))</f>
        <v>7.410832979620654</v>
      </c>
      <c r="I625" s="106">
        <f>(K771+J771/2-G625)/G625*15*H625</f>
        <v>155.14057993522735</v>
      </c>
      <c r="BK625" s="69"/>
    </row>
    <row r="626" spans="1:63" ht="13.5">
      <c r="A626" s="338" t="s">
        <v>293</v>
      </c>
      <c r="B626" s="76" t="s">
        <v>403</v>
      </c>
      <c r="C626" s="82">
        <f t="shared" si="26"/>
        <v>99329.3070318966</v>
      </c>
      <c r="D626" s="88">
        <f t="shared" si="27"/>
        <v>727.1852939049398</v>
      </c>
      <c r="E626" s="82">
        <f t="shared" si="27"/>
        <v>300</v>
      </c>
      <c r="F626" s="82">
        <f>H590</f>
        <v>1548</v>
      </c>
      <c r="G626" s="105">
        <f>AC784</f>
        <v>112.8291250991614</v>
      </c>
      <c r="H626" s="77">
        <f>MAX(0,C626/($D$620*G626/2-15*F626/G626*(K772+J772/2-G626)))</f>
        <v>5.550616511638511</v>
      </c>
      <c r="I626" s="88">
        <f>(K772+J772/2-G626)/G626*15*H626</f>
        <v>138.11776185572975</v>
      </c>
      <c r="BK626" s="69"/>
    </row>
    <row r="627" spans="1:63" ht="13.5">
      <c r="A627" s="339"/>
      <c r="B627" s="34" t="s">
        <v>400</v>
      </c>
      <c r="C627" s="84">
        <f t="shared" si="26"/>
        <v>99329.3070318966</v>
      </c>
      <c r="D627" s="89">
        <f t="shared" si="27"/>
        <v>508.281268452057</v>
      </c>
      <c r="E627" s="84">
        <f t="shared" si="27"/>
        <v>300</v>
      </c>
      <c r="F627" s="84">
        <f>H591</f>
        <v>794</v>
      </c>
      <c r="G627" s="60">
        <f>AG784</f>
        <v>93.80238207831582</v>
      </c>
      <c r="H627" s="61">
        <f>MAX(0,C627/($D$620*G627/2-15*F627/G627*(K773+J773/2-G627)))</f>
        <v>4.793775826366062</v>
      </c>
      <c r="I627" s="89">
        <f>(K773+J773/2-G627)/G627*15*H627</f>
        <v>158.06610680024576</v>
      </c>
      <c r="BK627" s="69"/>
    </row>
    <row r="628" spans="1:63" ht="13.5">
      <c r="A628" s="339"/>
      <c r="B628" s="30" t="s">
        <v>404</v>
      </c>
      <c r="C628" s="84">
        <f t="shared" si="26"/>
        <v>99329.3070318966</v>
      </c>
      <c r="D628" s="106">
        <f t="shared" si="27"/>
        <v>727.1852939049396</v>
      </c>
      <c r="E628" s="85">
        <f t="shared" si="27"/>
        <v>300</v>
      </c>
      <c r="F628" s="85">
        <f>H590</f>
        <v>1548</v>
      </c>
      <c r="G628" s="64">
        <f>AK784</f>
        <v>112.8291250991614</v>
      </c>
      <c r="H628" s="64">
        <f>MAX(0,C628/($D$620*G628/2-15*F628/G628*(K774+J774/2-G628)))</f>
        <v>5.550616511638511</v>
      </c>
      <c r="I628" s="106">
        <f>(K774+J774/2-G628)/G628*15*H628</f>
        <v>138.11776185572975</v>
      </c>
      <c r="BK628" s="69"/>
    </row>
    <row r="629" spans="1:63" ht="13.5">
      <c r="A629" s="338" t="s">
        <v>261</v>
      </c>
      <c r="B629" s="76" t="s">
        <v>405</v>
      </c>
      <c r="C629" s="82">
        <f t="shared" si="26"/>
        <v>146529</v>
      </c>
      <c r="D629" s="88">
        <f t="shared" si="27"/>
        <v>492.9455010773547</v>
      </c>
      <c r="E629" s="82">
        <f t="shared" si="27"/>
        <v>250</v>
      </c>
      <c r="F629" s="82">
        <f>H589</f>
        <v>1548</v>
      </c>
      <c r="G629" s="105">
        <f>AO784</f>
        <v>104.35712660185351</v>
      </c>
      <c r="H629" s="77">
        <f>MAX(0,C629/($D$620*G629/2-15*F629/G629*(K775+J775/2-G629)))</f>
        <v>7.410832979620654</v>
      </c>
      <c r="I629" s="88">
        <f>(K775+J775/2-G629)/G629*15*H629</f>
        <v>155.14057993522735</v>
      </c>
      <c r="BK629" s="69"/>
    </row>
    <row r="630" spans="1:63" ht="13.5">
      <c r="A630" s="339"/>
      <c r="B630" s="34" t="s">
        <v>406</v>
      </c>
      <c r="C630" s="84">
        <f t="shared" si="26"/>
        <v>162126.70222442728</v>
      </c>
      <c r="D630" s="89">
        <f t="shared" si="27"/>
        <v>56.144794467286445</v>
      </c>
      <c r="E630" s="84">
        <f t="shared" si="27"/>
        <v>250</v>
      </c>
      <c r="F630" s="84">
        <f>H588</f>
        <v>507</v>
      </c>
      <c r="G630" s="60" t="str">
        <f>IF(E588=0,"****",AS784)</f>
        <v>****</v>
      </c>
      <c r="H630" s="61" t="str">
        <f>IF(E588=0,"****",C630/($D$620*G630/2-15*F630/G630*(K776+J776/2-G630)))</f>
        <v>****</v>
      </c>
      <c r="I630" s="89" t="str">
        <f>IF(E588=0,"****",(K776+J776/2-G630)/G630*15*H630)</f>
        <v>****</v>
      </c>
      <c r="BK630" s="69"/>
    </row>
    <row r="631" spans="1:63" ht="13.5">
      <c r="A631" s="339"/>
      <c r="B631" s="30" t="s">
        <v>407</v>
      </c>
      <c r="C631" s="84">
        <f t="shared" si="26"/>
        <v>175898.375</v>
      </c>
      <c r="D631" s="106">
        <f t="shared" si="27"/>
        <v>384.04739618321935</v>
      </c>
      <c r="E631" s="85">
        <f t="shared" si="27"/>
        <v>250</v>
      </c>
      <c r="F631" s="85">
        <f>H587</f>
        <v>1548</v>
      </c>
      <c r="G631" s="64">
        <f>AW784</f>
        <v>110.14350864451085</v>
      </c>
      <c r="H631" s="64">
        <f>MAX(0,C631/($D$620*G631/2-15*F631/G631*(K777+J777/2-G631)))*M763</f>
        <v>6.874310094385236</v>
      </c>
      <c r="I631" s="106">
        <f>(K777+J777/2-G631)/G631*15*H631/M763</f>
        <v>130.93148685593295</v>
      </c>
      <c r="BK631" s="69"/>
    </row>
    <row r="632" spans="1:63" ht="13.5">
      <c r="A632" s="338" t="s">
        <v>23</v>
      </c>
      <c r="B632" s="76" t="s">
        <v>408</v>
      </c>
      <c r="C632" s="82">
        <f t="shared" si="26"/>
        <v>99329.3070318966</v>
      </c>
      <c r="D632" s="88">
        <f t="shared" si="27"/>
        <v>680.09447493595</v>
      </c>
      <c r="E632" s="82">
        <f t="shared" si="27"/>
        <v>340</v>
      </c>
      <c r="F632" s="82">
        <f>H593</f>
        <v>1548</v>
      </c>
      <c r="G632" s="105">
        <f>BA784</f>
        <v>126.05912321129158</v>
      </c>
      <c r="H632" s="77">
        <f>MAX(0,C632/($D$620*G632/2-15*F632/G632*(K778+J778/2-G632)))*M763</f>
        <v>4.204983664453341</v>
      </c>
      <c r="I632" s="88">
        <f>(K778+J778/2-G632)/G632*15*H632/M763</f>
        <v>107.04713817667918</v>
      </c>
      <c r="BK632" s="69"/>
    </row>
    <row r="633" spans="1:63" ht="13.5">
      <c r="A633" s="339"/>
      <c r="B633" s="34" t="s">
        <v>512</v>
      </c>
      <c r="C633" s="84">
        <f t="shared" si="26"/>
        <v>99329.3070318966</v>
      </c>
      <c r="D633" s="89">
        <f t="shared" si="27"/>
        <v>853.5960042604926</v>
      </c>
      <c r="E633" s="84">
        <f t="shared" si="27"/>
        <v>350</v>
      </c>
      <c r="F633" s="84">
        <f>H592</f>
        <v>1548</v>
      </c>
      <c r="G633" s="60">
        <f>BE784</f>
        <v>123.86132715822389</v>
      </c>
      <c r="H633" s="61">
        <f>MAX(0,C633/($D$620*G633/2-15*F633/G633*(K779+J779/2-G633)))</f>
        <v>5.084173300485655</v>
      </c>
      <c r="I633" s="89">
        <f>(K779+J779/2-G633)/G633*15*H633</f>
        <v>139.23573592918845</v>
      </c>
      <c r="BK633" s="69"/>
    </row>
    <row r="634" spans="1:63" ht="13.5">
      <c r="A634" s="340"/>
      <c r="B634" s="43" t="s">
        <v>410</v>
      </c>
      <c r="C634" s="84">
        <f t="shared" si="26"/>
        <v>99329.3070318966</v>
      </c>
      <c r="D634" s="106">
        <f t="shared" si="27"/>
        <v>680.0944749359502</v>
      </c>
      <c r="E634" s="85">
        <f t="shared" si="27"/>
        <v>340</v>
      </c>
      <c r="F634" s="85">
        <f>H593</f>
        <v>1548</v>
      </c>
      <c r="G634" s="107">
        <f>BI784</f>
        <v>126.05912321129155</v>
      </c>
      <c r="H634" s="64">
        <f>MAX(0,C634/($D$620*G634/2-15*F634/G634*(K780+J780/2-G634)))*M763</f>
        <v>4.204983664453346</v>
      </c>
      <c r="I634" s="106">
        <f>(K780+J780/2-G634)/G634*15*H634/M763</f>
        <v>107.04713817667938</v>
      </c>
      <c r="BK634" s="69"/>
    </row>
    <row r="635" spans="1:63" ht="16.5">
      <c r="A635" s="90"/>
      <c r="B635" s="91"/>
      <c r="C635" s="91"/>
      <c r="G635" s="93" t="s">
        <v>531</v>
      </c>
      <c r="H635" s="61">
        <f>MAX(H623:H634)</f>
        <v>7.410832979620654</v>
      </c>
      <c r="I635" s="89">
        <f>MAX(I623:I634)</f>
        <v>158.06610680024576</v>
      </c>
      <c r="BK635" s="69"/>
    </row>
    <row r="636" spans="1:63" ht="16.5">
      <c r="A636" s="92"/>
      <c r="G636" s="93" t="s">
        <v>532</v>
      </c>
      <c r="H636" s="43">
        <f>G59</f>
        <v>8</v>
      </c>
      <c r="I636" s="43">
        <f>D564</f>
        <v>160</v>
      </c>
      <c r="BK636" s="69"/>
    </row>
    <row r="637" spans="1:63" ht="13.5">
      <c r="A637" s="94"/>
      <c r="B637" s="95"/>
      <c r="C637" s="95"/>
      <c r="D637" s="95"/>
      <c r="E637" s="95"/>
      <c r="F637" s="95"/>
      <c r="G637" s="96" t="s">
        <v>447</v>
      </c>
      <c r="H637" s="30" t="str">
        <f>IF(TYPE(MAX(H623:H634))=16,"OUT",IF(H635&lt;=H636,"SAFE","OUT"))</f>
        <v>SAFE</v>
      </c>
      <c r="I637" s="30" t="str">
        <f>IF(TYPE(MAX(I623:I634))=16,"OUT",IF(I635&lt;=I636,"SAFE","OUT"))</f>
        <v>SAFE</v>
      </c>
      <c r="BK637" s="69"/>
    </row>
    <row r="638" ht="13.5">
      <c r="BK638" s="69"/>
    </row>
    <row r="639" spans="1:63" ht="13.5">
      <c r="A639" s="103" t="s">
        <v>558</v>
      </c>
      <c r="BK639" s="69"/>
    </row>
    <row r="640" ht="13.5">
      <c r="BK640" s="69"/>
    </row>
    <row r="641" ht="15">
      <c r="BK641" s="69"/>
    </row>
    <row r="642" ht="15">
      <c r="BK642" s="69"/>
    </row>
    <row r="643" ht="15">
      <c r="BK643" s="69"/>
    </row>
    <row r="644" ht="13.5">
      <c r="BK644" s="69"/>
    </row>
    <row r="645" spans="4:63" ht="13.5">
      <c r="D645" s="6" t="s">
        <v>448</v>
      </c>
      <c r="E645" s="7">
        <v>1000</v>
      </c>
      <c r="F645" s="7" t="s">
        <v>449</v>
      </c>
      <c r="BK645" s="69"/>
    </row>
    <row r="646" ht="13.5">
      <c r="BK646" s="69"/>
    </row>
    <row r="647" spans="2:63" ht="13.5">
      <c r="B647" s="351"/>
      <c r="C647" s="351"/>
      <c r="D647" s="27" t="s">
        <v>450</v>
      </c>
      <c r="E647" s="338" t="s">
        <v>451</v>
      </c>
      <c r="F647" s="339"/>
      <c r="G647" s="338" t="s">
        <v>533</v>
      </c>
      <c r="H647" s="339"/>
      <c r="BK647" s="69"/>
    </row>
    <row r="648" spans="2:63" ht="16.5">
      <c r="B648" s="351"/>
      <c r="C648" s="351"/>
      <c r="D648" s="29" t="s">
        <v>462</v>
      </c>
      <c r="E648" s="57" t="s">
        <v>463</v>
      </c>
      <c r="F648" s="97" t="s">
        <v>452</v>
      </c>
      <c r="G648" s="57" t="s">
        <v>464</v>
      </c>
      <c r="H648" s="97" t="s">
        <v>452</v>
      </c>
      <c r="BK648" s="69"/>
    </row>
    <row r="649" spans="2:63" ht="13.5">
      <c r="B649" s="338" t="s">
        <v>453</v>
      </c>
      <c r="C649" s="76" t="s">
        <v>399</v>
      </c>
      <c r="D649" s="82">
        <f>E623</f>
        <v>250</v>
      </c>
      <c r="E649" s="82">
        <f>ABS(G536)*1000</f>
        <v>99329.3070318966</v>
      </c>
      <c r="F649" s="77">
        <f aca="true" t="shared" si="28" ref="F649:F656">E649/($E$645*D649)</f>
        <v>0.3973172281275864</v>
      </c>
      <c r="G649" s="98">
        <f>ABS(H536)*1000</f>
        <v>65916.8070318966</v>
      </c>
      <c r="H649" s="77">
        <f>G649/($E$645*D649)</f>
        <v>0.2636672281275864</v>
      </c>
      <c r="BK649" s="69"/>
    </row>
    <row r="650" spans="2:63" ht="13.5">
      <c r="B650" s="339"/>
      <c r="C650" s="30" t="s">
        <v>417</v>
      </c>
      <c r="D650" s="85">
        <f>E625</f>
        <v>250</v>
      </c>
      <c r="E650" s="85">
        <f>ABS(G538)*1000</f>
        <v>99329.3070318966</v>
      </c>
      <c r="F650" s="64">
        <f t="shared" si="28"/>
        <v>0.3973172281275864</v>
      </c>
      <c r="G650" s="99">
        <f>ABS(H538)*1000</f>
        <v>64214.755468103416</v>
      </c>
      <c r="H650" s="64">
        <f aca="true" t="shared" si="29" ref="H650:H656">G650/($E$645*D650)</f>
        <v>0.25685902187241366</v>
      </c>
      <c r="BK650" s="69"/>
    </row>
    <row r="651" spans="2:63" ht="13.5">
      <c r="B651" s="338" t="s">
        <v>293</v>
      </c>
      <c r="C651" s="76" t="s">
        <v>403</v>
      </c>
      <c r="D651" s="82">
        <f>E626</f>
        <v>300</v>
      </c>
      <c r="E651" s="82">
        <f>ABS(H539)*1000</f>
        <v>102788.99999999999</v>
      </c>
      <c r="F651" s="77">
        <f t="shared" si="28"/>
        <v>0.34262999999999993</v>
      </c>
      <c r="G651" s="98">
        <f>ABS(H539)*1000</f>
        <v>102788.99999999999</v>
      </c>
      <c r="H651" s="77">
        <f t="shared" si="29"/>
        <v>0.34262999999999993</v>
      </c>
      <c r="BK651" s="69"/>
    </row>
    <row r="652" spans="2:63" ht="13.5">
      <c r="B652" s="339"/>
      <c r="C652" s="30" t="s">
        <v>404</v>
      </c>
      <c r="D652" s="85">
        <f>E628</f>
        <v>300</v>
      </c>
      <c r="E652" s="85">
        <f>ABS(G541)*1000</f>
        <v>146529</v>
      </c>
      <c r="F652" s="64">
        <f t="shared" si="28"/>
        <v>0.48843</v>
      </c>
      <c r="G652" s="99">
        <f>ABS(H541)*1000</f>
        <v>102789.00000000001</v>
      </c>
      <c r="H652" s="64">
        <f t="shared" si="29"/>
        <v>0.34263000000000005</v>
      </c>
      <c r="BK652" s="69"/>
    </row>
    <row r="653" spans="2:63" ht="13.5">
      <c r="B653" s="338" t="s">
        <v>261</v>
      </c>
      <c r="C653" s="76" t="s">
        <v>405</v>
      </c>
      <c r="D653" s="82">
        <f>E629</f>
        <v>250</v>
      </c>
      <c r="E653" s="82">
        <f>ABS(G542)*1000</f>
        <v>84464.75546810345</v>
      </c>
      <c r="F653" s="77">
        <f t="shared" si="28"/>
        <v>0.3378590218724138</v>
      </c>
      <c r="G653" s="98">
        <f>ABS(H542)*1000</f>
        <v>64214.755468103445</v>
      </c>
      <c r="H653" s="77">
        <f t="shared" si="29"/>
        <v>0.2568590218724138</v>
      </c>
      <c r="BK653" s="69"/>
    </row>
    <row r="654" spans="2:63" ht="13.5">
      <c r="B654" s="339"/>
      <c r="C654" s="30" t="s">
        <v>418</v>
      </c>
      <c r="D654" s="85">
        <f>E631</f>
        <v>250</v>
      </c>
      <c r="E654" s="85">
        <f>ABS(G544)*1000</f>
        <v>99329.3070318966</v>
      </c>
      <c r="F654" s="64">
        <f t="shared" si="28"/>
        <v>0.3973172281275864</v>
      </c>
      <c r="G654" s="99">
        <f>ABS(H544)*1000</f>
        <v>65916.80703189658</v>
      </c>
      <c r="H654" s="64">
        <f t="shared" si="29"/>
        <v>0.2636672281275863</v>
      </c>
      <c r="BK654" s="69"/>
    </row>
    <row r="655" spans="2:63" ht="13.5">
      <c r="B655" s="338" t="s">
        <v>298</v>
      </c>
      <c r="C655" s="76" t="s">
        <v>408</v>
      </c>
      <c r="D655" s="82">
        <f>E632</f>
        <v>340</v>
      </c>
      <c r="E655" s="82">
        <f>ABS(G545)*1000</f>
        <v>181899.00000000003</v>
      </c>
      <c r="F655" s="77">
        <f t="shared" si="28"/>
        <v>0.5349970588235295</v>
      </c>
      <c r="G655" s="98">
        <f>ABS(H545)*1000</f>
        <v>105881.5074626866</v>
      </c>
      <c r="H655" s="77">
        <f t="shared" si="29"/>
        <v>0.31141619841966645</v>
      </c>
      <c r="BK655" s="69"/>
    </row>
    <row r="656" spans="2:63" ht="13.5">
      <c r="B656" s="341"/>
      <c r="C656" s="30" t="s">
        <v>419</v>
      </c>
      <c r="D656" s="85">
        <f>E634</f>
        <v>340</v>
      </c>
      <c r="E656" s="85">
        <f>ABS(G547)*1000</f>
        <v>181899.00000000003</v>
      </c>
      <c r="F656" s="64">
        <f t="shared" si="28"/>
        <v>0.5349970588235295</v>
      </c>
      <c r="G656" s="99">
        <f>ABS(H547)*1000</f>
        <v>105881.50746268658</v>
      </c>
      <c r="H656" s="64">
        <f t="shared" si="29"/>
        <v>0.31141619841966645</v>
      </c>
      <c r="BK656" s="69"/>
    </row>
    <row r="657" spans="2:63" ht="16.5">
      <c r="B657" s="352" t="s">
        <v>534</v>
      </c>
      <c r="C657" s="353"/>
      <c r="D657" s="353"/>
      <c r="E657" s="353"/>
      <c r="F657" s="77">
        <f>MAX(F649:F656)</f>
        <v>0.5349970588235295</v>
      </c>
      <c r="G657" s="100"/>
      <c r="H657" s="77">
        <f>MAX(H649:H656)</f>
        <v>0.34263000000000005</v>
      </c>
      <c r="BK657" s="69"/>
    </row>
    <row r="658" spans="2:63" ht="16.5">
      <c r="B658" s="354" t="s">
        <v>599</v>
      </c>
      <c r="C658" s="355"/>
      <c r="D658" s="355"/>
      <c r="E658" s="355"/>
      <c r="F658" s="43">
        <f>$G$60*2</f>
        <v>0.78</v>
      </c>
      <c r="G658" s="67"/>
      <c r="H658" s="43">
        <f>$G$60</f>
        <v>0.39</v>
      </c>
      <c r="BK658" s="69"/>
    </row>
    <row r="659" spans="2:63" ht="13.5">
      <c r="B659" s="344" t="s">
        <v>454</v>
      </c>
      <c r="C659" s="345"/>
      <c r="D659" s="345"/>
      <c r="E659" s="345"/>
      <c r="F659" s="30" t="str">
        <f>IF(F657&lt;=F658,"SAFE","OUT")</f>
        <v>SAFE</v>
      </c>
      <c r="G659" s="101"/>
      <c r="H659" s="30" t="str">
        <f>IF(H657&lt;=H658,"SAFE","OUT")</f>
        <v>SAFE</v>
      </c>
      <c r="BK659" s="69"/>
    </row>
    <row r="660" ht="13.5">
      <c r="BK660" s="69"/>
    </row>
    <row r="661" ht="13.5">
      <c r="BK661" s="69"/>
    </row>
    <row r="662" spans="1:63" ht="13.5">
      <c r="A662" s="9" t="s">
        <v>559</v>
      </c>
      <c r="BK662" s="69"/>
    </row>
    <row r="663" spans="2:63" ht="13.5">
      <c r="B663" s="9" t="s">
        <v>560</v>
      </c>
      <c r="BK663" s="69"/>
    </row>
    <row r="664" spans="2:63" ht="16.5">
      <c r="B664" s="9" t="s">
        <v>561</v>
      </c>
      <c r="F664" s="6" t="s">
        <v>564</v>
      </c>
      <c r="G664" s="11">
        <f>E122</f>
        <v>26.474626865671638</v>
      </c>
      <c r="H664" s="7" t="s">
        <v>56</v>
      </c>
      <c r="BK664" s="69"/>
    </row>
    <row r="665" spans="2:63" ht="16.5">
      <c r="B665" s="9" t="s">
        <v>563</v>
      </c>
      <c r="F665" s="6" t="s">
        <v>565</v>
      </c>
      <c r="G665" s="11">
        <f>L173</f>
        <v>87.48</v>
      </c>
      <c r="H665" s="7" t="s">
        <v>56</v>
      </c>
      <c r="BK665" s="69"/>
    </row>
    <row r="666" spans="2:63" ht="16.5">
      <c r="B666" s="9" t="s">
        <v>562</v>
      </c>
      <c r="F666" s="6" t="s">
        <v>566</v>
      </c>
      <c r="G666" s="11">
        <f>D208</f>
        <v>10</v>
      </c>
      <c r="H666" s="7" t="s">
        <v>56</v>
      </c>
      <c r="BK666" s="69"/>
    </row>
    <row r="667" ht="15">
      <c r="BK667" s="69"/>
    </row>
    <row r="668" spans="2:63" ht="18">
      <c r="B668" s="9" t="s">
        <v>567</v>
      </c>
      <c r="H668" s="11">
        <f>E50/G110*((G110+E6)*E8+E11*E12)</f>
        <v>12.469402985074629</v>
      </c>
      <c r="I668" s="7" t="s">
        <v>56</v>
      </c>
      <c r="BK668" s="69"/>
    </row>
    <row r="669" ht="15">
      <c r="BK669" s="69"/>
    </row>
    <row r="670" ht="15">
      <c r="BK670" s="69"/>
    </row>
    <row r="671" spans="2:63" ht="18">
      <c r="B671" s="9" t="s">
        <v>568</v>
      </c>
      <c r="H671" s="11">
        <f>E47*E4/G110</f>
        <v>0</v>
      </c>
      <c r="I671" s="7" t="s">
        <v>56</v>
      </c>
      <c r="BK671" s="69"/>
    </row>
    <row r="672" ht="15">
      <c r="BK672" s="69"/>
    </row>
    <row r="673" ht="15">
      <c r="BK673" s="69"/>
    </row>
    <row r="674" spans="2:8" ht="18">
      <c r="B674" s="9" t="s">
        <v>569</v>
      </c>
      <c r="G674" s="11">
        <f>G664+G665+G666+H668+H671</f>
        <v>136.42402985074628</v>
      </c>
      <c r="H674" s="7" t="s">
        <v>56</v>
      </c>
    </row>
    <row r="675" ht="15">
      <c r="BK675" s="69"/>
    </row>
    <row r="676" spans="3:63" ht="16.5">
      <c r="C676" s="51" t="s">
        <v>570</v>
      </c>
      <c r="D676" s="7">
        <f>データ!E34</f>
        <v>200</v>
      </c>
      <c r="E676" s="7" t="s">
        <v>56</v>
      </c>
      <c r="F676" s="48" t="str">
        <f>IF(D676&lt;=H676,"&lt;","&gt;")</f>
        <v>&gt;</v>
      </c>
      <c r="G676" s="6" t="s">
        <v>571</v>
      </c>
      <c r="H676" s="11">
        <f>G674</f>
        <v>136.42402985074628</v>
      </c>
      <c r="I676" s="7" t="s">
        <v>56</v>
      </c>
      <c r="BK676" s="69"/>
    </row>
    <row r="677" ht="13.5">
      <c r="I677" s="48" t="str">
        <f>IF(D676&lt;=H676,"OUT","SAFE")</f>
        <v>SAFE</v>
      </c>
    </row>
    <row r="678" ht="13.5">
      <c r="BK678" s="11"/>
    </row>
    <row r="679" ht="13.5">
      <c r="BK679" s="54"/>
    </row>
    <row r="682" ht="13.5">
      <c r="BK682" s="69"/>
    </row>
    <row r="699" spans="16:60" ht="13.5">
      <c r="P699" s="9" t="s">
        <v>239</v>
      </c>
      <c r="Q699" s="7" t="s">
        <v>399</v>
      </c>
      <c r="S699" s="9" t="s">
        <v>239</v>
      </c>
      <c r="T699" s="9" t="s">
        <v>400</v>
      </c>
      <c r="W699" s="9" t="s">
        <v>239</v>
      </c>
      <c r="X699" s="7" t="s">
        <v>417</v>
      </c>
      <c r="AA699" s="9" t="s">
        <v>293</v>
      </c>
      <c r="AB699" s="7" t="s">
        <v>403</v>
      </c>
      <c r="AE699" s="9" t="s">
        <v>293</v>
      </c>
      <c r="AF699" s="9" t="s">
        <v>400</v>
      </c>
      <c r="AI699" s="9" t="s">
        <v>293</v>
      </c>
      <c r="AJ699" s="7" t="s">
        <v>404</v>
      </c>
      <c r="AM699" s="9" t="s">
        <v>261</v>
      </c>
      <c r="AN699" s="7" t="s">
        <v>405</v>
      </c>
      <c r="AQ699" s="9" t="s">
        <v>261</v>
      </c>
      <c r="AR699" s="9" t="s">
        <v>406</v>
      </c>
      <c r="AU699" s="9" t="s">
        <v>261</v>
      </c>
      <c r="AV699" s="7" t="s">
        <v>418</v>
      </c>
      <c r="AY699" s="9" t="s">
        <v>298</v>
      </c>
      <c r="AZ699" s="7" t="s">
        <v>408</v>
      </c>
      <c r="BC699" s="9" t="s">
        <v>298</v>
      </c>
      <c r="BD699" s="9" t="s">
        <v>512</v>
      </c>
      <c r="BG699" s="9" t="s">
        <v>23</v>
      </c>
      <c r="BH699" s="7" t="s">
        <v>419</v>
      </c>
    </row>
    <row r="701" spans="12:61" ht="13.5">
      <c r="L701" s="9" t="s">
        <v>427</v>
      </c>
      <c r="O701" s="7">
        <f>K703</f>
        <v>12.124206830242743</v>
      </c>
      <c r="P701" s="7">
        <f>L703</f>
        <v>82.68358762148814</v>
      </c>
      <c r="Q701" s="7">
        <f>M703</f>
        <v>440.9791339812702</v>
      </c>
      <c r="S701" s="7">
        <f>K704</f>
        <v>14.97942049403769</v>
      </c>
      <c r="T701" s="7">
        <f>L704</f>
        <v>21.772362793862623</v>
      </c>
      <c r="U701" s="7">
        <f>M704</f>
        <v>116.119268233934</v>
      </c>
      <c r="W701" s="7">
        <f>K705</f>
        <v>12.005416656286542</v>
      </c>
      <c r="X701" s="7">
        <f>L705</f>
        <v>85.21777799922046</v>
      </c>
      <c r="Y701" s="7">
        <f>M705</f>
        <v>454.4948159958425</v>
      </c>
      <c r="AA701" s="7">
        <f>K706</f>
        <v>13.261208598981554</v>
      </c>
      <c r="AB701" s="7">
        <f>L706</f>
        <v>58.42754988839353</v>
      </c>
      <c r="AC701" s="7">
        <f>M706</f>
        <v>311.61359940476547</v>
      </c>
      <c r="AE701" s="7">
        <f>K707</f>
        <v>13.985994770805803</v>
      </c>
      <c r="AF701" s="7">
        <f>L707</f>
        <v>42.96544488947618</v>
      </c>
      <c r="AG701" s="7">
        <f>M707</f>
        <v>229.14903941053967</v>
      </c>
      <c r="AI701" s="7">
        <f>K708</f>
        <v>13.261208598981554</v>
      </c>
      <c r="AJ701" s="7">
        <f>L708</f>
        <v>58.42754988839352</v>
      </c>
      <c r="AK701" s="7">
        <f>M708</f>
        <v>311.6135994047654</v>
      </c>
      <c r="AM701" s="7">
        <f>K709</f>
        <v>12.005416656286542</v>
      </c>
      <c r="AN701" s="7">
        <f>L709</f>
        <v>85.21777799922043</v>
      </c>
      <c r="AO701" s="7">
        <f>M709</f>
        <v>454.49481599584243</v>
      </c>
      <c r="AQ701" s="7">
        <f>K710</f>
        <v>14.97942049403769</v>
      </c>
      <c r="AR701" s="7">
        <f>L710</f>
        <v>21.772362793862623</v>
      </c>
      <c r="AS701" s="7">
        <f>M710</f>
        <v>116.119268233934</v>
      </c>
      <c r="AU701" s="7">
        <f>K711</f>
        <v>12.124206830242745</v>
      </c>
      <c r="AV701" s="7">
        <f>L711</f>
        <v>82.6835876214881</v>
      </c>
      <c r="AW701" s="7">
        <f>M711</f>
        <v>440.97913398127</v>
      </c>
      <c r="AY701" s="7">
        <f>K712</f>
        <v>13.950445072138125</v>
      </c>
      <c r="AZ701" s="7">
        <f>L712</f>
        <v>43.72383846105335</v>
      </c>
      <c r="BA701" s="7">
        <f>M712</f>
        <v>233.1938051256178</v>
      </c>
      <c r="BC701" s="7">
        <f>K713</f>
        <v>13.619511927329526</v>
      </c>
      <c r="BD701" s="7">
        <f>L713</f>
        <v>50.78374555030343</v>
      </c>
      <c r="BE701" s="7">
        <f>M713</f>
        <v>270.84664293495166</v>
      </c>
      <c r="BG701" s="7">
        <f>K714</f>
        <v>13.950445072138123</v>
      </c>
      <c r="BH701" s="7">
        <f>L714</f>
        <v>43.723838461053354</v>
      </c>
      <c r="BI701" s="7">
        <f>M714</f>
        <v>233.19380512561784</v>
      </c>
    </row>
    <row r="702" spans="11:63" ht="15.75">
      <c r="K702" s="80" t="s">
        <v>399</v>
      </c>
      <c r="L702" s="80" t="s">
        <v>417</v>
      </c>
      <c r="M702" s="80" t="s">
        <v>517</v>
      </c>
      <c r="O702" s="81" t="s">
        <v>518</v>
      </c>
      <c r="P702" s="80" t="s">
        <v>519</v>
      </c>
      <c r="Q702" s="48" t="s">
        <v>520</v>
      </c>
      <c r="S702" s="81" t="s">
        <v>518</v>
      </c>
      <c r="T702" s="80" t="s">
        <v>519</v>
      </c>
      <c r="U702" s="48" t="s">
        <v>520</v>
      </c>
      <c r="W702" s="81" t="s">
        <v>518</v>
      </c>
      <c r="X702" s="80" t="s">
        <v>519</v>
      </c>
      <c r="Y702" s="48" t="s">
        <v>520</v>
      </c>
      <c r="AA702" s="81" t="s">
        <v>518</v>
      </c>
      <c r="AB702" s="80" t="s">
        <v>519</v>
      </c>
      <c r="AC702" s="48" t="s">
        <v>520</v>
      </c>
      <c r="AD702" s="48"/>
      <c r="AE702" s="81" t="s">
        <v>518</v>
      </c>
      <c r="AF702" s="80" t="s">
        <v>519</v>
      </c>
      <c r="AG702" s="48" t="s">
        <v>520</v>
      </c>
      <c r="AH702" s="48"/>
      <c r="AI702" s="81" t="s">
        <v>518</v>
      </c>
      <c r="AJ702" s="80" t="s">
        <v>519</v>
      </c>
      <c r="AK702" s="48" t="s">
        <v>520</v>
      </c>
      <c r="AL702" s="48"/>
      <c r="AM702" s="81" t="s">
        <v>518</v>
      </c>
      <c r="AN702" s="80" t="s">
        <v>519</v>
      </c>
      <c r="AO702" s="48" t="s">
        <v>520</v>
      </c>
      <c r="AP702" s="48"/>
      <c r="AQ702" s="81" t="s">
        <v>518</v>
      </c>
      <c r="AR702" s="80" t="s">
        <v>519</v>
      </c>
      <c r="AS702" s="48" t="s">
        <v>520</v>
      </c>
      <c r="AT702" s="48"/>
      <c r="AU702" s="81" t="s">
        <v>518</v>
      </c>
      <c r="AV702" s="80" t="s">
        <v>519</v>
      </c>
      <c r="AW702" s="48" t="s">
        <v>520</v>
      </c>
      <c r="AX702" s="48"/>
      <c r="AY702" s="81" t="s">
        <v>518</v>
      </c>
      <c r="AZ702" s="80" t="s">
        <v>519</v>
      </c>
      <c r="BA702" s="48" t="s">
        <v>520</v>
      </c>
      <c r="BB702" s="48"/>
      <c r="BC702" s="81" t="s">
        <v>518</v>
      </c>
      <c r="BD702" s="80" t="s">
        <v>519</v>
      </c>
      <c r="BE702" s="48" t="s">
        <v>520</v>
      </c>
      <c r="BF702" s="48"/>
      <c r="BG702" s="81" t="s">
        <v>518</v>
      </c>
      <c r="BH702" s="80" t="s">
        <v>519</v>
      </c>
      <c r="BI702" s="48" t="s">
        <v>520</v>
      </c>
      <c r="BJ702" s="48"/>
      <c r="BK702" s="48"/>
    </row>
    <row r="703" spans="11:60" ht="13.5">
      <c r="K703" s="7">
        <f aca="true" t="shared" si="30" ref="K703:K714">3*$D$564/30-3*C569*(D569+F569)/$H$564/E569^2</f>
        <v>12.124206830242743</v>
      </c>
      <c r="L703" s="7">
        <f aca="true" t="shared" si="31" ref="L703:L714">6*C569*(D569+F569)/15/$H$564/E569^2*$D$564</f>
        <v>82.68358762148814</v>
      </c>
      <c r="M703" s="7">
        <f aca="true" t="shared" si="32" ref="M703:M714">3*C569*(D569+F569)/15/15/$H$564/E569^2*$D$564^2</f>
        <v>440.9791339812702</v>
      </c>
      <c r="O703" s="7">
        <v>0</v>
      </c>
      <c r="P703" s="7">
        <f>O703^3+O$701*O703^2-P$701*O703-Q$701</f>
        <v>-440.9791339812702</v>
      </c>
      <c r="S703" s="7">
        <v>0</v>
      </c>
      <c r="T703" s="7">
        <f>S703^3+S$701*S703^2-T$701*S703-U$701</f>
        <v>-116.119268233934</v>
      </c>
      <c r="W703" s="7">
        <v>0</v>
      </c>
      <c r="X703" s="7">
        <f>W703^3+W$701*W703^2-X$701*W703-Y$701</f>
        <v>-454.4948159958425</v>
      </c>
      <c r="AA703" s="7">
        <v>0</v>
      </c>
      <c r="AB703" s="7">
        <f>AA703^3+AA$701*AA703^2-AB$701*AA703-AC$701</f>
        <v>-311.61359940476547</v>
      </c>
      <c r="AE703" s="7">
        <v>0</v>
      </c>
      <c r="AF703" s="7">
        <f>AE703^3+AE$701*AE703^2-AF$701*AE703-AG$701</f>
        <v>-229.14903941053967</v>
      </c>
      <c r="AI703" s="7">
        <v>0</v>
      </c>
      <c r="AJ703" s="7">
        <f>AI703^3+AI$701*AI703^2-AJ$701*AI703-AK$701</f>
        <v>-311.6135994047654</v>
      </c>
      <c r="AM703" s="7">
        <v>0</v>
      </c>
      <c r="AN703" s="7">
        <f>AM703^3+AM$701*AM703^2-AN$701*AM703-AO$701</f>
        <v>-454.49481599584243</v>
      </c>
      <c r="AQ703" s="7">
        <v>0</v>
      </c>
      <c r="AR703" s="7">
        <f>AQ703^3+AQ$701*AQ703^2-AR$701*AQ703-AS$701</f>
        <v>-116.119268233934</v>
      </c>
      <c r="AU703" s="7">
        <v>0</v>
      </c>
      <c r="AV703" s="7">
        <f>AU703^3+AU$701*AU703^2-AV$701*AU703-AW$701</f>
        <v>-440.97913398127</v>
      </c>
      <c r="AY703" s="7">
        <v>0</v>
      </c>
      <c r="AZ703" s="7">
        <f>AY703^3+AY$701*AY703^2-AZ$701*AY703-BA$701</f>
        <v>-233.1938051256178</v>
      </c>
      <c r="BC703" s="7">
        <v>0</v>
      </c>
      <c r="BD703" s="7">
        <f>BC703^3+BC$701*BC703^2-BD$701*BC703-BE$701</f>
        <v>-270.84664293495166</v>
      </c>
      <c r="BG703" s="7">
        <v>0</v>
      </c>
      <c r="BH703" s="7">
        <f>BG703^3+BG$701*BG703^2-BH$701*BG703-BI$701</f>
        <v>-233.19380512561784</v>
      </c>
    </row>
    <row r="704" spans="11:61" ht="13.5">
      <c r="K704" s="7">
        <f t="shared" si="30"/>
        <v>14.97942049403769</v>
      </c>
      <c r="L704" s="7">
        <f t="shared" si="31"/>
        <v>21.772362793862623</v>
      </c>
      <c r="M704" s="7">
        <f t="shared" si="32"/>
        <v>116.119268233934</v>
      </c>
      <c r="O704" s="7">
        <f>$G$59</f>
        <v>8</v>
      </c>
      <c r="P704" s="7">
        <f aca="true" t="shared" si="33" ref="P704:P718">O704^3+O$701*O704^2-P$701*O704-Q$701</f>
        <v>185.5014021823601</v>
      </c>
      <c r="Q704" s="7">
        <f>IF(O704-O703=0,1,(P704-P703)/(O704-O703))</f>
        <v>78.31006702045379</v>
      </c>
      <c r="S704" s="7">
        <f>$G$59</f>
        <v>8</v>
      </c>
      <c r="T704" s="7">
        <f aca="true" t="shared" si="34" ref="T704:T718">S704^3+S$701*S704^2-T$701*S704-U$701</f>
        <v>1180.3847410335773</v>
      </c>
      <c r="U704" s="7">
        <f>IF(S704-S703=0,1,(T704-T703)/(S704-S703))</f>
        <v>162.0630011584389</v>
      </c>
      <c r="W704" s="7">
        <f>$G$59</f>
        <v>8</v>
      </c>
      <c r="X704" s="7">
        <f aca="true" t="shared" si="35" ref="X704:X718">W704^3+W$701*W704^2-X$701*W704-Y$701</f>
        <v>144.10962601273252</v>
      </c>
      <c r="Y704" s="7">
        <f>IF(W704-W703=0,1,(X704-X703)/(W704-W703))</f>
        <v>74.82555525107188</v>
      </c>
      <c r="AA704" s="7">
        <f>$G$59</f>
        <v>8</v>
      </c>
      <c r="AB704" s="7">
        <f aca="true" t="shared" si="36" ref="AB704:AB718">AA704^3+AA$701*AA704^2-AB$701*AA704-AC$701</f>
        <v>581.6833518229057</v>
      </c>
      <c r="AC704" s="7">
        <f>IF(AA704-AA703=0,1,(AB704-AB703)/(AA704-AA703))</f>
        <v>111.66211890345889</v>
      </c>
      <c r="AE704" s="7">
        <f>$G$59</f>
        <v>8</v>
      </c>
      <c r="AF704" s="7">
        <f aca="true" t="shared" si="37" ref="AF704:AF718">AE704^3+AE$701*AE704^2-AF$701*AE704-AG$701</f>
        <v>834.2310668052223</v>
      </c>
      <c r="AG704" s="7">
        <f>IF(AE704-AE703=0,1,(AF704-AF703)/(AE704-AE703))</f>
        <v>132.92251327697025</v>
      </c>
      <c r="AI704" s="7">
        <f>$G$59</f>
        <v>8</v>
      </c>
      <c r="AJ704" s="7">
        <f aca="true" t="shared" si="38" ref="AJ704:AJ718">AI704^3+AI$701*AI704^2-AJ$701*AI704-AK$701</f>
        <v>581.6833518229059</v>
      </c>
      <c r="AK704" s="7">
        <f>IF(AI704-AI703=0,1,(AJ704-AJ703)/(AI704-AI703))</f>
        <v>111.66211890345892</v>
      </c>
      <c r="AM704" s="7">
        <f>$G$59</f>
        <v>8</v>
      </c>
      <c r="AN704" s="7">
        <f aca="true" t="shared" si="39" ref="AN704:AN718">AM704^3+AM$701*AM704^2-AN$701*AM704-AO$701</f>
        <v>144.1096260127328</v>
      </c>
      <c r="AO704" s="7">
        <f>IF(AM704-AM703=0,1,(AN704-AN703)/(AM704-AM703))</f>
        <v>74.8255552510719</v>
      </c>
      <c r="AQ704" s="7">
        <f>$G$59</f>
        <v>8</v>
      </c>
      <c r="AR704" s="7">
        <f aca="true" t="shared" si="40" ref="AR704:AR718">AQ704^3+AQ$701*AQ704^2-AR$701*AQ704-AS$701</f>
        <v>1180.3847410335773</v>
      </c>
      <c r="AS704" s="7">
        <f>IF(AQ704-AQ703=0,1,(AR704-AR703)/(AQ704-AQ703))</f>
        <v>162.0630011584389</v>
      </c>
      <c r="AU704" s="7">
        <f>$G$59</f>
        <v>8</v>
      </c>
      <c r="AV704" s="7">
        <f aca="true" t="shared" si="41" ref="AV704:AV718">AU704^3+AU$701*AU704^2-AV$701*AU704-AW$701</f>
        <v>185.50140218236083</v>
      </c>
      <c r="AW704" s="7">
        <f>IF(AU704-AU703=0,1,(AV704-AV703)/(AU704-AU703))</f>
        <v>78.31006702045386</v>
      </c>
      <c r="AY704" s="7">
        <f>$G$59</f>
        <v>8</v>
      </c>
      <c r="AZ704" s="7">
        <f aca="true" t="shared" si="42" ref="AZ704:AZ718">AY704^3+AY$701*AY704^2-AZ$701*AY704-BA$701</f>
        <v>821.8439718027954</v>
      </c>
      <c r="BA704" s="7">
        <f>IF(AY704-AY703=0,1,(AZ704-AZ703)/(AY704-AY703))</f>
        <v>131.87972211605165</v>
      </c>
      <c r="BC704" s="7">
        <f>$G$59</f>
        <v>8</v>
      </c>
      <c r="BD704" s="7">
        <f aca="true" t="shared" si="43" ref="BD704:BD718">BC704^3+BC$701*BC704^2-BD$701*BC704-BE$701</f>
        <v>706.5321560117106</v>
      </c>
      <c r="BE704" s="7">
        <f>IF(BC704-BC703=0,1,(BD704-BD703)/(BC704-BC703))</f>
        <v>122.17234986833279</v>
      </c>
      <c r="BG704" s="7">
        <f>$G$59</f>
        <v>8</v>
      </c>
      <c r="BH704" s="7">
        <f aca="true" t="shared" si="44" ref="BH704:BH718">BG704^3+BG$701*BG704^2-BH$701*BG704-BI$701</f>
        <v>821.8439718027952</v>
      </c>
      <c r="BI704" s="7">
        <f>IF(BG704-BG703=0,1,(BH704-BH703)/(BG704-BG703))</f>
        <v>131.87972211605162</v>
      </c>
    </row>
    <row r="705" spans="11:61" ht="13.5">
      <c r="K705" s="7">
        <f t="shared" si="30"/>
        <v>12.005416656286542</v>
      </c>
      <c r="L705" s="7">
        <f t="shared" si="31"/>
        <v>85.21777799922046</v>
      </c>
      <c r="M705" s="7">
        <f t="shared" si="32"/>
        <v>454.4948159958425</v>
      </c>
      <c r="O705" s="7">
        <f aca="true" t="shared" si="45" ref="O705:O718">O704-P704/Q704</f>
        <v>5.631193418160286</v>
      </c>
      <c r="P705" s="7">
        <f>IF(P704=0,0,O705^3+O$701*O705^2-P$701*O705-Q$701)</f>
        <v>-343.5566418750523</v>
      </c>
      <c r="Q705" s="7">
        <f>IF(O705-O704=0,1,(P705-P704)/(O705-O704))</f>
        <v>223.34370738134464</v>
      </c>
      <c r="S705" s="7">
        <f>S704-T704/U704</f>
        <v>0.7165069596632447</v>
      </c>
      <c r="T705" s="7">
        <f t="shared" si="34"/>
        <v>-123.66130757196284</v>
      </c>
      <c r="U705" s="7">
        <f>IF(S705-S704=0,1,(T705-T704)/(S705-S704))</f>
        <v>179.04129809469097</v>
      </c>
      <c r="W705" s="7">
        <f>W704-X704/Y704</f>
        <v>6.074058715245308</v>
      </c>
      <c r="X705" s="7">
        <f t="shared" si="35"/>
        <v>-305.0850167732965</v>
      </c>
      <c r="Y705" s="7">
        <f>IF(W705-W704=0,1,(X705-X704)/(W705-W704))</f>
        <v>233.23381992055027</v>
      </c>
      <c r="AA705" s="7">
        <f>AA704-AB704/AC704</f>
        <v>2.790683200935682</v>
      </c>
      <c r="AB705" s="7">
        <f t="shared" si="36"/>
        <v>-349.6556488933293</v>
      </c>
      <c r="AC705" s="7">
        <f>IF(AA705-AA704=0,1,(AB705-AB704)/(AA705-AA704))</f>
        <v>178.7833293002106</v>
      </c>
      <c r="AE705" s="7">
        <f>AE704-AF704/AG704</f>
        <v>1.7239294816301172</v>
      </c>
      <c r="AF705" s="7">
        <f t="shared" si="37"/>
        <v>-256.52959647011426</v>
      </c>
      <c r="AG705" s="7">
        <f>IF(AE705-AE704=0,1,(AF705-AF704)/(AE705-AE704))</f>
        <v>173.79675070296145</v>
      </c>
      <c r="AI705" s="7">
        <f>AI704-AJ704/AK704</f>
        <v>2.790683200935682</v>
      </c>
      <c r="AJ705" s="7">
        <f t="shared" si="38"/>
        <v>-349.65564889332927</v>
      </c>
      <c r="AK705" s="7">
        <f>IF(AI705-AI704=0,1,(AJ705-AJ704)/(AI705-AI704))</f>
        <v>178.78332930021065</v>
      </c>
      <c r="AM705" s="7">
        <f>AM704-AN704/AO704</f>
        <v>6.074058715245306</v>
      </c>
      <c r="AN705" s="7">
        <f t="shared" si="39"/>
        <v>-305.0850167732968</v>
      </c>
      <c r="AO705" s="7">
        <f>IF(AM705-AM704=0,1,(AN705-AN704)/(AM705-AM704))</f>
        <v>233.23381992055025</v>
      </c>
      <c r="AQ705" s="7">
        <f>AQ704-AR704/AS704</f>
        <v>0.7165069596632447</v>
      </c>
      <c r="AR705" s="7">
        <f t="shared" si="40"/>
        <v>-123.66130757196284</v>
      </c>
      <c r="AS705" s="7">
        <f>IF(AQ705-AQ704=0,1,(AR705-AR704)/(AQ705-AQ704))</f>
        <v>179.04129809469097</v>
      </c>
      <c r="AU705" s="7">
        <f>AU704-AV704/AW704</f>
        <v>5.631193418160278</v>
      </c>
      <c r="AV705" s="7">
        <f t="shared" si="41"/>
        <v>-343.55664187505306</v>
      </c>
      <c r="AW705" s="7">
        <f>IF(AU705-AU704=0,1,(AV705-AV704)/(AU705-AU704))</f>
        <v>223.34370738134453</v>
      </c>
      <c r="AY705" s="7">
        <f>AY704-AZ704/BA704</f>
        <v>1.7682309409206347</v>
      </c>
      <c r="AZ705" s="7">
        <f t="shared" si="42"/>
        <v>-261.36099759772736</v>
      </c>
      <c r="BA705" s="7">
        <f>IF(AY705-AY704=0,1,(AZ705-AZ704)/(AY705-AY704))</f>
        <v>173.81981892001423</v>
      </c>
      <c r="BC705" s="7">
        <f>BC704-BD704/BE704</f>
        <v>2.2169225952259053</v>
      </c>
      <c r="BD705" s="7">
        <f t="shared" si="43"/>
        <v>-305.59822596623894</v>
      </c>
      <c r="BE705" s="7">
        <f>IF(BC705-BC704=0,1,(BD705-BD704)/(BC705-BC704))</f>
        <v>175.01588015100873</v>
      </c>
      <c r="BG705" s="7">
        <f>BG704-BH704/BI704</f>
        <v>1.7682309409206347</v>
      </c>
      <c r="BH705" s="7">
        <f t="shared" si="44"/>
        <v>-261.3609975977274</v>
      </c>
      <c r="BI705" s="7">
        <f>IF(BG705-BG704=0,1,(BH705-BH704)/(BG705-BG704))</f>
        <v>173.81981892001423</v>
      </c>
    </row>
    <row r="706" spans="11:61" ht="13.5">
      <c r="K706" s="7">
        <f t="shared" si="30"/>
        <v>13.261208598981554</v>
      </c>
      <c r="L706" s="7">
        <f t="shared" si="31"/>
        <v>58.42754988839353</v>
      </c>
      <c r="M706" s="7">
        <f t="shared" si="32"/>
        <v>311.61359940476547</v>
      </c>
      <c r="O706" s="7">
        <f t="shared" si="45"/>
        <v>7.169435287175435</v>
      </c>
      <c r="P706" s="7">
        <f t="shared" si="33"/>
        <v>-42.06507990687027</v>
      </c>
      <c r="Q706" s="7">
        <f aca="true" t="shared" si="46" ref="Q706:Q716">IF(O706-O705=0,1,(P706-P705)/(O706-O705))</f>
        <v>195.99750080994104</v>
      </c>
      <c r="S706" s="7">
        <f aca="true" t="shared" si="47" ref="S706:S718">S705-T705/U705</f>
        <v>1.4071929013310778</v>
      </c>
      <c r="T706" s="7">
        <f t="shared" si="34"/>
        <v>-114.30854411867914</v>
      </c>
      <c r="U706" s="7">
        <f aca="true" t="shared" si="48" ref="U706:U716">IF(S706-S705=0,1,(T706-T705)/(S706-S705))</f>
        <v>13.54126801929561</v>
      </c>
      <c r="W706" s="7">
        <f aca="true" t="shared" si="49" ref="W706:W716">W705-X705/Y705</f>
        <v>7.382123801506048</v>
      </c>
      <c r="X706" s="7">
        <f t="shared" si="35"/>
        <v>-27.044410072496703</v>
      </c>
      <c r="Y706" s="7">
        <f aca="true" t="shared" si="50" ref="Y706:Y716">IF(W706-W705=0,1,(X706-X705)/(W706-W705))</f>
        <v>212.55869422798528</v>
      </c>
      <c r="AA706" s="7">
        <f aca="true" t="shared" si="51" ref="AA706:AA716">AA705-AB705/AC705</f>
        <v>4.746434054563607</v>
      </c>
      <c r="AB706" s="7">
        <f t="shared" si="36"/>
        <v>-183.24848114038656</v>
      </c>
      <c r="AC706" s="7">
        <f aca="true" t="shared" si="52" ref="AC706:AC716">IF(AA706-AA705=0,1,(AB706-AB705)/(AA706-AA705))</f>
        <v>85.08607701449132</v>
      </c>
      <c r="AE706" s="7">
        <f aca="true" t="shared" si="53" ref="AE706:AE716">AE705-AF705/AG705</f>
        <v>3.1999616596341394</v>
      </c>
      <c r="AF706" s="7">
        <f t="shared" si="37"/>
        <v>-190.65683893450506</v>
      </c>
      <c r="AG706" s="7">
        <f aca="true" t="shared" si="54" ref="AG706:AG716">IF(AE706-AE705=0,1,(AF706-AF705)/(AE706-AE705))</f>
        <v>44.628266590154034</v>
      </c>
      <c r="AI706" s="7">
        <f aca="true" t="shared" si="55" ref="AI706:AI716">AI705-AJ705/AK705</f>
        <v>4.746434054563606</v>
      </c>
      <c r="AJ706" s="7">
        <f t="shared" si="38"/>
        <v>-183.24848114038656</v>
      </c>
      <c r="AK706" s="7">
        <f aca="true" t="shared" si="56" ref="AK706:AK716">IF(AI706-AI705=0,1,(AJ706-AJ705)/(AI706-AI705))</f>
        <v>85.08607701449134</v>
      </c>
      <c r="AM706" s="7">
        <f aca="true" t="shared" si="57" ref="AM706:AM716">AM705-AN705/AO705</f>
        <v>7.382123801506047</v>
      </c>
      <c r="AN706" s="7">
        <f t="shared" si="39"/>
        <v>-27.04441007249676</v>
      </c>
      <c r="AO706" s="7">
        <f aca="true" t="shared" si="58" ref="AO706:AO716">IF(AM706-AM705=0,1,(AN706-AN705)/(AM706-AM705))</f>
        <v>212.55869422798517</v>
      </c>
      <c r="AQ706" s="7">
        <f aca="true" t="shared" si="59" ref="AQ706:AQ716">AQ705-AR705/AS705</f>
        <v>1.4071929013310778</v>
      </c>
      <c r="AR706" s="7">
        <f t="shared" si="40"/>
        <v>-114.30854411867914</v>
      </c>
      <c r="AS706" s="7">
        <f aca="true" t="shared" si="60" ref="AS706:AS716">IF(AQ706-AQ705=0,1,(AR706-AR705)/(AQ706-AQ705))</f>
        <v>13.54126801929561</v>
      </c>
      <c r="AU706" s="7">
        <f aca="true" t="shared" si="61" ref="AU706:AU716">AU705-AV705/AW705</f>
        <v>7.169435287175432</v>
      </c>
      <c r="AV706" s="7">
        <f t="shared" si="41"/>
        <v>-42.06507990687078</v>
      </c>
      <c r="AW706" s="7">
        <f aca="true" t="shared" si="62" ref="AW706:AW716">IF(AU706-AU705=0,1,(AV706-AV705)/(AU706-AU705))</f>
        <v>195.99750080994062</v>
      </c>
      <c r="AY706" s="7">
        <f aca="true" t="shared" si="63" ref="AY706:AY716">AY705-AZ705/BA705</f>
        <v>3.271862685687303</v>
      </c>
      <c r="AZ706" s="7">
        <f t="shared" si="42"/>
        <v>-191.88592474331716</v>
      </c>
      <c r="BA706" s="7">
        <f aca="true" t="shared" si="64" ref="BA706:BA716">IF(AY706-AY705=0,1,(AZ706-AZ705)/(AY706-AY705))</f>
        <v>46.20484576507212</v>
      </c>
      <c r="BC706" s="7">
        <f aca="true" t="shared" si="65" ref="BC706:BC716">BC705-BD705/BE705</f>
        <v>3.963039723012024</v>
      </c>
      <c r="BD706" s="7">
        <f t="shared" si="43"/>
        <v>-195.9586464048989</v>
      </c>
      <c r="BE706" s="7">
        <f aca="true" t="shared" si="66" ref="BE706:BE716">IF(BC706-BC705=0,1,(BD706-BD705)/(BC706-BC705))</f>
        <v>62.79050690050259</v>
      </c>
      <c r="BG706" s="7">
        <f aca="true" t="shared" si="67" ref="BG706:BG716">BG705-BH705/BI705</f>
        <v>3.2718626856873034</v>
      </c>
      <c r="BH706" s="7">
        <f t="shared" si="44"/>
        <v>-191.8859247433172</v>
      </c>
      <c r="BI706" s="7">
        <f aca="true" t="shared" si="68" ref="BI706:BI716">IF(BG706-BG705=0,1,(BH706-BH705)/(BG706-BG705))</f>
        <v>46.20484576507213</v>
      </c>
    </row>
    <row r="707" spans="11:61" ht="13.5">
      <c r="K707" s="7">
        <f t="shared" si="30"/>
        <v>13.985994770805803</v>
      </c>
      <c r="L707" s="7">
        <f t="shared" si="31"/>
        <v>42.96544488947618</v>
      </c>
      <c r="M707" s="7">
        <f t="shared" si="32"/>
        <v>229.14903941053967</v>
      </c>
      <c r="O707" s="7">
        <f t="shared" si="45"/>
        <v>7.384055778421703</v>
      </c>
      <c r="P707" s="7">
        <f t="shared" si="33"/>
        <v>12.154610755273268</v>
      </c>
      <c r="Q707" s="7">
        <f t="shared" si="46"/>
        <v>252.6305402960279</v>
      </c>
      <c r="S707" s="7">
        <f t="shared" si="47"/>
        <v>9.848687741828686</v>
      </c>
      <c r="T707" s="7">
        <f t="shared" si="34"/>
        <v>2077.6948597845435</v>
      </c>
      <c r="U707" s="7">
        <f t="shared" si="48"/>
        <v>259.67005196605777</v>
      </c>
      <c r="W707" s="7">
        <f t="shared" si="49"/>
        <v>7.509356470914007</v>
      </c>
      <c r="X707" s="7">
        <f t="shared" si="35"/>
        <v>6.021049253677575</v>
      </c>
      <c r="Y707" s="7">
        <f t="shared" si="50"/>
        <v>259.8818328660011</v>
      </c>
      <c r="AA707" s="7">
        <f t="shared" si="51"/>
        <v>6.900117566252327</v>
      </c>
      <c r="AB707" s="7">
        <f t="shared" si="36"/>
        <v>245.14288628621415</v>
      </c>
      <c r="AC707" s="7">
        <f t="shared" si="52"/>
        <v>198.91101227343088</v>
      </c>
      <c r="AE707" s="7">
        <f t="shared" si="53"/>
        <v>7.472071098376448</v>
      </c>
      <c r="AF707" s="7">
        <f t="shared" si="37"/>
        <v>647.8535413796669</v>
      </c>
      <c r="AG707" s="7">
        <f t="shared" si="54"/>
        <v>196.27549161311418</v>
      </c>
      <c r="AI707" s="7">
        <f t="shared" si="55"/>
        <v>6.900117566252326</v>
      </c>
      <c r="AJ707" s="7">
        <f t="shared" si="38"/>
        <v>245.1428862862141</v>
      </c>
      <c r="AK707" s="7">
        <f t="shared" si="56"/>
        <v>198.91101227343088</v>
      </c>
      <c r="AM707" s="7">
        <f t="shared" si="57"/>
        <v>7.509356470914007</v>
      </c>
      <c r="AN707" s="7">
        <f t="shared" si="39"/>
        <v>6.021049253677859</v>
      </c>
      <c r="AO707" s="7">
        <f t="shared" si="58"/>
        <v>259.88183286600196</v>
      </c>
      <c r="AQ707" s="7">
        <f t="shared" si="59"/>
        <v>9.848687741828686</v>
      </c>
      <c r="AR707" s="7">
        <f t="shared" si="40"/>
        <v>2077.6948597845435</v>
      </c>
      <c r="AS707" s="7">
        <f t="shared" si="60"/>
        <v>259.67005196605777</v>
      </c>
      <c r="AU707" s="7">
        <f t="shared" si="61"/>
        <v>7.384055778421702</v>
      </c>
      <c r="AV707" s="7">
        <f t="shared" si="41"/>
        <v>12.154610755273552</v>
      </c>
      <c r="AW707" s="7">
        <f t="shared" si="62"/>
        <v>252.63054029602847</v>
      </c>
      <c r="AY707" s="7">
        <f t="shared" si="63"/>
        <v>7.42480209206382</v>
      </c>
      <c r="AZ707" s="7">
        <f t="shared" si="42"/>
        <v>620.5332637087233</v>
      </c>
      <c r="BA707" s="7">
        <f t="shared" si="64"/>
        <v>195.6251004299831</v>
      </c>
      <c r="BC707" s="7">
        <f t="shared" si="65"/>
        <v>7.083872092074016</v>
      </c>
      <c r="BD707" s="7">
        <f t="shared" si="43"/>
        <v>408.3293605421436</v>
      </c>
      <c r="BE707" s="7">
        <f t="shared" si="66"/>
        <v>193.6303958320803</v>
      </c>
      <c r="BG707" s="7">
        <f t="shared" si="67"/>
        <v>7.424802092063821</v>
      </c>
      <c r="BH707" s="7">
        <f t="shared" si="44"/>
        <v>620.5332637087234</v>
      </c>
      <c r="BI707" s="7">
        <f t="shared" si="68"/>
        <v>195.62510042998306</v>
      </c>
    </row>
    <row r="708" spans="11:61" ht="13.5">
      <c r="K708" s="7">
        <f t="shared" si="30"/>
        <v>13.261208598981554</v>
      </c>
      <c r="L708" s="7">
        <f t="shared" si="31"/>
        <v>58.42754988839352</v>
      </c>
      <c r="M708" s="7">
        <f t="shared" si="32"/>
        <v>311.6135994047654</v>
      </c>
      <c r="O708" s="7">
        <f t="shared" si="45"/>
        <v>7.3359435797103725</v>
      </c>
      <c r="P708" s="7">
        <f t="shared" si="33"/>
        <v>-0.2724860049086715</v>
      </c>
      <c r="Q708" s="7">
        <f t="shared" si="46"/>
        <v>258.29409366101777</v>
      </c>
      <c r="S708" s="7">
        <f t="shared" si="47"/>
        <v>1.847399784077881</v>
      </c>
      <c r="T708" s="7">
        <f t="shared" si="34"/>
        <v>-98.91350784235303</v>
      </c>
      <c r="U708" s="7">
        <f t="shared" si="48"/>
        <v>272.03225019772316</v>
      </c>
      <c r="W708" s="7">
        <f t="shared" si="49"/>
        <v>7.486188059381439</v>
      </c>
      <c r="X708" s="7">
        <f t="shared" si="35"/>
        <v>-0.08289774004504125</v>
      </c>
      <c r="Y708" s="7">
        <f t="shared" si="50"/>
        <v>263.45988308875764</v>
      </c>
      <c r="AA708" s="7">
        <f t="shared" si="51"/>
        <v>5.667692656819805</v>
      </c>
      <c r="AB708" s="7">
        <f t="shared" si="36"/>
        <v>-34.71482034990112</v>
      </c>
      <c r="AC708" s="7">
        <f t="shared" si="52"/>
        <v>227.07891125389352</v>
      </c>
      <c r="AE708" s="7">
        <f t="shared" si="53"/>
        <v>4.17133530067087</v>
      </c>
      <c r="AF708" s="7">
        <f t="shared" si="37"/>
        <v>-92.43407970360002</v>
      </c>
      <c r="AG708" s="7">
        <f t="shared" si="54"/>
        <v>224.27957475356223</v>
      </c>
      <c r="AI708" s="7">
        <f t="shared" si="55"/>
        <v>5.6676926568198045</v>
      </c>
      <c r="AJ708" s="7">
        <f t="shared" si="38"/>
        <v>-34.71482034990123</v>
      </c>
      <c r="AK708" s="7">
        <f t="shared" si="56"/>
        <v>227.07891125389358</v>
      </c>
      <c r="AM708" s="7">
        <f t="shared" si="57"/>
        <v>7.486188059381438</v>
      </c>
      <c r="AN708" s="7">
        <f t="shared" si="39"/>
        <v>-0.0828977400449844</v>
      </c>
      <c r="AO708" s="7">
        <f t="shared" si="58"/>
        <v>263.45988308875735</v>
      </c>
      <c r="AQ708" s="7">
        <f t="shared" si="59"/>
        <v>1.847399784077881</v>
      </c>
      <c r="AR708" s="7">
        <f t="shared" si="40"/>
        <v>-98.91350784235303</v>
      </c>
      <c r="AS708" s="7">
        <f t="shared" si="60"/>
        <v>272.03225019772316</v>
      </c>
      <c r="AU708" s="7">
        <f t="shared" si="61"/>
        <v>7.335943579710371</v>
      </c>
      <c r="AV708" s="7">
        <f t="shared" si="41"/>
        <v>-0.27248600490850095</v>
      </c>
      <c r="AW708" s="7">
        <f t="shared" si="62"/>
        <v>258.2940936610154</v>
      </c>
      <c r="AY708" s="7">
        <f t="shared" si="63"/>
        <v>4.2527486983797065</v>
      </c>
      <c r="AZ708" s="7">
        <f t="shared" si="42"/>
        <v>-89.91967895928872</v>
      </c>
      <c r="BA708" s="7">
        <f t="shared" si="64"/>
        <v>223.97256744876907</v>
      </c>
      <c r="BC708" s="7">
        <f t="shared" si="65"/>
        <v>4.97506392284291</v>
      </c>
      <c r="BD708" s="7">
        <f t="shared" si="43"/>
        <v>-63.259822560843475</v>
      </c>
      <c r="BE708" s="7">
        <f t="shared" si="66"/>
        <v>223.62829866831058</v>
      </c>
      <c r="BG708" s="7">
        <f t="shared" si="67"/>
        <v>4.2527486983797065</v>
      </c>
      <c r="BH708" s="7">
        <f t="shared" si="44"/>
        <v>-89.91967895928877</v>
      </c>
      <c r="BI708" s="7">
        <f t="shared" si="68"/>
        <v>223.97256744876907</v>
      </c>
    </row>
    <row r="709" spans="11:61" ht="13.5">
      <c r="K709" s="7">
        <f t="shared" si="30"/>
        <v>12.005416656286542</v>
      </c>
      <c r="L709" s="7">
        <f t="shared" si="31"/>
        <v>85.21777799922043</v>
      </c>
      <c r="M709" s="7">
        <f t="shared" si="32"/>
        <v>454.49481599584243</v>
      </c>
      <c r="O709" s="7">
        <f t="shared" si="45"/>
        <v>7.336998524486873</v>
      </c>
      <c r="P709" s="7">
        <f t="shared" si="33"/>
        <v>-0.0016968508541026495</v>
      </c>
      <c r="Q709" s="7">
        <f t="shared" si="46"/>
        <v>256.685620031075</v>
      </c>
      <c r="S709" s="7">
        <f t="shared" si="47"/>
        <v>2.211009274388162</v>
      </c>
      <c r="T709" s="7">
        <f t="shared" si="34"/>
        <v>-80.22168237041794</v>
      </c>
      <c r="U709" s="7">
        <f t="shared" si="48"/>
        <v>51.40631905945216</v>
      </c>
      <c r="W709" s="7">
        <f t="shared" si="49"/>
        <v>7.486502709714815</v>
      </c>
      <c r="X709" s="7">
        <f t="shared" si="35"/>
        <v>-0.0002479974069728996</v>
      </c>
      <c r="Y709" s="7">
        <f t="shared" si="50"/>
        <v>262.67171482482706</v>
      </c>
      <c r="AA709" s="7">
        <f t="shared" si="51"/>
        <v>5.820568237199381</v>
      </c>
      <c r="AB709" s="7">
        <f t="shared" si="36"/>
        <v>-5.22334436130518</v>
      </c>
      <c r="AC709" s="7">
        <f t="shared" si="52"/>
        <v>192.91162077927316</v>
      </c>
      <c r="AE709" s="7">
        <f t="shared" si="53"/>
        <v>4.583473052426314</v>
      </c>
      <c r="AF709" s="7">
        <f t="shared" si="37"/>
        <v>-35.96843595791063</v>
      </c>
      <c r="AG709" s="7">
        <f t="shared" si="54"/>
        <v>137.0067253125487</v>
      </c>
      <c r="AI709" s="7">
        <f t="shared" si="55"/>
        <v>5.820568237199381</v>
      </c>
      <c r="AJ709" s="7">
        <f t="shared" si="38"/>
        <v>-5.223344361305067</v>
      </c>
      <c r="AK709" s="7">
        <f t="shared" si="56"/>
        <v>192.9116207792735</v>
      </c>
      <c r="AM709" s="7">
        <f t="shared" si="57"/>
        <v>7.486502709714814</v>
      </c>
      <c r="AN709" s="7">
        <f t="shared" si="39"/>
        <v>-0.00024799740680236937</v>
      </c>
      <c r="AO709" s="7">
        <f t="shared" si="58"/>
        <v>262.6717148251884</v>
      </c>
      <c r="AQ709" s="7">
        <f t="shared" si="59"/>
        <v>2.211009274388162</v>
      </c>
      <c r="AR709" s="7">
        <f t="shared" si="40"/>
        <v>-80.22168237041794</v>
      </c>
      <c r="AS709" s="7">
        <f t="shared" si="60"/>
        <v>51.40631905945216</v>
      </c>
      <c r="AU709" s="7">
        <f t="shared" si="61"/>
        <v>7.336998524486871</v>
      </c>
      <c r="AV709" s="7">
        <f t="shared" si="41"/>
        <v>-0.0016968508539321192</v>
      </c>
      <c r="AW709" s="7">
        <f t="shared" si="62"/>
        <v>256.685620031075</v>
      </c>
      <c r="AY709" s="7">
        <f t="shared" si="63"/>
        <v>4.654225004087801</v>
      </c>
      <c r="AZ709" s="7">
        <f t="shared" si="42"/>
        <v>-33.68355183066629</v>
      </c>
      <c r="BA709" s="7">
        <f t="shared" si="64"/>
        <v>140.07334014254545</v>
      </c>
      <c r="BC709" s="7">
        <f t="shared" si="65"/>
        <v>5.257943249554024</v>
      </c>
      <c r="BD709" s="7">
        <f t="shared" si="43"/>
        <v>-15.979188105465369</v>
      </c>
      <c r="BE709" s="7">
        <f t="shared" si="66"/>
        <v>167.14064970772066</v>
      </c>
      <c r="BG709" s="7">
        <f t="shared" si="67"/>
        <v>4.654225004087801</v>
      </c>
      <c r="BH709" s="7">
        <f t="shared" si="44"/>
        <v>-33.683551830666346</v>
      </c>
      <c r="BI709" s="7">
        <f t="shared" si="68"/>
        <v>140.07334014254545</v>
      </c>
    </row>
    <row r="710" spans="11:61" ht="13.5">
      <c r="K710" s="7">
        <f t="shared" si="30"/>
        <v>14.97942049403769</v>
      </c>
      <c r="L710" s="7">
        <f t="shared" si="31"/>
        <v>21.772362793862623</v>
      </c>
      <c r="M710" s="7">
        <f t="shared" si="32"/>
        <v>116.119268233934</v>
      </c>
      <c r="O710" s="7">
        <f t="shared" si="45"/>
        <v>7.33700513510594</v>
      </c>
      <c r="P710" s="7">
        <f t="shared" si="33"/>
        <v>2.3953776917551295E-07</v>
      </c>
      <c r="Q710" s="7">
        <f t="shared" si="46"/>
        <v>256.72185533680545</v>
      </c>
      <c r="S710" s="7">
        <f t="shared" si="47"/>
        <v>3.7715505432084484</v>
      </c>
      <c r="T710" s="7">
        <f t="shared" si="34"/>
        <v>68.49010577859057</v>
      </c>
      <c r="U710" s="7">
        <f t="shared" si="48"/>
        <v>95.29500508591441</v>
      </c>
      <c r="W710" s="7">
        <f t="shared" si="49"/>
        <v>7.486503653849234</v>
      </c>
      <c r="X710" s="7">
        <f t="shared" si="35"/>
        <v>1.0269332051393576E-08</v>
      </c>
      <c r="Y710" s="7">
        <f t="shared" si="50"/>
        <v>262.6825917727037</v>
      </c>
      <c r="AA710" s="7">
        <f t="shared" si="51"/>
        <v>5.847644596519806</v>
      </c>
      <c r="AB710" s="7">
        <f t="shared" si="36"/>
        <v>0.14908270598425588</v>
      </c>
      <c r="AC710" s="7">
        <f t="shared" si="52"/>
        <v>198.417630808908</v>
      </c>
      <c r="AE710" s="7">
        <f t="shared" si="53"/>
        <v>4.846003493000359</v>
      </c>
      <c r="AF710" s="7">
        <f t="shared" si="37"/>
        <v>4.886201058163721</v>
      </c>
      <c r="AG710" s="7">
        <f t="shared" si="54"/>
        <v>155.6186662649182</v>
      </c>
      <c r="AI710" s="7">
        <f t="shared" si="55"/>
        <v>5.847644596519805</v>
      </c>
      <c r="AJ710" s="7">
        <f t="shared" si="38"/>
        <v>0.14908270598425588</v>
      </c>
      <c r="AK710" s="7">
        <f t="shared" si="56"/>
        <v>198.4176308089103</v>
      </c>
      <c r="AM710" s="7">
        <f t="shared" si="57"/>
        <v>7.486503653849232</v>
      </c>
      <c r="AN710" s="7">
        <f t="shared" si="39"/>
        <v>1.0269275207974715E-08</v>
      </c>
      <c r="AO710" s="7">
        <f t="shared" si="58"/>
        <v>262.68259177899023</v>
      </c>
      <c r="AQ710" s="7">
        <f t="shared" si="59"/>
        <v>3.7715505432084484</v>
      </c>
      <c r="AR710" s="7">
        <f t="shared" si="40"/>
        <v>68.49010577859057</v>
      </c>
      <c r="AS710" s="7">
        <f t="shared" si="60"/>
        <v>95.29500508591441</v>
      </c>
      <c r="AU710" s="7">
        <f t="shared" si="61"/>
        <v>7.3370051351059375</v>
      </c>
      <c r="AV710" s="7">
        <f t="shared" si="41"/>
        <v>2.3953759864525637E-07</v>
      </c>
      <c r="AW710" s="7">
        <f t="shared" si="62"/>
        <v>256.72185531970484</v>
      </c>
      <c r="AY710" s="7">
        <f t="shared" si="63"/>
        <v>4.894695830273485</v>
      </c>
      <c r="AZ710" s="7">
        <f t="shared" si="42"/>
        <v>4.284081642198089</v>
      </c>
      <c r="BA710" s="7">
        <f t="shared" si="64"/>
        <v>157.88873051713512</v>
      </c>
      <c r="BC710" s="7">
        <f t="shared" si="65"/>
        <v>5.353546492292449</v>
      </c>
      <c r="BD710" s="7">
        <f t="shared" si="43"/>
        <v>1.0567969783708122</v>
      </c>
      <c r="BE710" s="7">
        <f t="shared" si="66"/>
        <v>178.1946364564993</v>
      </c>
      <c r="BG710" s="7">
        <f t="shared" si="67"/>
        <v>4.894695830273485</v>
      </c>
      <c r="BH710" s="7">
        <f t="shared" si="44"/>
        <v>4.284081642198032</v>
      </c>
      <c r="BI710" s="7">
        <f t="shared" si="68"/>
        <v>157.88873051713512</v>
      </c>
    </row>
    <row r="711" spans="11:61" ht="13.5">
      <c r="K711" s="7">
        <f t="shared" si="30"/>
        <v>12.124206830242745</v>
      </c>
      <c r="L711" s="7">
        <f t="shared" si="31"/>
        <v>82.6835876214881</v>
      </c>
      <c r="M711" s="7">
        <f t="shared" si="32"/>
        <v>440.97913398127</v>
      </c>
      <c r="O711" s="7">
        <f t="shared" si="45"/>
        <v>7.337005134172877</v>
      </c>
      <c r="P711" s="7">
        <f t="shared" si="33"/>
        <v>0</v>
      </c>
      <c r="Q711" s="7">
        <f t="shared" si="46"/>
        <v>256.72185627146524</v>
      </c>
      <c r="S711" s="7">
        <f t="shared" si="47"/>
        <v>3.0528339041060897</v>
      </c>
      <c r="T711" s="7">
        <f t="shared" si="34"/>
        <v>-14.52976394087932</v>
      </c>
      <c r="U711" s="7">
        <f t="shared" si="48"/>
        <v>115.5112671708249</v>
      </c>
      <c r="W711" s="7">
        <f t="shared" si="49"/>
        <v>7.48650365381014</v>
      </c>
      <c r="X711" s="7">
        <f t="shared" si="35"/>
        <v>0</v>
      </c>
      <c r="Y711" s="7">
        <f t="shared" si="50"/>
        <v>262.6826608505998</v>
      </c>
      <c r="AA711" s="7">
        <f t="shared" si="51"/>
        <v>5.846893238359866</v>
      </c>
      <c r="AB711" s="7">
        <f t="shared" si="36"/>
        <v>-0.0006087402524030949</v>
      </c>
      <c r="AC711" s="7">
        <f t="shared" si="52"/>
        <v>199.22781732828113</v>
      </c>
      <c r="AE711" s="7">
        <f t="shared" si="53"/>
        <v>4.81460493924431</v>
      </c>
      <c r="AF711" s="7">
        <f t="shared" si="37"/>
        <v>-0.20487150624936135</v>
      </c>
      <c r="AG711" s="7">
        <f t="shared" si="54"/>
        <v>162.14353705486295</v>
      </c>
      <c r="AI711" s="7">
        <f t="shared" si="55"/>
        <v>5.846893238359865</v>
      </c>
      <c r="AJ711" s="7">
        <f t="shared" si="38"/>
        <v>-0.0006087402524599383</v>
      </c>
      <c r="AK711" s="7">
        <f t="shared" si="56"/>
        <v>199.2278173283568</v>
      </c>
      <c r="AM711" s="7">
        <f t="shared" si="57"/>
        <v>7.486503653810138</v>
      </c>
      <c r="AN711" s="7">
        <f t="shared" si="39"/>
        <v>0</v>
      </c>
      <c r="AO711" s="7">
        <f t="shared" si="58"/>
        <v>262.6812068338786</v>
      </c>
      <c r="AQ711" s="7">
        <f t="shared" si="59"/>
        <v>3.0528339041060897</v>
      </c>
      <c r="AR711" s="7">
        <f t="shared" si="40"/>
        <v>-14.52976394087932</v>
      </c>
      <c r="AS711" s="7">
        <f t="shared" si="60"/>
        <v>115.5112671708249</v>
      </c>
      <c r="AU711" s="7">
        <f t="shared" si="61"/>
        <v>7.337005134172875</v>
      </c>
      <c r="AV711" s="7">
        <f t="shared" si="41"/>
        <v>0</v>
      </c>
      <c r="AW711" s="7">
        <f t="shared" si="62"/>
        <v>256.7219178799374</v>
      </c>
      <c r="AY711" s="7">
        <f t="shared" si="63"/>
        <v>4.8675622810444406</v>
      </c>
      <c r="AZ711" s="7">
        <f t="shared" si="42"/>
        <v>-0.16420472977898726</v>
      </c>
      <c r="BA711" s="7">
        <f t="shared" si="64"/>
        <v>163.9404537322932</v>
      </c>
      <c r="BC711" s="7">
        <f t="shared" si="65"/>
        <v>5.347615915483933</v>
      </c>
      <c r="BD711" s="7">
        <f t="shared" si="43"/>
        <v>-0.015730223338550786</v>
      </c>
      <c r="BE711" s="7">
        <f t="shared" si="66"/>
        <v>180.84702994981876</v>
      </c>
      <c r="BG711" s="7">
        <f t="shared" si="67"/>
        <v>4.8675622810444406</v>
      </c>
      <c r="BH711" s="7">
        <f t="shared" si="44"/>
        <v>-0.1642047297790441</v>
      </c>
      <c r="BI711" s="7">
        <f t="shared" si="68"/>
        <v>163.9404537322932</v>
      </c>
    </row>
    <row r="712" spans="11:61" ht="13.5">
      <c r="K712" s="7">
        <f t="shared" si="30"/>
        <v>13.950445072138125</v>
      </c>
      <c r="L712" s="7">
        <f t="shared" si="31"/>
        <v>43.72383846105335</v>
      </c>
      <c r="M712" s="7">
        <f t="shared" si="32"/>
        <v>233.1938051256178</v>
      </c>
      <c r="O712" s="7">
        <f t="shared" si="45"/>
        <v>7.337005134172877</v>
      </c>
      <c r="P712" s="7">
        <f t="shared" si="33"/>
        <v>0</v>
      </c>
      <c r="Q712" s="7">
        <f t="shared" si="46"/>
        <v>1</v>
      </c>
      <c r="S712" s="7">
        <f t="shared" si="47"/>
        <v>3.178620455468147</v>
      </c>
      <c r="T712" s="7">
        <f t="shared" si="34"/>
        <v>-1.8632550132485761</v>
      </c>
      <c r="U712" s="7">
        <f t="shared" si="48"/>
        <v>100.69843548832274</v>
      </c>
      <c r="W712" s="7">
        <f t="shared" si="49"/>
        <v>7.48650365381014</v>
      </c>
      <c r="X712" s="7">
        <f t="shared" si="35"/>
        <v>0</v>
      </c>
      <c r="Y712" s="7">
        <f t="shared" si="50"/>
        <v>1</v>
      </c>
      <c r="AA712" s="7">
        <f t="shared" si="51"/>
        <v>5.8468962938581415</v>
      </c>
      <c r="AB712" s="7">
        <f t="shared" si="36"/>
        <v>-7.042842753435252E-08</v>
      </c>
      <c r="AC712" s="7">
        <f t="shared" si="52"/>
        <v>199.2047676186403</v>
      </c>
      <c r="AE712" s="7">
        <f t="shared" si="53"/>
        <v>4.815868458654153</v>
      </c>
      <c r="AF712" s="7">
        <f t="shared" si="37"/>
        <v>-0.00108374278664769</v>
      </c>
      <c r="AG712" s="7">
        <f t="shared" si="54"/>
        <v>161.28581949370064</v>
      </c>
      <c r="AI712" s="7">
        <f t="shared" si="55"/>
        <v>5.8468962938581415</v>
      </c>
      <c r="AJ712" s="7">
        <f t="shared" si="38"/>
        <v>-7.04283138475148E-08</v>
      </c>
      <c r="AK712" s="7">
        <f t="shared" si="56"/>
        <v>199.204767616546</v>
      </c>
      <c r="AM712" s="7">
        <f t="shared" si="57"/>
        <v>7.486503653810138</v>
      </c>
      <c r="AN712" s="7">
        <f t="shared" si="39"/>
        <v>0</v>
      </c>
      <c r="AO712" s="7">
        <f t="shared" si="58"/>
        <v>1</v>
      </c>
      <c r="AQ712" s="7">
        <f t="shared" si="59"/>
        <v>3.178620455468147</v>
      </c>
      <c r="AR712" s="7">
        <f t="shared" si="40"/>
        <v>-1.8632550132485761</v>
      </c>
      <c r="AS712" s="7">
        <f t="shared" si="60"/>
        <v>100.69843548832274</v>
      </c>
      <c r="AU712" s="7">
        <f t="shared" si="61"/>
        <v>7.337005134172875</v>
      </c>
      <c r="AV712" s="7">
        <f t="shared" si="41"/>
        <v>0</v>
      </c>
      <c r="AW712" s="7">
        <f t="shared" si="62"/>
        <v>1</v>
      </c>
      <c r="AY712" s="7">
        <f t="shared" si="63"/>
        <v>4.868563893069055</v>
      </c>
      <c r="AZ712" s="7">
        <f t="shared" si="42"/>
        <v>-0.0007480878715853123</v>
      </c>
      <c r="BA712" s="7">
        <f t="shared" si="64"/>
        <v>163.19356985585424</v>
      </c>
      <c r="BC712" s="7">
        <f t="shared" si="65"/>
        <v>5.3477028963060285</v>
      </c>
      <c r="BD712" s="7">
        <f t="shared" si="43"/>
        <v>-1.5079866102496453E-05</v>
      </c>
      <c r="BE712" s="7">
        <f t="shared" si="66"/>
        <v>180.67365993921143</v>
      </c>
      <c r="BG712" s="7">
        <f t="shared" si="67"/>
        <v>4.868563893069055</v>
      </c>
      <c r="BH712" s="7">
        <f t="shared" si="44"/>
        <v>-0.0007480878716989992</v>
      </c>
      <c r="BI712" s="7">
        <f t="shared" si="68"/>
        <v>163.19356985579748</v>
      </c>
    </row>
    <row r="713" spans="11:61" ht="13.5">
      <c r="K713" s="7">
        <f t="shared" si="30"/>
        <v>13.619511927329526</v>
      </c>
      <c r="L713" s="7">
        <f t="shared" si="31"/>
        <v>50.78374555030343</v>
      </c>
      <c r="M713" s="7">
        <f t="shared" si="32"/>
        <v>270.84664293495166</v>
      </c>
      <c r="O713" s="7">
        <f t="shared" si="45"/>
        <v>7.337005134172877</v>
      </c>
      <c r="P713" s="7">
        <f t="shared" si="33"/>
        <v>0</v>
      </c>
      <c r="Q713" s="7">
        <f t="shared" si="46"/>
        <v>1</v>
      </c>
      <c r="S713" s="7">
        <f t="shared" si="47"/>
        <v>3.1971237718723495</v>
      </c>
      <c r="T713" s="7">
        <f t="shared" si="34"/>
        <v>0.06516547734256051</v>
      </c>
      <c r="U713" s="7">
        <f t="shared" si="48"/>
        <v>104.22026238243262</v>
      </c>
      <c r="W713" s="7">
        <f t="shared" si="49"/>
        <v>7.48650365381014</v>
      </c>
      <c r="X713" s="7">
        <f t="shared" si="35"/>
        <v>0</v>
      </c>
      <c r="Y713" s="7">
        <f t="shared" si="50"/>
        <v>1</v>
      </c>
      <c r="AA713" s="7">
        <f t="shared" si="51"/>
        <v>5.84689629421169</v>
      </c>
      <c r="AB713" s="7">
        <f t="shared" si="36"/>
        <v>0</v>
      </c>
      <c r="AC713" s="7">
        <f t="shared" si="52"/>
        <v>199.20454202883988</v>
      </c>
      <c r="AE713" s="7">
        <f t="shared" si="53"/>
        <v>4.81587517804703</v>
      </c>
      <c r="AF713" s="7">
        <f t="shared" si="37"/>
        <v>2.4267674803013506E-07</v>
      </c>
      <c r="AG713" s="7">
        <f t="shared" si="54"/>
        <v>161.3219353704435</v>
      </c>
      <c r="AI713" s="7">
        <f t="shared" si="55"/>
        <v>5.846896294211689</v>
      </c>
      <c r="AJ713" s="7">
        <f t="shared" si="38"/>
        <v>0</v>
      </c>
      <c r="AK713" s="7">
        <f t="shared" si="56"/>
        <v>199.20472090820707</v>
      </c>
      <c r="AM713" s="7">
        <f t="shared" si="57"/>
        <v>7.486503653810138</v>
      </c>
      <c r="AN713" s="7">
        <f t="shared" si="39"/>
        <v>0</v>
      </c>
      <c r="AO713" s="7">
        <f t="shared" si="58"/>
        <v>1</v>
      </c>
      <c r="AQ713" s="7">
        <f t="shared" si="59"/>
        <v>3.1971237718723495</v>
      </c>
      <c r="AR713" s="7">
        <f t="shared" si="40"/>
        <v>0.06516547734256051</v>
      </c>
      <c r="AS713" s="7">
        <f t="shared" si="60"/>
        <v>104.22026238243262</v>
      </c>
      <c r="AU713" s="7">
        <f t="shared" si="61"/>
        <v>7.337005134172875</v>
      </c>
      <c r="AV713" s="7">
        <f t="shared" si="41"/>
        <v>0</v>
      </c>
      <c r="AW713" s="7">
        <f t="shared" si="62"/>
        <v>1</v>
      </c>
      <c r="AY713" s="7">
        <f t="shared" si="63"/>
        <v>4.868568477121431</v>
      </c>
      <c r="AZ713" s="7">
        <f t="shared" si="42"/>
        <v>1.3170938473194838E-07</v>
      </c>
      <c r="BA713" s="7">
        <f t="shared" si="64"/>
        <v>163.2223019313419</v>
      </c>
      <c r="BC713" s="7">
        <f t="shared" si="65"/>
        <v>5.347702979770691</v>
      </c>
      <c r="BD713" s="7">
        <f t="shared" si="43"/>
        <v>2.15550244320184E-10</v>
      </c>
      <c r="BE713" s="7">
        <f t="shared" si="66"/>
        <v>180.67624259498933</v>
      </c>
      <c r="BG713" s="7">
        <f t="shared" si="67"/>
        <v>4.868568477121431</v>
      </c>
      <c r="BH713" s="7">
        <f t="shared" si="44"/>
        <v>1.3170927104511065E-07</v>
      </c>
      <c r="BI713" s="7">
        <f t="shared" si="68"/>
        <v>163.2223019313419</v>
      </c>
    </row>
    <row r="714" spans="11:61" ht="13.5">
      <c r="K714" s="7">
        <f t="shared" si="30"/>
        <v>13.950445072138123</v>
      </c>
      <c r="L714" s="7">
        <f t="shared" si="31"/>
        <v>43.723838461053354</v>
      </c>
      <c r="M714" s="7">
        <f t="shared" si="32"/>
        <v>233.19380512561784</v>
      </c>
      <c r="O714" s="7">
        <f t="shared" si="45"/>
        <v>7.337005134172877</v>
      </c>
      <c r="P714" s="7">
        <f t="shared" si="33"/>
        <v>0</v>
      </c>
      <c r="Q714" s="7">
        <f t="shared" si="46"/>
        <v>1</v>
      </c>
      <c r="S714" s="7">
        <f t="shared" si="47"/>
        <v>3.1964985050014656</v>
      </c>
      <c r="T714" s="7">
        <f t="shared" si="34"/>
        <v>-0.00027445204622722486</v>
      </c>
      <c r="U714" s="7">
        <f t="shared" si="48"/>
        <v>104.6591982336693</v>
      </c>
      <c r="W714" s="7">
        <f t="shared" si="49"/>
        <v>7.48650365381014</v>
      </c>
      <c r="X714" s="7">
        <f t="shared" si="35"/>
        <v>0</v>
      </c>
      <c r="Y714" s="7">
        <f t="shared" si="50"/>
        <v>1</v>
      </c>
      <c r="AA714" s="7">
        <f t="shared" si="51"/>
        <v>5.84689629421169</v>
      </c>
      <c r="AB714" s="7">
        <f t="shared" si="36"/>
        <v>0</v>
      </c>
      <c r="AC714" s="7">
        <f t="shared" si="52"/>
        <v>1</v>
      </c>
      <c r="AE714" s="7">
        <f t="shared" si="53"/>
        <v>4.815875176542729</v>
      </c>
      <c r="AF714" s="7">
        <f t="shared" si="37"/>
        <v>-2.5579538487363607E-13</v>
      </c>
      <c r="AG714" s="7">
        <f t="shared" si="54"/>
        <v>161.32213885405375</v>
      </c>
      <c r="AI714" s="7">
        <f t="shared" si="55"/>
        <v>5.846896294211689</v>
      </c>
      <c r="AJ714" s="7">
        <f t="shared" si="38"/>
        <v>0</v>
      </c>
      <c r="AK714" s="7">
        <f t="shared" si="56"/>
        <v>1</v>
      </c>
      <c r="AM714" s="7">
        <f t="shared" si="57"/>
        <v>7.486503653810138</v>
      </c>
      <c r="AN714" s="7">
        <f t="shared" si="39"/>
        <v>0</v>
      </c>
      <c r="AO714" s="7">
        <f t="shared" si="58"/>
        <v>1</v>
      </c>
      <c r="AQ714" s="7">
        <f t="shared" si="59"/>
        <v>3.1964985050014656</v>
      </c>
      <c r="AR714" s="7">
        <f t="shared" si="40"/>
        <v>-0.00027445204622722486</v>
      </c>
      <c r="AS714" s="7">
        <f t="shared" si="60"/>
        <v>104.6591982336693</v>
      </c>
      <c r="AU714" s="7">
        <f t="shared" si="61"/>
        <v>7.337005134172875</v>
      </c>
      <c r="AV714" s="7">
        <f t="shared" si="41"/>
        <v>0</v>
      </c>
      <c r="AW714" s="7">
        <f t="shared" si="62"/>
        <v>1</v>
      </c>
      <c r="AY714" s="7">
        <f t="shared" si="63"/>
        <v>4.868568476314499</v>
      </c>
      <c r="AZ714" s="7">
        <f t="shared" si="42"/>
        <v>0</v>
      </c>
      <c r="BA714" s="7">
        <f t="shared" si="64"/>
        <v>163.2223483118241</v>
      </c>
      <c r="BC714" s="7">
        <f t="shared" si="65"/>
        <v>5.347702979769498</v>
      </c>
      <c r="BD714" s="7">
        <f t="shared" si="43"/>
        <v>0</v>
      </c>
      <c r="BE714" s="7">
        <f t="shared" si="66"/>
        <v>180.7058823529412</v>
      </c>
      <c r="BG714" s="7">
        <f t="shared" si="67"/>
        <v>4.8685684763145</v>
      </c>
      <c r="BH714" s="7">
        <f t="shared" si="44"/>
        <v>0</v>
      </c>
      <c r="BI714" s="7">
        <f t="shared" si="68"/>
        <v>163.22238708058345</v>
      </c>
    </row>
    <row r="715" spans="15:61" ht="13.5">
      <c r="O715" s="7">
        <f t="shared" si="45"/>
        <v>7.337005134172877</v>
      </c>
      <c r="P715" s="7">
        <f t="shared" si="33"/>
        <v>0</v>
      </c>
      <c r="Q715" s="7">
        <f t="shared" si="46"/>
        <v>1</v>
      </c>
      <c r="S715" s="7">
        <f t="shared" si="47"/>
        <v>3.196501127341889</v>
      </c>
      <c r="T715" s="7">
        <f t="shared" si="34"/>
        <v>-4.0116859167937946E-08</v>
      </c>
      <c r="U715" s="7">
        <f t="shared" si="48"/>
        <v>104.64390012507731</v>
      </c>
      <c r="W715" s="7">
        <f t="shared" si="49"/>
        <v>7.48650365381014</v>
      </c>
      <c r="X715" s="7">
        <f t="shared" si="35"/>
        <v>0</v>
      </c>
      <c r="Y715" s="7">
        <f t="shared" si="50"/>
        <v>1</v>
      </c>
      <c r="AA715" s="7">
        <f t="shared" si="51"/>
        <v>5.84689629421169</v>
      </c>
      <c r="AB715" s="7">
        <f t="shared" si="36"/>
        <v>0</v>
      </c>
      <c r="AC715" s="7">
        <f t="shared" si="52"/>
        <v>1</v>
      </c>
      <c r="AE715" s="7">
        <f t="shared" si="53"/>
        <v>4.815875176542731</v>
      </c>
      <c r="AF715" s="7">
        <f t="shared" si="37"/>
        <v>0</v>
      </c>
      <c r="AG715" s="7">
        <f t="shared" si="54"/>
        <v>144</v>
      </c>
      <c r="AI715" s="7">
        <f t="shared" si="55"/>
        <v>5.846896294211689</v>
      </c>
      <c r="AJ715" s="7">
        <f t="shared" si="38"/>
        <v>0</v>
      </c>
      <c r="AK715" s="7">
        <f t="shared" si="56"/>
        <v>1</v>
      </c>
      <c r="AM715" s="7">
        <f t="shared" si="57"/>
        <v>7.486503653810138</v>
      </c>
      <c r="AN715" s="7">
        <f t="shared" si="39"/>
        <v>0</v>
      </c>
      <c r="AO715" s="7">
        <f t="shared" si="58"/>
        <v>1</v>
      </c>
      <c r="AQ715" s="7">
        <f t="shared" si="59"/>
        <v>3.196501127341889</v>
      </c>
      <c r="AR715" s="7">
        <f t="shared" si="40"/>
        <v>-4.0116859167937946E-08</v>
      </c>
      <c r="AS715" s="7">
        <f t="shared" si="60"/>
        <v>104.64390012507731</v>
      </c>
      <c r="AU715" s="7">
        <f t="shared" si="61"/>
        <v>7.337005134172875</v>
      </c>
      <c r="AV715" s="7">
        <f t="shared" si="41"/>
        <v>0</v>
      </c>
      <c r="AW715" s="7">
        <f t="shared" si="62"/>
        <v>1</v>
      </c>
      <c r="AY715" s="7">
        <f t="shared" si="63"/>
        <v>4.868568476314499</v>
      </c>
      <c r="AZ715" s="7">
        <f t="shared" si="42"/>
        <v>0</v>
      </c>
      <c r="BA715" s="7">
        <f t="shared" si="64"/>
        <v>1</v>
      </c>
      <c r="BC715" s="7">
        <f t="shared" si="65"/>
        <v>5.347702979769498</v>
      </c>
      <c r="BD715" s="7">
        <f t="shared" si="43"/>
        <v>0</v>
      </c>
      <c r="BE715" s="7">
        <f t="shared" si="66"/>
        <v>1</v>
      </c>
      <c r="BG715" s="7">
        <f t="shared" si="67"/>
        <v>4.8685684763145</v>
      </c>
      <c r="BH715" s="7">
        <f t="shared" si="44"/>
        <v>0</v>
      </c>
      <c r="BI715" s="7">
        <f t="shared" si="68"/>
        <v>1</v>
      </c>
    </row>
    <row r="716" spans="15:61" ht="13.5">
      <c r="O716" s="7">
        <f t="shared" si="45"/>
        <v>7.337005134172877</v>
      </c>
      <c r="P716" s="7">
        <f t="shared" si="33"/>
        <v>0</v>
      </c>
      <c r="Q716" s="7">
        <f t="shared" si="46"/>
        <v>1</v>
      </c>
      <c r="S716" s="7">
        <f t="shared" si="47"/>
        <v>3.1965011277252544</v>
      </c>
      <c r="T716" s="7">
        <f t="shared" si="34"/>
        <v>0</v>
      </c>
      <c r="U716" s="7">
        <f t="shared" si="48"/>
        <v>104.64393892004976</v>
      </c>
      <c r="W716" s="7">
        <f t="shared" si="49"/>
        <v>7.48650365381014</v>
      </c>
      <c r="X716" s="7">
        <f t="shared" si="35"/>
        <v>0</v>
      </c>
      <c r="Y716" s="7">
        <f t="shared" si="50"/>
        <v>1</v>
      </c>
      <c r="AA716" s="7">
        <f t="shared" si="51"/>
        <v>5.84689629421169</v>
      </c>
      <c r="AB716" s="7">
        <f t="shared" si="36"/>
        <v>0</v>
      </c>
      <c r="AC716" s="7">
        <f t="shared" si="52"/>
        <v>1</v>
      </c>
      <c r="AE716" s="7">
        <f t="shared" si="53"/>
        <v>4.815875176542731</v>
      </c>
      <c r="AF716" s="7">
        <f t="shared" si="37"/>
        <v>0</v>
      </c>
      <c r="AG716" s="7">
        <f t="shared" si="54"/>
        <v>1</v>
      </c>
      <c r="AI716" s="7">
        <f t="shared" si="55"/>
        <v>5.846896294211689</v>
      </c>
      <c r="AJ716" s="7">
        <f t="shared" si="38"/>
        <v>0</v>
      </c>
      <c r="AK716" s="7">
        <f t="shared" si="56"/>
        <v>1</v>
      </c>
      <c r="AM716" s="7">
        <f t="shared" si="57"/>
        <v>7.486503653810138</v>
      </c>
      <c r="AN716" s="7">
        <f t="shared" si="39"/>
        <v>0</v>
      </c>
      <c r="AO716" s="7">
        <f t="shared" si="58"/>
        <v>1</v>
      </c>
      <c r="AQ716" s="7">
        <f t="shared" si="59"/>
        <v>3.1965011277252544</v>
      </c>
      <c r="AR716" s="7">
        <f t="shared" si="40"/>
        <v>0</v>
      </c>
      <c r="AS716" s="7">
        <f t="shared" si="60"/>
        <v>104.64393892004976</v>
      </c>
      <c r="AU716" s="7">
        <f t="shared" si="61"/>
        <v>7.337005134172875</v>
      </c>
      <c r="AV716" s="7">
        <f t="shared" si="41"/>
        <v>0</v>
      </c>
      <c r="AW716" s="7">
        <f t="shared" si="62"/>
        <v>1</v>
      </c>
      <c r="AY716" s="7">
        <f t="shared" si="63"/>
        <v>4.868568476314499</v>
      </c>
      <c r="AZ716" s="7">
        <f t="shared" si="42"/>
        <v>0</v>
      </c>
      <c r="BA716" s="7">
        <f t="shared" si="64"/>
        <v>1</v>
      </c>
      <c r="BC716" s="7">
        <f t="shared" si="65"/>
        <v>5.347702979769498</v>
      </c>
      <c r="BD716" s="7">
        <f t="shared" si="43"/>
        <v>0</v>
      </c>
      <c r="BE716" s="7">
        <f t="shared" si="66"/>
        <v>1</v>
      </c>
      <c r="BG716" s="7">
        <f t="shared" si="67"/>
        <v>4.8685684763145</v>
      </c>
      <c r="BH716" s="7">
        <f t="shared" si="44"/>
        <v>0</v>
      </c>
      <c r="BI716" s="7">
        <f t="shared" si="68"/>
        <v>1</v>
      </c>
    </row>
    <row r="717" spans="15:61" ht="13.5">
      <c r="O717" s="7">
        <f t="shared" si="45"/>
        <v>7.337005134172877</v>
      </c>
      <c r="P717" s="7">
        <f t="shared" si="33"/>
        <v>0</v>
      </c>
      <c r="Q717" s="7">
        <f>IF(O717-O716=0,1,(P717-P716)/(O717-O716))</f>
        <v>1</v>
      </c>
      <c r="S717" s="7">
        <f t="shared" si="47"/>
        <v>3.1965011277252544</v>
      </c>
      <c r="T717" s="7">
        <f t="shared" si="34"/>
        <v>0</v>
      </c>
      <c r="U717" s="7">
        <f>IF(S717-S716=0,1,(T717-T716)/(S717-S716))</f>
        <v>1</v>
      </c>
      <c r="W717" s="7">
        <f>W716-X716/Y716</f>
        <v>7.48650365381014</v>
      </c>
      <c r="X717" s="7">
        <f t="shared" si="35"/>
        <v>0</v>
      </c>
      <c r="Y717" s="7">
        <f>IF(W717-W716=0,1,(X717-X716)/(W717-W716))</f>
        <v>1</v>
      </c>
      <c r="AA717" s="7">
        <f>AA716-AB716/AC716</f>
        <v>5.84689629421169</v>
      </c>
      <c r="AB717" s="7">
        <f t="shared" si="36"/>
        <v>0</v>
      </c>
      <c r="AC717" s="7">
        <f>IF(AA717-AA716=0,1,(AB717-AB716)/(AA717-AA716))</f>
        <v>1</v>
      </c>
      <c r="AE717" s="7">
        <f>AE716-AF716/AG716</f>
        <v>4.815875176542731</v>
      </c>
      <c r="AF717" s="7">
        <f t="shared" si="37"/>
        <v>0</v>
      </c>
      <c r="AG717" s="7">
        <f>IF(AE717-AE716=0,1,(AF717-AF716)/(AE717-AE716))</f>
        <v>1</v>
      </c>
      <c r="AI717" s="7">
        <f>AI716-AJ716/AK716</f>
        <v>5.846896294211689</v>
      </c>
      <c r="AJ717" s="7">
        <f t="shared" si="38"/>
        <v>0</v>
      </c>
      <c r="AK717" s="7">
        <f>IF(AI717-AI716=0,1,(AJ717-AJ716)/(AI717-AI716))</f>
        <v>1</v>
      </c>
      <c r="AM717" s="7">
        <f>AM716-AN716/AO716</f>
        <v>7.486503653810138</v>
      </c>
      <c r="AN717" s="7">
        <f t="shared" si="39"/>
        <v>0</v>
      </c>
      <c r="AO717" s="7">
        <f>IF(AM717-AM716=0,1,(AN717-AN716)/(AM717-AM716))</f>
        <v>1</v>
      </c>
      <c r="AQ717" s="7">
        <f>AQ716-AR716/AS716</f>
        <v>3.1965011277252544</v>
      </c>
      <c r="AR717" s="7">
        <f t="shared" si="40"/>
        <v>0</v>
      </c>
      <c r="AS717" s="7">
        <f>IF(AQ717-AQ716=0,1,(AR717-AR716)/(AQ717-AQ716))</f>
        <v>1</v>
      </c>
      <c r="AU717" s="7">
        <f>AU716-AV716/AW716</f>
        <v>7.337005134172875</v>
      </c>
      <c r="AV717" s="7">
        <f t="shared" si="41"/>
        <v>0</v>
      </c>
      <c r="AW717" s="7">
        <f>IF(AU717-AU716=0,1,(AV717-AV716)/(AU717-AU716))</f>
        <v>1</v>
      </c>
      <c r="AY717" s="7">
        <f>AY716-AZ716/BA716</f>
        <v>4.868568476314499</v>
      </c>
      <c r="AZ717" s="7">
        <f t="shared" si="42"/>
        <v>0</v>
      </c>
      <c r="BA717" s="7">
        <f>IF(AY717-AY716=0,1,(AZ717-AZ716)/(AY717-AY716))</f>
        <v>1</v>
      </c>
      <c r="BC717" s="7">
        <f>BC716-BD716/BE716</f>
        <v>5.347702979769498</v>
      </c>
      <c r="BD717" s="7">
        <f t="shared" si="43"/>
        <v>0</v>
      </c>
      <c r="BE717" s="7">
        <f>IF(BC717-BC716=0,1,(BD717-BD716)/(BC717-BC716))</f>
        <v>1</v>
      </c>
      <c r="BG717" s="7">
        <f>BG716-BH716/BI716</f>
        <v>4.8685684763145</v>
      </c>
      <c r="BH717" s="7">
        <f t="shared" si="44"/>
        <v>0</v>
      </c>
      <c r="BI717" s="7">
        <f>IF(BG717-BG716=0,1,(BH717-BH716)/(BG717-BG716))</f>
        <v>1</v>
      </c>
    </row>
    <row r="718" spans="15:61" ht="13.5">
      <c r="O718" s="7">
        <f t="shared" si="45"/>
        <v>7.337005134172877</v>
      </c>
      <c r="P718" s="7">
        <f t="shared" si="33"/>
        <v>0</v>
      </c>
      <c r="Q718" s="7">
        <f>IF(O718-O717=0,1,(P718-P717)/(O718-O717))</f>
        <v>1</v>
      </c>
      <c r="S718" s="7">
        <f t="shared" si="47"/>
        <v>3.1965011277252544</v>
      </c>
      <c r="T718" s="7">
        <f t="shared" si="34"/>
        <v>0</v>
      </c>
      <c r="U718" s="7">
        <f>IF(S718-S717=0,1,(T718-T717)/(S718-S717))</f>
        <v>1</v>
      </c>
      <c r="W718" s="7">
        <f>W717-X717/Y717</f>
        <v>7.48650365381014</v>
      </c>
      <c r="X718" s="7">
        <f t="shared" si="35"/>
        <v>0</v>
      </c>
      <c r="Y718" s="7">
        <f>IF(W718-W717=0,1,(X718-X717)/(W718-W717))</f>
        <v>1</v>
      </c>
      <c r="AA718" s="7">
        <f>AA717-AB717/AC717</f>
        <v>5.84689629421169</v>
      </c>
      <c r="AB718" s="7">
        <f t="shared" si="36"/>
        <v>0</v>
      </c>
      <c r="AC718" s="7">
        <f>IF(AA718-AA717=0,1,(AB718-AB717)/(AA718-AA717))</f>
        <v>1</v>
      </c>
      <c r="AE718" s="7">
        <f>AE717-AF717/AG717</f>
        <v>4.815875176542731</v>
      </c>
      <c r="AF718" s="7">
        <f t="shared" si="37"/>
        <v>0</v>
      </c>
      <c r="AG718" s="7">
        <f>IF(AE718-AE717=0,1,(AF718-AF717)/(AE718-AE717))</f>
        <v>1</v>
      </c>
      <c r="AI718" s="7">
        <f>AI717-AJ717/AK717</f>
        <v>5.846896294211689</v>
      </c>
      <c r="AJ718" s="7">
        <f t="shared" si="38"/>
        <v>0</v>
      </c>
      <c r="AK718" s="7">
        <f>IF(AI718-AI717=0,1,(AJ718-AJ717)/(AI718-AI717))</f>
        <v>1</v>
      </c>
      <c r="AM718" s="7">
        <f>AM717-AN717/AO717</f>
        <v>7.486503653810138</v>
      </c>
      <c r="AN718" s="7">
        <f t="shared" si="39"/>
        <v>0</v>
      </c>
      <c r="AO718" s="7">
        <f>IF(AM718-AM717=0,1,(AN718-AN717)/(AM718-AM717))</f>
        <v>1</v>
      </c>
      <c r="AQ718" s="7">
        <f>AQ717-AR717/AS717</f>
        <v>3.1965011277252544</v>
      </c>
      <c r="AR718" s="7">
        <f t="shared" si="40"/>
        <v>0</v>
      </c>
      <c r="AS718" s="7">
        <f>IF(AQ718-AQ717=0,1,(AR718-AR717)/(AQ718-AQ717))</f>
        <v>1</v>
      </c>
      <c r="AU718" s="7">
        <f>AU717-AV717/AW717</f>
        <v>7.337005134172875</v>
      </c>
      <c r="AV718" s="7">
        <f t="shared" si="41"/>
        <v>0</v>
      </c>
      <c r="AW718" s="7">
        <f>IF(AU718-AU717=0,1,(AV718-AV717)/(AU718-AU717))</f>
        <v>1</v>
      </c>
      <c r="AY718" s="7">
        <f>AY717-AZ717/BA717</f>
        <v>4.868568476314499</v>
      </c>
      <c r="AZ718" s="7">
        <f t="shared" si="42"/>
        <v>0</v>
      </c>
      <c r="BA718" s="7">
        <f>IF(AY718-AY717=0,1,(AZ718-AZ717)/(AY718-AY717))</f>
        <v>1</v>
      </c>
      <c r="BC718" s="7">
        <f>BC717-BD717/BE717</f>
        <v>5.347702979769498</v>
      </c>
      <c r="BD718" s="7">
        <f t="shared" si="43"/>
        <v>0</v>
      </c>
      <c r="BE718" s="7">
        <f>IF(BC718-BC717=0,1,(BD718-BD717)/(BC718-BC717))</f>
        <v>1</v>
      </c>
      <c r="BG718" s="7">
        <f>BG717-BH717/BI717</f>
        <v>4.8685684763145</v>
      </c>
      <c r="BH718" s="7">
        <f t="shared" si="44"/>
        <v>0</v>
      </c>
      <c r="BI718" s="7">
        <f>IF(BG718-BG717=0,1,(BH718-BH717)/(BG718-BG717))</f>
        <v>1</v>
      </c>
    </row>
    <row r="720" spans="14:23" ht="13.5">
      <c r="N720" s="9" t="s">
        <v>587</v>
      </c>
      <c r="O720" s="9" t="s">
        <v>431</v>
      </c>
      <c r="P720" s="9" t="s">
        <v>588</v>
      </c>
      <c r="Q720" s="9" t="s">
        <v>524</v>
      </c>
      <c r="R720" s="9" t="s">
        <v>525</v>
      </c>
      <c r="S720" s="9" t="s">
        <v>432</v>
      </c>
      <c r="T720" s="9" t="s">
        <v>433</v>
      </c>
      <c r="U720" s="7" t="s">
        <v>434</v>
      </c>
      <c r="V720" s="7" t="s">
        <v>408</v>
      </c>
      <c r="W720" s="7" t="s">
        <v>430</v>
      </c>
    </row>
    <row r="721" spans="14:23" ht="13.5">
      <c r="N721" s="87">
        <f aca="true" t="shared" si="69" ref="N721:N730">IF($U721-$E$587&lt;0,10000,$U721-$E$587)</f>
        <v>10000</v>
      </c>
      <c r="O721" s="87">
        <f aca="true" t="shared" si="70" ref="O721:O730">IF($U721-$E$588&lt;0,10000,$U721-$E$588)</f>
        <v>507</v>
      </c>
      <c r="P721" s="87">
        <f aca="true" t="shared" si="71" ref="P721:P730">IF($U721-$E$589&lt;0,10000,$U721-$E$588)</f>
        <v>10000</v>
      </c>
      <c r="Q721" s="87">
        <f aca="true" t="shared" si="72" ref="Q721:Q730">IF($U721-$E$590&lt;0,10000,$U721-$E$590)</f>
        <v>10000</v>
      </c>
      <c r="R721" s="87">
        <f aca="true" t="shared" si="73" ref="R721:R730">IF($U721-$E$591&lt;0,10000,$U721-$E$591)</f>
        <v>10000</v>
      </c>
      <c r="S721" s="87">
        <f aca="true" t="shared" si="74" ref="S721:S730">IF($U721-$E$592&lt;0,10000,$U721-$E$592)</f>
        <v>10000</v>
      </c>
      <c r="T721" s="87">
        <f aca="true" t="shared" si="75" ref="T721:T730">IF($U721-$E$593&lt;0,10000,$U721-$E$593)</f>
        <v>10000</v>
      </c>
      <c r="U721" s="7">
        <v>507</v>
      </c>
      <c r="V721" s="7">
        <v>13</v>
      </c>
      <c r="W721" s="7">
        <v>250</v>
      </c>
    </row>
    <row r="722" spans="14:23" ht="13.5">
      <c r="N722" s="87">
        <f t="shared" si="69"/>
        <v>10000</v>
      </c>
      <c r="O722" s="87">
        <f t="shared" si="70"/>
        <v>794</v>
      </c>
      <c r="P722" s="87">
        <f t="shared" si="71"/>
        <v>10000</v>
      </c>
      <c r="Q722" s="87">
        <f t="shared" si="72"/>
        <v>10000</v>
      </c>
      <c r="R722" s="87">
        <f t="shared" si="73"/>
        <v>10.444913937424303</v>
      </c>
      <c r="S722" s="87">
        <f t="shared" si="74"/>
        <v>10000</v>
      </c>
      <c r="T722" s="87">
        <f t="shared" si="75"/>
        <v>10000</v>
      </c>
      <c r="U722" s="7">
        <v>794</v>
      </c>
      <c r="V722" s="7">
        <v>16</v>
      </c>
      <c r="W722" s="7">
        <v>250</v>
      </c>
    </row>
    <row r="723" spans="14:23" ht="13.5">
      <c r="N723" s="87">
        <f t="shared" si="69"/>
        <v>10000</v>
      </c>
      <c r="O723" s="87">
        <f t="shared" si="70"/>
        <v>1146</v>
      </c>
      <c r="P723" s="87">
        <f t="shared" si="71"/>
        <v>10000</v>
      </c>
      <c r="Q723" s="87">
        <f t="shared" si="72"/>
        <v>10000</v>
      </c>
      <c r="R723" s="87">
        <f t="shared" si="73"/>
        <v>362.4449139374243</v>
      </c>
      <c r="S723" s="87">
        <f t="shared" si="74"/>
        <v>10000</v>
      </c>
      <c r="T723" s="87">
        <f t="shared" si="75"/>
        <v>10000</v>
      </c>
      <c r="U723" s="7">
        <v>1146</v>
      </c>
      <c r="V723" s="7">
        <v>19</v>
      </c>
      <c r="W723" s="7">
        <v>250</v>
      </c>
    </row>
    <row r="724" spans="14:23" ht="13.5">
      <c r="N724" s="87">
        <f t="shared" si="69"/>
        <v>311.39845839364193</v>
      </c>
      <c r="O724" s="87">
        <f t="shared" si="70"/>
        <v>1548</v>
      </c>
      <c r="P724" s="87">
        <f t="shared" si="71"/>
        <v>1548</v>
      </c>
      <c r="Q724" s="87">
        <f t="shared" si="72"/>
        <v>51.704466905627214</v>
      </c>
      <c r="R724" s="87">
        <f t="shared" si="73"/>
        <v>764.4449139374243</v>
      </c>
      <c r="S724" s="87">
        <f t="shared" si="74"/>
        <v>215.6259006712528</v>
      </c>
      <c r="T724" s="87">
        <f t="shared" si="75"/>
        <v>311.39845839364193</v>
      </c>
      <c r="U724" s="7">
        <v>1548</v>
      </c>
      <c r="V724" s="7">
        <v>22</v>
      </c>
      <c r="W724" s="7">
        <v>250</v>
      </c>
    </row>
    <row r="725" spans="14:23" ht="13.5">
      <c r="N725" s="87">
        <f t="shared" si="69"/>
        <v>790.3984583936419</v>
      </c>
      <c r="O725" s="87">
        <f t="shared" si="70"/>
        <v>2027</v>
      </c>
      <c r="P725" s="87">
        <f t="shared" si="71"/>
        <v>2027</v>
      </c>
      <c r="Q725" s="87">
        <f t="shared" si="72"/>
        <v>530.7044669056272</v>
      </c>
      <c r="R725" s="87">
        <f t="shared" si="73"/>
        <v>1243.4449139374242</v>
      </c>
      <c r="S725" s="87">
        <f t="shared" si="74"/>
        <v>694.6259006712528</v>
      </c>
      <c r="T725" s="87">
        <f t="shared" si="75"/>
        <v>790.3984583936419</v>
      </c>
      <c r="U725" s="7">
        <v>2027</v>
      </c>
      <c r="V725" s="7">
        <v>25</v>
      </c>
      <c r="W725" s="7">
        <v>250</v>
      </c>
    </row>
    <row r="726" spans="14:23" ht="13.5">
      <c r="N726" s="87">
        <f t="shared" si="69"/>
        <v>1333.398458393642</v>
      </c>
      <c r="O726" s="87">
        <f t="shared" si="70"/>
        <v>2570</v>
      </c>
      <c r="P726" s="87">
        <f t="shared" si="71"/>
        <v>2570</v>
      </c>
      <c r="Q726" s="87">
        <f t="shared" si="72"/>
        <v>1073.7044669056272</v>
      </c>
      <c r="R726" s="87">
        <f t="shared" si="73"/>
        <v>1786.4449139374242</v>
      </c>
      <c r="S726" s="87">
        <f t="shared" si="74"/>
        <v>1237.6259006712528</v>
      </c>
      <c r="T726" s="87">
        <f t="shared" si="75"/>
        <v>1333.398458393642</v>
      </c>
      <c r="U726" s="7">
        <v>2570</v>
      </c>
      <c r="V726" s="7">
        <v>29</v>
      </c>
      <c r="W726" s="7">
        <v>250</v>
      </c>
    </row>
    <row r="727" spans="14:23" ht="13.5">
      <c r="N727" s="87">
        <f t="shared" si="69"/>
        <v>1940.398458393642</v>
      </c>
      <c r="O727" s="87">
        <f t="shared" si="70"/>
        <v>3177</v>
      </c>
      <c r="P727" s="87">
        <f t="shared" si="71"/>
        <v>3177</v>
      </c>
      <c r="Q727" s="87">
        <f t="shared" si="72"/>
        <v>1680.7044669056272</v>
      </c>
      <c r="R727" s="87">
        <f t="shared" si="73"/>
        <v>2393.444913937424</v>
      </c>
      <c r="S727" s="87">
        <f t="shared" si="74"/>
        <v>1844.6259006712528</v>
      </c>
      <c r="T727" s="87">
        <f t="shared" si="75"/>
        <v>1940.398458393642</v>
      </c>
      <c r="U727" s="7">
        <v>3177</v>
      </c>
      <c r="V727" s="7">
        <v>32</v>
      </c>
      <c r="W727" s="7">
        <v>250</v>
      </c>
    </row>
    <row r="728" spans="14:23" ht="13.5">
      <c r="N728" s="87">
        <f t="shared" si="69"/>
        <v>2817.3984583936417</v>
      </c>
      <c r="O728" s="87">
        <f t="shared" si="70"/>
        <v>4054</v>
      </c>
      <c r="P728" s="87">
        <f t="shared" si="71"/>
        <v>4054</v>
      </c>
      <c r="Q728" s="87">
        <f t="shared" si="72"/>
        <v>2557.704466905627</v>
      </c>
      <c r="R728" s="87">
        <f t="shared" si="73"/>
        <v>3270.444913937424</v>
      </c>
      <c r="S728" s="87">
        <f t="shared" si="74"/>
        <v>2721.6259006712526</v>
      </c>
      <c r="T728" s="87">
        <f t="shared" si="75"/>
        <v>2817.3984583936417</v>
      </c>
      <c r="U728" s="7">
        <v>4054</v>
      </c>
      <c r="V728" s="7">
        <v>25</v>
      </c>
      <c r="W728" s="7">
        <v>125</v>
      </c>
    </row>
    <row r="729" spans="14:23" ht="13.5">
      <c r="N729" s="87">
        <f t="shared" si="69"/>
        <v>3902.3984583936417</v>
      </c>
      <c r="O729" s="87">
        <f t="shared" si="70"/>
        <v>5139</v>
      </c>
      <c r="P729" s="87">
        <f t="shared" si="71"/>
        <v>5139</v>
      </c>
      <c r="Q729" s="87">
        <f t="shared" si="72"/>
        <v>3642.704466905627</v>
      </c>
      <c r="R729" s="87">
        <f t="shared" si="73"/>
        <v>4355.444913937425</v>
      </c>
      <c r="S729" s="87">
        <f t="shared" si="74"/>
        <v>3806.6259006712526</v>
      </c>
      <c r="T729" s="87">
        <f t="shared" si="75"/>
        <v>3902.3984583936417</v>
      </c>
      <c r="U729" s="7">
        <v>5139</v>
      </c>
      <c r="V729" s="7">
        <v>29</v>
      </c>
      <c r="W729" s="7">
        <v>125</v>
      </c>
    </row>
    <row r="730" spans="14:23" ht="13.5">
      <c r="N730" s="87">
        <f t="shared" si="69"/>
        <v>5117.398458393642</v>
      </c>
      <c r="O730" s="87">
        <f t="shared" si="70"/>
        <v>6354</v>
      </c>
      <c r="P730" s="87">
        <f t="shared" si="71"/>
        <v>6354</v>
      </c>
      <c r="Q730" s="87">
        <f t="shared" si="72"/>
        <v>4857.704466905627</v>
      </c>
      <c r="R730" s="87">
        <f t="shared" si="73"/>
        <v>5570.444913937425</v>
      </c>
      <c r="S730" s="87">
        <f t="shared" si="74"/>
        <v>5021.625900671253</v>
      </c>
      <c r="T730" s="87">
        <f t="shared" si="75"/>
        <v>5117.398458393642</v>
      </c>
      <c r="U730" s="7">
        <v>6354</v>
      </c>
      <c r="V730" s="7">
        <v>32</v>
      </c>
      <c r="W730" s="7">
        <v>125</v>
      </c>
    </row>
    <row r="731" spans="13:20" ht="13.5">
      <c r="M731" s="7" t="s">
        <v>461</v>
      </c>
      <c r="N731" s="87">
        <f aca="true" t="shared" si="76" ref="N731:T731">MIN(N721:N730)</f>
        <v>311.39845839364193</v>
      </c>
      <c r="O731" s="87">
        <f t="shared" si="76"/>
        <v>507</v>
      </c>
      <c r="P731" s="87">
        <f t="shared" si="76"/>
        <v>1548</v>
      </c>
      <c r="Q731" s="87">
        <f t="shared" si="76"/>
        <v>51.704466905627214</v>
      </c>
      <c r="R731" s="87">
        <f t="shared" si="76"/>
        <v>10.444913937424303</v>
      </c>
      <c r="S731" s="87">
        <f t="shared" si="76"/>
        <v>215.6259006712528</v>
      </c>
      <c r="T731" s="87">
        <f t="shared" si="76"/>
        <v>311.39845839364193</v>
      </c>
    </row>
    <row r="732" ht="13.5">
      <c r="K732" s="87"/>
    </row>
    <row r="733" ht="13.5">
      <c r="K733" s="87"/>
    </row>
    <row r="734" ht="13.5">
      <c r="K734" s="87"/>
    </row>
    <row r="735" spans="11:20" ht="13.5">
      <c r="K735" s="87"/>
      <c r="Q735" s="9" t="s">
        <v>436</v>
      </c>
      <c r="T735" s="9" t="s">
        <v>527</v>
      </c>
    </row>
    <row r="736" spans="11:21" ht="13.5">
      <c r="K736" s="87"/>
      <c r="N736" s="31" t="s">
        <v>513</v>
      </c>
      <c r="O736" s="45"/>
      <c r="P736" s="36" t="s">
        <v>278</v>
      </c>
      <c r="Q736" s="48" t="s">
        <v>430</v>
      </c>
      <c r="R736" s="36" t="s">
        <v>522</v>
      </c>
      <c r="S736" s="36" t="s">
        <v>429</v>
      </c>
      <c r="T736" s="48" t="s">
        <v>430</v>
      </c>
      <c r="U736" s="36" t="s">
        <v>522</v>
      </c>
    </row>
    <row r="737" spans="11:21" ht="16.5">
      <c r="K737" s="87"/>
      <c r="N737" s="46"/>
      <c r="O737" s="45"/>
      <c r="P737" s="80" t="s">
        <v>437</v>
      </c>
      <c r="Q737" s="48" t="s">
        <v>438</v>
      </c>
      <c r="R737" s="36" t="s">
        <v>439</v>
      </c>
      <c r="S737" s="80" t="s">
        <v>440</v>
      </c>
      <c r="T737" s="48" t="s">
        <v>435</v>
      </c>
      <c r="U737" s="36" t="s">
        <v>439</v>
      </c>
    </row>
    <row r="738" spans="14:21" ht="13.5">
      <c r="N738" s="27" t="s">
        <v>9</v>
      </c>
      <c r="O738" s="31" t="s">
        <v>590</v>
      </c>
      <c r="P738" s="48">
        <f>VLOOKUP($N$731,$N$721:$W$730,9,FALSE)</f>
        <v>22</v>
      </c>
      <c r="Q738" s="48">
        <f>VLOOKUP($N$731,$N$721:$W$730,10,FALSE)</f>
        <v>250</v>
      </c>
      <c r="R738" s="48">
        <f>VLOOKUP($N$731,$N$721:$W$730,8,FALSE)</f>
        <v>1548</v>
      </c>
      <c r="S738" s="7">
        <f>'入力'!C37</f>
        <v>16</v>
      </c>
      <c r="T738" s="7">
        <f>'入力'!D37</f>
        <v>125</v>
      </c>
      <c r="U738" s="7">
        <f aca="true" t="shared" si="77" ref="U738:U744">(IF(S738=13,126.7,IF(S738=16,198.6,IF(S738=19,286.5,IF(S738=22,387.1,IF(S738=25,506.7,IF(S738=29,642.4,794.2)))))))*1000/T738</f>
        <v>1588.8</v>
      </c>
    </row>
    <row r="739" spans="14:21" ht="13.5">
      <c r="N739" s="38"/>
      <c r="O739" s="33" t="s">
        <v>58</v>
      </c>
      <c r="P739" s="48">
        <f>VLOOKUP($O$731,$O$721:$W$730,8,FALSE)</f>
        <v>13</v>
      </c>
      <c r="Q739" s="48">
        <f>VLOOKUP($O$731,$O$721:$W$730,9,FALSE)</f>
        <v>250</v>
      </c>
      <c r="R739" s="48">
        <f>VLOOKUP($O$731,$O$721:$W$730,7,FALSE)</f>
        <v>507</v>
      </c>
      <c r="S739" s="7">
        <f>'入力'!C38</f>
        <v>13</v>
      </c>
      <c r="T739" s="7">
        <f>'入力'!D38</f>
        <v>250</v>
      </c>
      <c r="U739" s="7">
        <f t="shared" si="77"/>
        <v>506.8</v>
      </c>
    </row>
    <row r="740" spans="14:21" ht="13.5">
      <c r="N740" s="47"/>
      <c r="O740" s="33" t="s">
        <v>585</v>
      </c>
      <c r="P740" s="48">
        <f>VLOOKUP($P$731,$P$721:$W$730,7,FALSE)</f>
        <v>22</v>
      </c>
      <c r="Q740" s="48">
        <f>VLOOKUP($P$731,$P$721:$W$730,8,FALSE)</f>
        <v>250</v>
      </c>
      <c r="R740" s="48">
        <f>VLOOKUP($P$731,$P$721:$W$730,6,FALSE)</f>
        <v>1548</v>
      </c>
      <c r="S740" s="7">
        <f>'入力'!C39</f>
        <v>19</v>
      </c>
      <c r="T740" s="7">
        <f>'入力'!D39</f>
        <v>125</v>
      </c>
      <c r="U740" s="7">
        <f t="shared" si="77"/>
        <v>2292</v>
      </c>
    </row>
    <row r="741" spans="14:21" ht="13.5">
      <c r="N741" s="27" t="s">
        <v>468</v>
      </c>
      <c r="O741" s="31" t="s">
        <v>482</v>
      </c>
      <c r="P741" s="48">
        <f>P740</f>
        <v>22</v>
      </c>
      <c r="Q741" s="48">
        <f>Q740</f>
        <v>250</v>
      </c>
      <c r="R741" s="48">
        <f>R740</f>
        <v>1548</v>
      </c>
      <c r="S741" s="7">
        <f>'入力'!C40</f>
        <v>19</v>
      </c>
      <c r="T741" s="7">
        <f>'入力'!D40</f>
        <v>125</v>
      </c>
      <c r="U741" s="7">
        <f t="shared" si="77"/>
        <v>2292</v>
      </c>
    </row>
    <row r="742" spans="14:21" ht="13.5">
      <c r="N742" s="38"/>
      <c r="O742" s="33" t="s">
        <v>286</v>
      </c>
      <c r="P742" s="48">
        <f>VLOOKUP($R$731,$R$721:$W$730,5,FALSE)</f>
        <v>16</v>
      </c>
      <c r="Q742" s="48">
        <f>VLOOKUP($R$731,$R$721:$W$730,6,FALSE)</f>
        <v>250</v>
      </c>
      <c r="R742" s="48">
        <f>VLOOKUP($R$731,$R$721:$W$730,4,FALSE)</f>
        <v>794</v>
      </c>
      <c r="S742" s="7">
        <f>'入力'!C41</f>
        <v>19</v>
      </c>
      <c r="T742" s="7">
        <f>'入力'!D41</f>
        <v>125</v>
      </c>
      <c r="U742" s="7">
        <f t="shared" si="77"/>
        <v>2292</v>
      </c>
    </row>
    <row r="743" spans="14:21" ht="13.5">
      <c r="N743" s="27" t="s">
        <v>10</v>
      </c>
      <c r="O743" s="31" t="s">
        <v>287</v>
      </c>
      <c r="P743" s="48">
        <f>VLOOKUP($S$731,$S$721:$W$730,4,FALSE)</f>
        <v>22</v>
      </c>
      <c r="Q743" s="48">
        <f>VLOOKUP($S$731,$S$721:$W$730,5,FALSE)</f>
        <v>250</v>
      </c>
      <c r="R743" s="48">
        <f>VLOOKUP($S$731,$S$721:$W$730,3,FALSE)</f>
        <v>1548</v>
      </c>
      <c r="S743" s="7">
        <f>'入力'!C42</f>
        <v>19</v>
      </c>
      <c r="T743" s="7">
        <f>'入力'!D42</f>
        <v>125</v>
      </c>
      <c r="U743" s="7">
        <f t="shared" si="77"/>
        <v>2292</v>
      </c>
    </row>
    <row r="744" spans="14:21" ht="13.5">
      <c r="N744" s="47"/>
      <c r="O744" s="34" t="s">
        <v>286</v>
      </c>
      <c r="P744" s="48">
        <f>VLOOKUP($T$731,$T$721:$W$730,3,FALSE)</f>
        <v>22</v>
      </c>
      <c r="Q744" s="48">
        <f>VLOOKUP($T$731,$T$721:$W$730,4,FALSE)</f>
        <v>250</v>
      </c>
      <c r="R744" s="48">
        <f>VLOOKUP($T$731,$T$721:$W$730,2,FALSE)</f>
        <v>1548</v>
      </c>
      <c r="S744" s="7">
        <f>'入力'!C43</f>
        <v>16</v>
      </c>
      <c r="T744" s="7">
        <f>'入力'!D43</f>
        <v>125</v>
      </c>
      <c r="U744" s="7">
        <f t="shared" si="77"/>
        <v>1588.8</v>
      </c>
    </row>
    <row r="745" spans="14:18" ht="13.5">
      <c r="N745" s="37"/>
      <c r="O745" s="48"/>
      <c r="P745" s="48"/>
      <c r="Q745" s="48"/>
      <c r="R745" s="48"/>
    </row>
    <row r="746" spans="14:18" ht="13.5">
      <c r="N746" s="37"/>
      <c r="O746" s="48"/>
      <c r="P746" s="48"/>
      <c r="Q746" s="48"/>
      <c r="R746" s="48"/>
    </row>
    <row r="747" spans="14:18" ht="13.5">
      <c r="N747" s="37"/>
      <c r="O747" s="48"/>
      <c r="P747" s="48"/>
      <c r="Q747" s="48"/>
      <c r="R747" s="48"/>
    </row>
    <row r="748" spans="14:18" ht="13.5">
      <c r="N748" s="37"/>
      <c r="O748" s="48"/>
      <c r="P748" s="48"/>
      <c r="Q748" s="48"/>
      <c r="R748" s="48"/>
    </row>
    <row r="749" spans="14:18" ht="13.5">
      <c r="N749" s="37"/>
      <c r="O749" s="48"/>
      <c r="P749" s="48"/>
      <c r="Q749" s="48"/>
      <c r="R749" s="48"/>
    </row>
    <row r="750" spans="10:18" ht="13.5">
      <c r="J750" s="7">
        <v>4.315882285375958</v>
      </c>
      <c r="K750" s="7">
        <v>107.57259156292189</v>
      </c>
      <c r="N750" s="37"/>
      <c r="O750" s="48"/>
      <c r="P750" s="48"/>
      <c r="Q750" s="48"/>
      <c r="R750" s="48"/>
    </row>
    <row r="751" spans="10:18" ht="13.5">
      <c r="J751" s="7" t="s">
        <v>596</v>
      </c>
      <c r="K751" s="7" t="s">
        <v>596</v>
      </c>
      <c r="N751" s="37"/>
      <c r="O751" s="48"/>
      <c r="P751" s="48"/>
      <c r="Q751" s="48"/>
      <c r="R751" s="48"/>
    </row>
    <row r="752" spans="10:18" ht="13.5">
      <c r="J752" s="7">
        <v>4.594287212411387</v>
      </c>
      <c r="K752" s="7">
        <v>117.21435172413722</v>
      </c>
      <c r="N752" s="37"/>
      <c r="O752" s="48"/>
      <c r="P752" s="48"/>
      <c r="Q752" s="48"/>
      <c r="R752" s="48"/>
    </row>
    <row r="753" spans="10:18" ht="13.5">
      <c r="J753" s="7">
        <v>4.861893697070032</v>
      </c>
      <c r="K753" s="7">
        <v>145.14658643151031</v>
      </c>
      <c r="N753" s="37"/>
      <c r="O753" s="48"/>
      <c r="P753" s="48"/>
      <c r="Q753" s="48"/>
      <c r="R753" s="48"/>
    </row>
    <row r="754" spans="10:18" ht="13.5">
      <c r="J754" s="7">
        <v>4.074494458810637</v>
      </c>
      <c r="K754" s="7">
        <v>125.50980199162152</v>
      </c>
      <c r="N754" s="37"/>
      <c r="O754" s="48"/>
      <c r="P754" s="48"/>
      <c r="Q754" s="48"/>
      <c r="R754" s="48"/>
    </row>
    <row r="755" spans="10:18" ht="13.5">
      <c r="J755" s="7">
        <v>4.861893697070032</v>
      </c>
      <c r="K755" s="7">
        <v>145.14658643151031</v>
      </c>
      <c r="N755" s="37"/>
      <c r="O755" s="48"/>
      <c r="P755" s="48"/>
      <c r="Q755" s="48"/>
      <c r="R755" s="48"/>
    </row>
    <row r="756" spans="10:18" ht="13.5">
      <c r="J756" s="7">
        <v>4.594287212411383</v>
      </c>
      <c r="K756" s="7">
        <v>117.21435172413709</v>
      </c>
      <c r="N756" s="37"/>
      <c r="O756" s="48"/>
      <c r="P756" s="48"/>
      <c r="Q756" s="48"/>
      <c r="R756" s="48"/>
    </row>
    <row r="757" spans="10:18" ht="13.5">
      <c r="J757" s="7" t="s">
        <v>596</v>
      </c>
      <c r="K757" s="7" t="s">
        <v>596</v>
      </c>
      <c r="N757" s="37"/>
      <c r="O757" s="48"/>
      <c r="P757" s="48"/>
      <c r="Q757" s="48"/>
      <c r="R757" s="48"/>
    </row>
    <row r="758" spans="10:18" ht="13.5">
      <c r="J758" s="7">
        <v>4.315882285375956</v>
      </c>
      <c r="K758" s="7">
        <v>107.57259156292182</v>
      </c>
      <c r="N758" s="37"/>
      <c r="O758" s="48"/>
      <c r="P758" s="48"/>
      <c r="Q758" s="48"/>
      <c r="R758" s="48"/>
    </row>
    <row r="759" spans="10:18" ht="13.5">
      <c r="J759" s="7">
        <v>4.466278257351565</v>
      </c>
      <c r="K759" s="7">
        <v>151.40584512913156</v>
      </c>
      <c r="N759" s="37"/>
      <c r="O759" s="48"/>
      <c r="P759" s="48"/>
      <c r="Q759" s="48"/>
      <c r="R759" s="48"/>
    </row>
    <row r="760" spans="10:18" ht="13.5">
      <c r="J760" s="7">
        <v>5.896242745965974</v>
      </c>
      <c r="K760" s="7">
        <v>128.39236146194304</v>
      </c>
      <c r="N760" s="37"/>
      <c r="O760" s="48"/>
      <c r="P760" s="48"/>
      <c r="Q760" s="48"/>
      <c r="R760" s="48"/>
    </row>
    <row r="761" spans="10:18" ht="13.5">
      <c r="J761" s="7">
        <v>4.466278257351565</v>
      </c>
      <c r="K761" s="7">
        <v>151.40584512913156</v>
      </c>
      <c r="N761" s="37"/>
      <c r="O761" s="48"/>
      <c r="P761" s="48"/>
      <c r="Q761" s="48"/>
      <c r="R761" s="48"/>
    </row>
    <row r="762" spans="14:18" ht="13.5">
      <c r="N762" s="37"/>
      <c r="O762" s="48"/>
      <c r="P762" s="48"/>
      <c r="Q762" s="48"/>
      <c r="R762" s="48"/>
    </row>
    <row r="763" spans="10:18" ht="13.5">
      <c r="J763" s="9" t="s">
        <v>597</v>
      </c>
      <c r="K763" s="53" t="s">
        <v>598</v>
      </c>
      <c r="L763" s="11">
        <f>E11</f>
        <v>0.2</v>
      </c>
      <c r="M763" s="7">
        <f>IF(L763=0,4/3,1)</f>
        <v>1</v>
      </c>
      <c r="N763" s="37"/>
      <c r="O763" s="48"/>
      <c r="P763" s="48"/>
      <c r="Q763" s="48"/>
      <c r="R763" s="48"/>
    </row>
    <row r="764" spans="14:18" ht="13.5">
      <c r="N764" s="37"/>
      <c r="O764" s="48"/>
      <c r="P764" s="48"/>
      <c r="Q764" s="48"/>
      <c r="R764" s="48"/>
    </row>
    <row r="765" spans="18:62" ht="13.5">
      <c r="R765" s="9" t="s">
        <v>497</v>
      </c>
      <c r="S765" s="7" t="s">
        <v>399</v>
      </c>
      <c r="U765" s="9" t="s">
        <v>497</v>
      </c>
      <c r="V765" s="9" t="s">
        <v>400</v>
      </c>
      <c r="Y765" s="9" t="s">
        <v>497</v>
      </c>
      <c r="Z765" s="7" t="s">
        <v>417</v>
      </c>
      <c r="AC765" s="9" t="s">
        <v>293</v>
      </c>
      <c r="AD765" s="7" t="s">
        <v>403</v>
      </c>
      <c r="AG765" s="9" t="s">
        <v>293</v>
      </c>
      <c r="AH765" s="9" t="s">
        <v>400</v>
      </c>
      <c r="AK765" s="9" t="s">
        <v>293</v>
      </c>
      <c r="AL765" s="7" t="s">
        <v>404</v>
      </c>
      <c r="AO765" s="9" t="s">
        <v>261</v>
      </c>
      <c r="AP765" s="7" t="s">
        <v>405</v>
      </c>
      <c r="AS765" s="9" t="s">
        <v>261</v>
      </c>
      <c r="AT765" s="9" t="s">
        <v>406</v>
      </c>
      <c r="AW765" s="9" t="s">
        <v>261</v>
      </c>
      <c r="AX765" s="7" t="s">
        <v>418</v>
      </c>
      <c r="BA765" s="9" t="s">
        <v>298</v>
      </c>
      <c r="BB765" s="7" t="s">
        <v>408</v>
      </c>
      <c r="BE765" s="9" t="s">
        <v>298</v>
      </c>
      <c r="BF765" s="9" t="s">
        <v>512</v>
      </c>
      <c r="BI765" s="9" t="s">
        <v>23</v>
      </c>
      <c r="BJ765" s="7" t="s">
        <v>419</v>
      </c>
    </row>
    <row r="766" spans="17:62" ht="13.5">
      <c r="Q766" s="53" t="s">
        <v>528</v>
      </c>
      <c r="R766" s="87">
        <f>E623</f>
        <v>250</v>
      </c>
      <c r="U766" s="53" t="s">
        <v>528</v>
      </c>
      <c r="V766" s="87">
        <f>E624</f>
        <v>250</v>
      </c>
      <c r="Y766" s="53" t="s">
        <v>528</v>
      </c>
      <c r="Z766" s="87">
        <f>R766</f>
        <v>250</v>
      </c>
      <c r="AC766" s="53" t="s">
        <v>528</v>
      </c>
      <c r="AD766" s="87">
        <f>E626</f>
        <v>300</v>
      </c>
      <c r="AG766" s="53" t="s">
        <v>528</v>
      </c>
      <c r="AH766" s="87">
        <f>E627</f>
        <v>300</v>
      </c>
      <c r="AK766" s="53" t="s">
        <v>528</v>
      </c>
      <c r="AL766" s="87">
        <f>AD766</f>
        <v>300</v>
      </c>
      <c r="AO766" s="53" t="s">
        <v>528</v>
      </c>
      <c r="AP766" s="87">
        <f>R766</f>
        <v>250</v>
      </c>
      <c r="AS766" s="53" t="s">
        <v>528</v>
      </c>
      <c r="AT766" s="87">
        <f>V766</f>
        <v>250</v>
      </c>
      <c r="AW766" s="53" t="s">
        <v>528</v>
      </c>
      <c r="AX766" s="87">
        <f>Z766</f>
        <v>250</v>
      </c>
      <c r="BA766" s="53" t="s">
        <v>528</v>
      </c>
      <c r="BB766" s="87">
        <f>E632</f>
        <v>340</v>
      </c>
      <c r="BE766" s="53" t="s">
        <v>528</v>
      </c>
      <c r="BF766" s="87">
        <f>E633</f>
        <v>350</v>
      </c>
      <c r="BI766" s="53" t="s">
        <v>528</v>
      </c>
      <c r="BJ766" s="87">
        <f>BB766</f>
        <v>340</v>
      </c>
    </row>
    <row r="767" spans="10:63" ht="13.5">
      <c r="J767" s="76" t="s">
        <v>446</v>
      </c>
      <c r="K767" s="78" t="s">
        <v>423</v>
      </c>
      <c r="L767" s="80"/>
      <c r="N767" s="9" t="s">
        <v>427</v>
      </c>
      <c r="Q767" s="7">
        <f>M769</f>
        <v>627.1421885496586</v>
      </c>
      <c r="R767" s="7">
        <f>N769</f>
        <v>63954.48323624614</v>
      </c>
      <c r="S767" s="7">
        <f>O769</f>
        <v>-15988620.809061537</v>
      </c>
      <c r="U767" s="7">
        <f>M770</f>
        <v>-356.56561659814065</v>
      </c>
      <c r="V767" s="7">
        <f>N770</f>
        <v>5984.136971542279</v>
      </c>
      <c r="W767" s="7">
        <f>O770</f>
        <v>-1496034.2428855698</v>
      </c>
      <c r="Y767" s="7">
        <f>M771</f>
        <v>953.8365032320645</v>
      </c>
      <c r="Z767" s="7">
        <f>N771</f>
        <v>79126.16721009708</v>
      </c>
      <c r="AA767" s="7">
        <f>O771</f>
        <v>-19781541.80252427</v>
      </c>
      <c r="AC767" s="7">
        <f>M772</f>
        <v>1581.5558817148194</v>
      </c>
      <c r="AD767" s="7">
        <f>N772</f>
        <v>115243.45514683622</v>
      </c>
      <c r="AE767" s="7">
        <f>O772</f>
        <v>-34573036.544050865</v>
      </c>
      <c r="AG767" s="7">
        <f>M773</f>
        <v>924.8438053561711</v>
      </c>
      <c r="AH767" s="7">
        <f>N773</f>
        <v>43467.77944358399</v>
      </c>
      <c r="AI767" s="7">
        <f>O773</f>
        <v>-13040333.833075196</v>
      </c>
      <c r="AK767" s="7">
        <f>M774</f>
        <v>1581.555881714819</v>
      </c>
      <c r="AL767" s="7">
        <f>N774</f>
        <v>115243.45514683618</v>
      </c>
      <c r="AM767" s="7">
        <f>O774</f>
        <v>-34573036.54405086</v>
      </c>
      <c r="AO767" s="7">
        <f>M775</f>
        <v>953.8365032320642</v>
      </c>
      <c r="AP767" s="7">
        <f>N775</f>
        <v>79126.16721009706</v>
      </c>
      <c r="AQ767" s="7">
        <f>O775</f>
        <v>-19781541.802524265</v>
      </c>
      <c r="AS767" s="7">
        <f>M776</f>
        <v>-356.56561659814065</v>
      </c>
      <c r="AT767" s="7">
        <f>N776</f>
        <v>5984.136971542279</v>
      </c>
      <c r="AU767" s="7">
        <f>O776</f>
        <v>-1496034.2428855698</v>
      </c>
      <c r="AW767" s="7">
        <f>M777</f>
        <v>627.142188549658</v>
      </c>
      <c r="AX767" s="7">
        <f>N777</f>
        <v>63954.48323624612</v>
      </c>
      <c r="AY767" s="7">
        <f>O777</f>
        <v>-15988620.80906153</v>
      </c>
      <c r="BA767" s="7">
        <f>M778</f>
        <v>1365.2834248078498</v>
      </c>
      <c r="BB767" s="7">
        <f>N778</f>
        <v>110772.56224807655</v>
      </c>
      <c r="BC767" s="7">
        <f>O778</f>
        <v>-37662671.164346024</v>
      </c>
      <c r="BE767" s="7">
        <f>M779</f>
        <v>1885.7880127814778</v>
      </c>
      <c r="BF767" s="7">
        <f>N779</f>
        <v>136337.99531357182</v>
      </c>
      <c r="BG767" s="7">
        <f>O779</f>
        <v>-47718298.35975014</v>
      </c>
      <c r="BI767" s="7">
        <f>M780</f>
        <v>1365.2834248078507</v>
      </c>
      <c r="BJ767" s="7">
        <f>N780</f>
        <v>110772.56224807657</v>
      </c>
      <c r="BK767" s="7">
        <f>O780</f>
        <v>-37662671.16434603</v>
      </c>
    </row>
    <row r="768" spans="10:63" ht="15.75">
      <c r="J768" s="30" t="s">
        <v>415</v>
      </c>
      <c r="K768" s="30" t="s">
        <v>415</v>
      </c>
      <c r="L768" s="48"/>
      <c r="M768" s="80" t="s">
        <v>399</v>
      </c>
      <c r="N768" s="80" t="s">
        <v>417</v>
      </c>
      <c r="O768" s="80" t="s">
        <v>517</v>
      </c>
      <c r="Q768" s="80" t="s">
        <v>529</v>
      </c>
      <c r="R768" s="80" t="s">
        <v>530</v>
      </c>
      <c r="S768" s="48" t="s">
        <v>520</v>
      </c>
      <c r="U768" s="80" t="s">
        <v>529</v>
      </c>
      <c r="V768" s="80" t="s">
        <v>530</v>
      </c>
      <c r="W768" s="48" t="s">
        <v>520</v>
      </c>
      <c r="Y768" s="80" t="s">
        <v>529</v>
      </c>
      <c r="Z768" s="80" t="s">
        <v>530</v>
      </c>
      <c r="AA768" s="48" t="s">
        <v>520</v>
      </c>
      <c r="AC768" s="80" t="s">
        <v>529</v>
      </c>
      <c r="AD768" s="80" t="s">
        <v>530</v>
      </c>
      <c r="AE768" s="48" t="s">
        <v>520</v>
      </c>
      <c r="AF768" s="48"/>
      <c r="AG768" s="80" t="s">
        <v>529</v>
      </c>
      <c r="AH768" s="80" t="s">
        <v>530</v>
      </c>
      <c r="AI768" s="48" t="s">
        <v>520</v>
      </c>
      <c r="AJ768" s="48"/>
      <c r="AK768" s="80" t="s">
        <v>529</v>
      </c>
      <c r="AL768" s="80" t="s">
        <v>530</v>
      </c>
      <c r="AM768" s="48" t="s">
        <v>520</v>
      </c>
      <c r="AN768" s="48"/>
      <c r="AO768" s="80" t="s">
        <v>529</v>
      </c>
      <c r="AP768" s="80" t="s">
        <v>530</v>
      </c>
      <c r="AQ768" s="48" t="s">
        <v>520</v>
      </c>
      <c r="AR768" s="48"/>
      <c r="AS768" s="80" t="s">
        <v>529</v>
      </c>
      <c r="AT768" s="80" t="s">
        <v>530</v>
      </c>
      <c r="AU768" s="48" t="s">
        <v>520</v>
      </c>
      <c r="AV768" s="48"/>
      <c r="AW768" s="80" t="s">
        <v>529</v>
      </c>
      <c r="AX768" s="80" t="s">
        <v>530</v>
      </c>
      <c r="AY768" s="48" t="s">
        <v>520</v>
      </c>
      <c r="AZ768" s="48"/>
      <c r="BA768" s="80" t="s">
        <v>529</v>
      </c>
      <c r="BB768" s="80" t="s">
        <v>530</v>
      </c>
      <c r="BC768" s="48" t="s">
        <v>520</v>
      </c>
      <c r="BD768" s="48"/>
      <c r="BE768" s="80" t="s">
        <v>529</v>
      </c>
      <c r="BF768" s="80" t="s">
        <v>530</v>
      </c>
      <c r="BG768" s="48" t="s">
        <v>520</v>
      </c>
      <c r="BH768" s="48"/>
      <c r="BI768" s="80" t="s">
        <v>529</v>
      </c>
      <c r="BJ768" s="80" t="s">
        <v>530</v>
      </c>
      <c r="BK768" s="48" t="s">
        <v>520</v>
      </c>
    </row>
    <row r="769" spans="10:62" ht="13.5">
      <c r="J769" s="108">
        <f>E$6*1000</f>
        <v>350</v>
      </c>
      <c r="K769" s="77">
        <f>F569</f>
        <v>75</v>
      </c>
      <c r="L769" s="60"/>
      <c r="M769" s="7">
        <f aca="true" t="shared" si="78" ref="M769:M780">-3*(J769/2-D623)</f>
        <v>627.1421885496586</v>
      </c>
      <c r="N769" s="7">
        <f aca="true" t="shared" si="79" ref="N769:N780">6*15/$D$620*F623*(D623+K769)</f>
        <v>63954.48323624614</v>
      </c>
      <c r="O769" s="7">
        <f aca="true" t="shared" si="80" ref="O769:O780">-6*15/$D$620*F623*(K769+J769/2)*(D623+K769)</f>
        <v>-15988620.809061537</v>
      </c>
      <c r="Q769" s="7">
        <f>0.1*R766</f>
        <v>25</v>
      </c>
      <c r="R769" s="7">
        <f>Q769^3+Q$767*Q769^2+R$767*Q769+S$767</f>
        <v>-13982169.860311847</v>
      </c>
      <c r="U769" s="7">
        <f>0.1*V766</f>
        <v>25</v>
      </c>
      <c r="V769" s="7">
        <f>U769^3+U$767*U769^2+V$767*U769+W$767</f>
        <v>-1553659.3289708507</v>
      </c>
      <c r="Y769" s="7">
        <f>0.1*Z766</f>
        <v>25</v>
      </c>
      <c r="Z769" s="7">
        <f>Y769^3+Y$767*Y769^2+Z$767*Y769+AA$767</f>
        <v>-17191614.8077518</v>
      </c>
      <c r="AC769" s="7">
        <f>0.1*AD766</f>
        <v>30</v>
      </c>
      <c r="AD769" s="7">
        <f>AC769^3+AC$767*AC769^2+AD$767*AC769+AE$767</f>
        <v>-29665332.59610244</v>
      </c>
      <c r="AG769" s="7">
        <f>0.1*AH766</f>
        <v>30</v>
      </c>
      <c r="AH769" s="7">
        <f>AG769^3+AG$767*AG769^2+AH$767*AG769+AI$767</f>
        <v>-10876941.024947122</v>
      </c>
      <c r="AK769" s="7">
        <f>0.1*AL766</f>
        <v>30</v>
      </c>
      <c r="AL769" s="7">
        <f>AK769^3+AK$767*AK769^2+AL$767*AK769+AM$767</f>
        <v>-29665332.596102435</v>
      </c>
      <c r="AO769" s="7">
        <f>0.1*AP766</f>
        <v>25</v>
      </c>
      <c r="AP769" s="7">
        <f>AO769^3+AO$767*AO769^2+AP$767*AO769+AQ$767</f>
        <v>-17191614.807751797</v>
      </c>
      <c r="AS769" s="7">
        <f>0.1*AT766</f>
        <v>25</v>
      </c>
      <c r="AT769" s="7">
        <f>AS769^3+AS$767*AS769^2+AT$767*AS769+AU$767</f>
        <v>-1553659.3289708507</v>
      </c>
      <c r="AW769" s="7">
        <f>0.1*AX766</f>
        <v>25</v>
      </c>
      <c r="AX769" s="7">
        <f>AW769^3+AW$767*AW769^2+AX$767*AW769+AY$767</f>
        <v>-13982169.86031184</v>
      </c>
      <c r="BA769" s="7">
        <f>0.1*BB766</f>
        <v>34</v>
      </c>
      <c r="BB769" s="7">
        <f>BA769^3+BA$767*BA769^2+BB$767*BA769+BC$767</f>
        <v>-32278832.40883355</v>
      </c>
      <c r="BE769" s="7">
        <f>0.1*BF766</f>
        <v>35</v>
      </c>
      <c r="BF769" s="7">
        <f>BE769^3+BE$767*BE769^2+BF$767*BE769+BG$767</f>
        <v>-40593503.20811781</v>
      </c>
      <c r="BI769" s="7">
        <f>0.1*BJ766</f>
        <v>34</v>
      </c>
      <c r="BJ769" s="7">
        <f>BI769^3+BI$767*BI769^2+BJ$767*BI769+BK$767</f>
        <v>-32278832.408833552</v>
      </c>
    </row>
    <row r="770" spans="10:63" ht="13.5">
      <c r="J770" s="109">
        <f aca="true" t="shared" si="81" ref="J770:J777">E$6*1000</f>
        <v>350</v>
      </c>
      <c r="K770" s="61">
        <f aca="true" t="shared" si="82" ref="K770:K780">F570</f>
        <v>75</v>
      </c>
      <c r="L770" s="60"/>
      <c r="M770" s="7">
        <f t="shared" si="78"/>
        <v>-356.56561659814065</v>
      </c>
      <c r="N770" s="7">
        <f t="shared" si="79"/>
        <v>5984.136971542279</v>
      </c>
      <c r="O770" s="7">
        <f t="shared" si="80"/>
        <v>-1496034.2428855698</v>
      </c>
      <c r="Q770" s="7">
        <f>R766*0.5</f>
        <v>125</v>
      </c>
      <c r="R770" s="7">
        <f>Q770^3+Q$767*Q770^2+R$767*Q770+S$767</f>
        <v>3757911.2915576454</v>
      </c>
      <c r="S770" s="7">
        <f>IF(Q770-Q769=0,1,(R770-R769)/(Q770-Q769))</f>
        <v>177400.8115186949</v>
      </c>
      <c r="U770" s="7">
        <f>V766*0.5</f>
        <v>125</v>
      </c>
      <c r="V770" s="7">
        <f>U770^3+U$767*U770^2+V$767*U770+W$767</f>
        <v>-4366229.880788732</v>
      </c>
      <c r="W770" s="7">
        <f aca="true" t="shared" si="83" ref="W770:W784">IF(U770-U769=0,1,(V770-V769)/(U770-U769))</f>
        <v>-28125.70551817882</v>
      </c>
      <c r="Y770" s="7">
        <f>Z766*0.5</f>
        <v>125</v>
      </c>
      <c r="Z770" s="7">
        <f>Y770^3+Y$767*Y770^2+Z$767*Y770+AA$767</f>
        <v>6966049.461738873</v>
      </c>
      <c r="AA770" s="7">
        <f>IF(Y770-Y769=0,1,(Z770-Z769)/(Y770-Y769))</f>
        <v>241576.64269490674</v>
      </c>
      <c r="AC770" s="7">
        <f>AD766*0.5</f>
        <v>150</v>
      </c>
      <c r="AD770" s="7">
        <f>AC770^3+AC$767*AC770^2+AD$767*AC770+AE$767</f>
        <v>21673489.06655801</v>
      </c>
      <c r="AE770" s="7">
        <f>IF(AC770-AC769=0,1,(AD770-AD769)/(AC770-AC769))</f>
        <v>427823.51385550376</v>
      </c>
      <c r="AG770" s="7">
        <f>AH766*0.5</f>
        <v>150</v>
      </c>
      <c r="AH770" s="7">
        <f>AG770^3+AG$767*AG770^2+AH$767*AG770+AI$767</f>
        <v>17663818.70397625</v>
      </c>
      <c r="AI770" s="7">
        <f>IF(AG770-AG769=0,1,(AH770-AH769)/(AG770-AG769))</f>
        <v>237839.66440769477</v>
      </c>
      <c r="AK770" s="7">
        <f>AL766*0.5</f>
        <v>150</v>
      </c>
      <c r="AL770" s="7">
        <f>AK770^3+AK$767*AK770^2+AL$767*AK770+AM$767</f>
        <v>21673489.06655799</v>
      </c>
      <c r="AM770" s="7">
        <f>IF(AK770-AK769=0,1,(AL770-AL769)/(AK770-AK769))</f>
        <v>427823.5138555035</v>
      </c>
      <c r="AO770" s="7">
        <f>AP766*0.5</f>
        <v>125</v>
      </c>
      <c r="AP770" s="7">
        <f>AO770^3+AO$767*AO770^2+AP$767*AO770+AQ$767</f>
        <v>6966049.461738873</v>
      </c>
      <c r="AQ770" s="7">
        <f>IF(AO770-AO769=0,1,(AP770-AP769)/(AO770-AO769))</f>
        <v>241576.6426949067</v>
      </c>
      <c r="AS770" s="7">
        <f>AT766*0.5</f>
        <v>125</v>
      </c>
      <c r="AT770" s="7">
        <f>AS770^3+AS$767*AS770^2+AT$767*AS770+AU$767</f>
        <v>-4366229.880788732</v>
      </c>
      <c r="AU770" s="7">
        <f>IF(AS770-AS769=0,1,(AT770-AT769)/(AS770-AS769))</f>
        <v>-28125.70551817882</v>
      </c>
      <c r="AW770" s="7">
        <f>AX766*0.5</f>
        <v>125</v>
      </c>
      <c r="AX770" s="7">
        <f>AW770^3+AW$767*AW770^2+AX$767*AW770+AY$767</f>
        <v>3757911.2915576417</v>
      </c>
      <c r="AY770" s="7">
        <f>IF(AW770-AW769=0,1,(AX770-AX769)/(AW770-AW769))</f>
        <v>177400.81151869483</v>
      </c>
      <c r="BA770" s="7">
        <f>BB766*0.5</f>
        <v>170</v>
      </c>
      <c r="BB770" s="7">
        <f>BA770^3+BA$767*BA770^2+BB$767*BA770+BC$767</f>
        <v>25538355.39477385</v>
      </c>
      <c r="BC770" s="7">
        <f>IF(BA770-BA769=0,1,(BB770-BB769)/(BA770-BA769))</f>
        <v>425126.38090887794</v>
      </c>
      <c r="BE770" s="7">
        <f>BF766*0.5</f>
        <v>175</v>
      </c>
      <c r="BF770" s="7">
        <f>BE770^3+BE$767*BE770^2+BF$767*BE770+BG$767</f>
        <v>39252483.7115577</v>
      </c>
      <c r="BG770" s="7">
        <f>IF(BE770-BE769=0,1,(BF770-BF769)/(BE770-BE769))</f>
        <v>570328.4779976823</v>
      </c>
      <c r="BI770" s="7">
        <f>BJ766*0.5</f>
        <v>170</v>
      </c>
      <c r="BJ770" s="7">
        <f>BI770^3+BI$767*BI770^2+BJ$767*BI770+BK$767</f>
        <v>25538355.394773863</v>
      </c>
      <c r="BK770" s="7">
        <f>IF(BI770-BI769=0,1,(BJ770-BJ769)/(BI770-BI769))</f>
        <v>425126.38090887805</v>
      </c>
    </row>
    <row r="771" spans="10:63" ht="13.5">
      <c r="J771" s="110">
        <f t="shared" si="81"/>
        <v>350</v>
      </c>
      <c r="K771" s="64">
        <f t="shared" si="82"/>
        <v>75</v>
      </c>
      <c r="L771" s="60"/>
      <c r="M771" s="7">
        <f t="shared" si="78"/>
        <v>953.8365032320645</v>
      </c>
      <c r="N771" s="7">
        <f t="shared" si="79"/>
        <v>79126.16721009708</v>
      </c>
      <c r="O771" s="7">
        <f t="shared" si="80"/>
        <v>-19781541.80252427</v>
      </c>
      <c r="Q771" s="7">
        <f>IF(S770=0,Q770,Q770-R770/S770)</f>
        <v>103.81683144858879</v>
      </c>
      <c r="R771" s="7">
        <f>IF(R770=0,0,Q771^3+Q$767*Q771^2+R$767*Q771+S$767)</f>
        <v>-1470840.5686468948</v>
      </c>
      <c r="S771" s="7">
        <f>IF(Q771-Q770=0,1,(R771-R770)/(Q771-Q770))</f>
        <v>246835.21011101065</v>
      </c>
      <c r="U771" s="7">
        <f>IF(W770=0,U770,U770-V770/W770)</f>
        <v>-30.239834889356132</v>
      </c>
      <c r="V771" s="7">
        <f aca="true" t="shared" si="84" ref="V771:V784">IF(V770=0,0,U771^3+U$767*U771^2+V$767*U771+W$767)</f>
        <v>-2030706.879107654</v>
      </c>
      <c r="W771" s="7">
        <f t="shared" si="83"/>
        <v>-15044.611477110062</v>
      </c>
      <c r="Y771" s="7">
        <f>IF(AA770=0,Y770,Y770-Z770/AA770)</f>
        <v>96.16422604425183</v>
      </c>
      <c r="Z771" s="7">
        <f>IF(Z770=0,0,Y771^3+Y$767*Y771^2+Z$767*Y771+AA$767)</f>
        <v>-2462492.1396674626</v>
      </c>
      <c r="AA771" s="7">
        <f>IF(Y771-Y770=0,1,(Z771-Z770)/(Y771-Y770))</f>
        <v>326973.7658463936</v>
      </c>
      <c r="AC771" s="7">
        <f>IF(AE770=0,AC770,AC770-AD770/AE770)</f>
        <v>99.3401172103921</v>
      </c>
      <c r="AD771" s="7">
        <f>IF(AD770=0,0,AC771^3+AC$767*AC771^2+AD$767*AC771+AE$767)</f>
        <v>-6536885.14268795</v>
      </c>
      <c r="AE771" s="7">
        <f>IF(AC771-AC770=0,1,(AD771-AD770)/(AC771-AC770))</f>
        <v>556858.2605373276</v>
      </c>
      <c r="AG771" s="7">
        <f>IF(AI770=0,AG770,AG770-AH770/AI770)</f>
        <v>75.73224172694057</v>
      </c>
      <c r="AH771" s="7">
        <f>IF(AH770=0,0,AG771^3+AG$767*AG771^2+AH$767*AG771+AI$767)</f>
        <v>-4009745.171369711</v>
      </c>
      <c r="AI771" s="7">
        <f>IF(AG771-AG770=0,1,(AH771-AH770)/(AG771-AG770))</f>
        <v>291830.0535699356</v>
      </c>
      <c r="AK771" s="7">
        <f>IF(AM770=0,AK770,AK770-AL770/AM770)</f>
        <v>99.34011721039212</v>
      </c>
      <c r="AL771" s="7">
        <f>IF(AL770=0,0,AK771^3+AK$767*AK771^2+AL$767*AK771+AM$767)</f>
        <v>-6536885.142687939</v>
      </c>
      <c r="AM771" s="7">
        <f>IF(AK771-AK770=0,1,(AL771-AL770)/(AK771-AK770))</f>
        <v>556858.2605373273</v>
      </c>
      <c r="AO771" s="7">
        <f>IF(AQ770=0,AO770,AO770-AP770/AQ770)</f>
        <v>96.16422604425182</v>
      </c>
      <c r="AP771" s="7">
        <f>IF(AP770=0,0,AO771^3+AO$767*AO771^2+AP$767*AO771+AQ$767)</f>
        <v>-2462492.1396674663</v>
      </c>
      <c r="AQ771" s="7">
        <f>IF(AO771-AO770=0,1,(AP771-AP770)/(AO771-AO770))</f>
        <v>326973.76584639354</v>
      </c>
      <c r="AS771" s="7">
        <f>IF(AU770=0,AS770,AS770-AT770/AU770)</f>
        <v>-30.239834889356132</v>
      </c>
      <c r="AT771" s="7">
        <f>IF(AT770=0,0,AS771^3+AS$767*AS771^2+AT$767*AS771+AU$767)</f>
        <v>-2030706.879107654</v>
      </c>
      <c r="AU771" s="7">
        <f>IF(AS771-AS770=0,1,(AT771-AT770)/(AS771-AS770))</f>
        <v>-15044.611477110062</v>
      </c>
      <c r="AW771" s="7">
        <f>IF(AY770=0,AW770,AW770-AX770/AY770)</f>
        <v>103.8168314485888</v>
      </c>
      <c r="AX771" s="7">
        <f>IF(AX770=0,0,AW771^3+AW$767*AW771^2+AX$767*AW771+AY$767)</f>
        <v>-1470840.5686468948</v>
      </c>
      <c r="AY771" s="7">
        <f>IF(AW771-AW770=0,1,(AX771-AX770)/(AW771-AW770))</f>
        <v>246835.21011101065</v>
      </c>
      <c r="BA771" s="7">
        <f>IF(BC770=0,BA770,BA770-BB770/BC770)</f>
        <v>109.92761554769811</v>
      </c>
      <c r="BB771" s="7">
        <f>IF(BB770=0,0,BA771^3+BA$767*BA771^2+BB$767*BA771+BC$767)</f>
        <v>-7659138.326123342</v>
      </c>
      <c r="BC771" s="7">
        <f>IF(BA771-BA770=0,1,(BB771-BB770)/(BA771-BA770))</f>
        <v>552624.8712044442</v>
      </c>
      <c r="BE771" s="7">
        <f>IF(BG770=0,BE770,BE770-BF770/BG770)</f>
        <v>106.17565538833708</v>
      </c>
      <c r="BF771" s="7">
        <f>IF(BF770=0,0,BE771^3+BE$767*BE771^2+BF$767*BE771+BG$767)</f>
        <v>-10786578.495614842</v>
      </c>
      <c r="BG771" s="7">
        <f>IF(BE771-BE770=0,1,(BF771-BF770)/(BE771-BE770))</f>
        <v>727054.6852209757</v>
      </c>
      <c r="BI771" s="7">
        <f>IF(BK770=0,BI770,BI770-BJ770/BK770)</f>
        <v>109.9276155476981</v>
      </c>
      <c r="BJ771" s="7">
        <f aca="true" t="shared" si="85" ref="BJ771:BJ784">IF(BJ770=0,0,BI771^3+BI$767*BI771^2+BJ$767*BI771+BK$767)</f>
        <v>-7659138.326123338</v>
      </c>
      <c r="BK771" s="7">
        <f>IF(BI771-BI770=0,1,(BJ771-BJ770)/(BI771-BI770))</f>
        <v>552624.8712044443</v>
      </c>
    </row>
    <row r="772" spans="10:63" ht="13.5">
      <c r="J772" s="108">
        <f>E$7*1000</f>
        <v>400</v>
      </c>
      <c r="K772" s="77">
        <f t="shared" si="82"/>
        <v>100</v>
      </c>
      <c r="L772" s="60"/>
      <c r="M772" s="7">
        <f t="shared" si="78"/>
        <v>1581.5558817148194</v>
      </c>
      <c r="N772" s="7">
        <f t="shared" si="79"/>
        <v>115243.45514683622</v>
      </c>
      <c r="O772" s="7">
        <f t="shared" si="80"/>
        <v>-34573036.544050865</v>
      </c>
      <c r="Q772" s="7">
        <f aca="true" t="shared" si="86" ref="Q772:Q784">IF(S771=0,Q771,Q771-R771/S771)</f>
        <v>109.77562706767978</v>
      </c>
      <c r="R772" s="7">
        <f aca="true" t="shared" si="87" ref="R772:R784">IF(R771=0,0,Q772^3+Q$767*Q772^2+R$767*Q772+S$767)</f>
        <v>-87610.41069022752</v>
      </c>
      <c r="S772" s="7">
        <f aca="true" t="shared" si="88" ref="S772:S784">IF(Q772-Q771=0,1,(R772-R771)/(Q772-Q771))</f>
        <v>232132.50569041626</v>
      </c>
      <c r="U772" s="7">
        <f aca="true" t="shared" si="89" ref="U772:U784">IF(W771=0,U771,U771-V771/W771)</f>
        <v>-165.21885260591966</v>
      </c>
      <c r="V772" s="7">
        <f t="shared" si="84"/>
        <v>-16728017.636840101</v>
      </c>
      <c r="W772" s="7">
        <f t="shared" si="83"/>
        <v>108885.89209172258</v>
      </c>
      <c r="Y772" s="7">
        <f aca="true" t="shared" si="90" ref="Y772:Y784">IF(AA771=0,Y771,Y771-Z771/AA771)</f>
        <v>103.69538724702642</v>
      </c>
      <c r="Z772" s="7">
        <f aca="true" t="shared" si="91" ref="Z772:Z784">IF(Z771=0,0,Y772^3+Y$767*Y772^2+Z$767*Y772+AA$767)</f>
        <v>-205164.83933401853</v>
      </c>
      <c r="AA772" s="7">
        <f aca="true" t="shared" si="92" ref="AA772:AA784">IF(Y772-Y771=0,1,(Z772-Z771)/(Y772-Y771))</f>
        <v>299731.6402551327</v>
      </c>
      <c r="AC772" s="7">
        <f aca="true" t="shared" si="93" ref="AC772:AC784">IF(AE771=0,AC771,AC771-AD771/AE771)</f>
        <v>111.07898436193679</v>
      </c>
      <c r="AD772" s="7">
        <f aca="true" t="shared" si="94" ref="AD772:AD784">IF(AD771=0,0,AC772^3+AC$767*AC772^2+AD$767*AC772+AE$767)</f>
        <v>-887266.2934503779</v>
      </c>
      <c r="AE772" s="7">
        <f aca="true" t="shared" si="95" ref="AE772:AE784">IF(AC772-AC771=0,1,(AD772-AD771)/(AC772-AC771))</f>
        <v>481274.62184408057</v>
      </c>
      <c r="AG772" s="7">
        <f aca="true" t="shared" si="96" ref="AG772:AG784">IF(AI771=0,AG771,AG771-AH771/AI771)</f>
        <v>89.47224253329617</v>
      </c>
      <c r="AH772" s="7">
        <f aca="true" t="shared" si="97" ref="AH772:AH784">IF(AH771=0,0,AG772^3+AG$767*AG772^2+AH$767*AG772+AI$767)</f>
        <v>-1031287.9412641115</v>
      </c>
      <c r="AI772" s="7">
        <f aca="true" t="shared" si="98" ref="AI772:AI784">IF(AG772-AG771=0,1,(AH772-AH771)/(AG772-AG771))</f>
        <v>216772.7114490328</v>
      </c>
      <c r="AK772" s="7">
        <f aca="true" t="shared" si="99" ref="AK772:AK784">IF(AM771=0,AK771,AK771-AL771/AM771)</f>
        <v>111.0789843619368</v>
      </c>
      <c r="AL772" s="7">
        <f aca="true" t="shared" si="100" ref="AL772:AL784">IF(AL771=0,0,AK772^3+AK$767*AK772^2+AL$767*AK772+AM$767)</f>
        <v>-887266.2934503704</v>
      </c>
      <c r="AM772" s="7">
        <f aca="true" t="shared" si="101" ref="AM772:AM784">IF(AK772-AK771=0,1,(AL772-AL771)/(AK772-AK771))</f>
        <v>481274.6218440808</v>
      </c>
      <c r="AO772" s="7">
        <f aca="true" t="shared" si="102" ref="AO772:AO784">IF(AQ771=0,AO771,AO771-AP771/AQ771)</f>
        <v>103.69538724702642</v>
      </c>
      <c r="AP772" s="7">
        <f aca="true" t="shared" si="103" ref="AP772:AP784">IF(AP771=0,0,AO772^3+AO$767*AO772^2+AP$767*AO772+AQ$767)</f>
        <v>-205164.83933402225</v>
      </c>
      <c r="AQ772" s="7">
        <f aca="true" t="shared" si="104" ref="AQ772:AQ784">IF(AO772-AO771=0,1,(AP772-AP771)/(AO772-AO771))</f>
        <v>299731.6402551321</v>
      </c>
      <c r="AS772" s="7">
        <f aca="true" t="shared" si="105" ref="AS772:AS784">IF(AU771=0,AS771,AS771-AT771/AU771)</f>
        <v>-165.21885260591966</v>
      </c>
      <c r="AT772" s="7">
        <f aca="true" t="shared" si="106" ref="AT772:AT784">IF(AT771=0,0,AS772^3+AS$767*AS772^2+AT$767*AS772+AU$767)</f>
        <v>-16728017.636840101</v>
      </c>
      <c r="AU772" s="7">
        <f aca="true" t="shared" si="107" ref="AU772:AU784">IF(AS772-AS771=0,1,(AT772-AT771)/(AS772-AS771))</f>
        <v>108885.89209172258</v>
      </c>
      <c r="AW772" s="7">
        <f aca="true" t="shared" si="108" ref="AW772:AW784">IF(AY771=0,AW771,AW771-AX771/AY771)</f>
        <v>109.77562706767979</v>
      </c>
      <c r="AX772" s="7">
        <f aca="true" t="shared" si="109" ref="AX772:AX784">IF(AX771=0,0,AW772^3+AW$767*AW772^2+AX$767*AW772+AY$767)</f>
        <v>-87610.41069022752</v>
      </c>
      <c r="AY772" s="7">
        <f aca="true" t="shared" si="110" ref="AY772:AY784">IF(AW772-AW771=0,1,(AX772-AX771)/(AW772-AW771))</f>
        <v>232132.50569041626</v>
      </c>
      <c r="BA772" s="7">
        <f aca="true" t="shared" si="111" ref="BA772:BA784">IF(BC771=0,BA771,BA771-BB771/BC771)</f>
        <v>123.78717693412337</v>
      </c>
      <c r="BB772" s="7">
        <f aca="true" t="shared" si="112" ref="BB772:BB784">IF(BB771=0,0,BA772^3+BA$767*BA772^2+BB$767*BA772+BC$767)</f>
        <v>-1133024.709609799</v>
      </c>
      <c r="BC772" s="7">
        <f aca="true" t="shared" si="113" ref="BC772:BC784">IF(BA772-BA771=0,1,(BB772-BB771)/(BA772-BA771))</f>
        <v>470874.4695849858</v>
      </c>
      <c r="BE772" s="7">
        <f aca="true" t="shared" si="114" ref="BE772:BE784">IF(BG771=0,BE771,BE771-BF771/BG771)</f>
        <v>121.01164876665696</v>
      </c>
      <c r="BF772" s="7">
        <f aca="true" t="shared" si="115" ref="BF772:BF784">IF(BF771=0,0,BE772^3+BE$767*BE772^2+BF$767*BE772+BG$767)</f>
        <v>-1832601.4689593315</v>
      </c>
      <c r="BG772" s="7">
        <f aca="true" t="shared" si="116" ref="BG772:BG784">IF(BE772-BE771=0,1,(BF772-BF771)/(BE772-BE771))</f>
        <v>603530.6701969904</v>
      </c>
      <c r="BI772" s="7">
        <f aca="true" t="shared" si="117" ref="BI772:BI784">IF(BK771=0,BI771,BI771-BJ771/BK771)</f>
        <v>123.78717693412334</v>
      </c>
      <c r="BJ772" s="7">
        <f t="shared" si="85"/>
        <v>-1133024.7096098065</v>
      </c>
      <c r="BK772" s="7">
        <f aca="true" t="shared" si="118" ref="BK772:BK784">IF(BI772-BI771=0,1,(BJ772-BJ771)/(BI772-BI771))</f>
        <v>470874.46958498546</v>
      </c>
    </row>
    <row r="773" spans="10:63" ht="13.5">
      <c r="J773" s="109">
        <f>E$7*1000</f>
        <v>400</v>
      </c>
      <c r="K773" s="61">
        <f t="shared" si="82"/>
        <v>100</v>
      </c>
      <c r="L773" s="60"/>
      <c r="M773" s="7">
        <f t="shared" si="78"/>
        <v>924.8438053561711</v>
      </c>
      <c r="N773" s="7">
        <f t="shared" si="79"/>
        <v>43467.77944358399</v>
      </c>
      <c r="O773" s="7">
        <f t="shared" si="80"/>
        <v>-13040333.833075196</v>
      </c>
      <c r="Q773" s="7">
        <f t="shared" si="86"/>
        <v>110.15304258917106</v>
      </c>
      <c r="R773" s="7">
        <f t="shared" si="87"/>
        <v>2273.938017528504</v>
      </c>
      <c r="S773" s="7">
        <f t="shared" si="88"/>
        <v>238157.53086305218</v>
      </c>
      <c r="U773" s="7">
        <f t="shared" si="89"/>
        <v>-11.589972725421802</v>
      </c>
      <c r="V773" s="7">
        <f t="shared" si="84"/>
        <v>-1614843.635232356</v>
      </c>
      <c r="W773" s="7">
        <f t="shared" si="83"/>
        <v>98374.56351542572</v>
      </c>
      <c r="Y773" s="7">
        <f t="shared" si="90"/>
        <v>104.37988234790859</v>
      </c>
      <c r="Z773" s="7">
        <f t="shared" si="91"/>
        <v>7074.886610366404</v>
      </c>
      <c r="AA773" s="7">
        <f t="shared" si="92"/>
        <v>310067.56026573665</v>
      </c>
      <c r="AC773" s="7">
        <f t="shared" si="93"/>
        <v>112.92256026055924</v>
      </c>
      <c r="AD773" s="7">
        <f t="shared" si="94"/>
        <v>47699.13862481713</v>
      </c>
      <c r="AE773" s="7">
        <f t="shared" si="95"/>
        <v>507147.7842457248</v>
      </c>
      <c r="AG773" s="7">
        <f t="shared" si="96"/>
        <v>94.229704551326</v>
      </c>
      <c r="AH773" s="7">
        <f t="shared" si="97"/>
        <v>104217.62030956149</v>
      </c>
      <c r="AI773" s="7">
        <f t="shared" si="98"/>
        <v>238678.84961988864</v>
      </c>
      <c r="AK773" s="7">
        <f t="shared" si="99"/>
        <v>112.92256026055924</v>
      </c>
      <c r="AL773" s="7">
        <f t="shared" si="100"/>
        <v>47699.13862480968</v>
      </c>
      <c r="AM773" s="7">
        <f t="shared" si="101"/>
        <v>507147.78424572066</v>
      </c>
      <c r="AO773" s="7">
        <f t="shared" si="102"/>
        <v>104.3798823479086</v>
      </c>
      <c r="AP773" s="7">
        <f t="shared" si="103"/>
        <v>7074.886610370129</v>
      </c>
      <c r="AQ773" s="7">
        <f t="shared" si="104"/>
        <v>310067.56026574114</v>
      </c>
      <c r="AS773" s="7">
        <f t="shared" si="105"/>
        <v>-11.589972725421802</v>
      </c>
      <c r="AT773" s="7">
        <f t="shared" si="106"/>
        <v>-1614843.635232356</v>
      </c>
      <c r="AU773" s="7">
        <f t="shared" si="107"/>
        <v>98374.56351542572</v>
      </c>
      <c r="AW773" s="7">
        <f t="shared" si="108"/>
        <v>110.15304258917108</v>
      </c>
      <c r="AX773" s="7">
        <f t="shared" si="109"/>
        <v>2273.938017530367</v>
      </c>
      <c r="AY773" s="7">
        <f t="shared" si="110"/>
        <v>238157.5308630571</v>
      </c>
      <c r="BA773" s="7">
        <f t="shared" si="111"/>
        <v>126.193390867549</v>
      </c>
      <c r="BB773" s="7">
        <f t="shared" si="112"/>
        <v>67522.1625809744</v>
      </c>
      <c r="BC773" s="7">
        <f t="shared" si="113"/>
        <v>498936.04866696196</v>
      </c>
      <c r="BE773" s="7">
        <f t="shared" si="114"/>
        <v>124.04811660409293</v>
      </c>
      <c r="BF773" s="7">
        <f t="shared" si="115"/>
        <v>121401.3684501648</v>
      </c>
      <c r="BG773" s="7">
        <f t="shared" si="116"/>
        <v>643511.7847516816</v>
      </c>
      <c r="BI773" s="7">
        <f t="shared" si="117"/>
        <v>126.193390867549</v>
      </c>
      <c r="BJ773" s="7">
        <f t="shared" si="85"/>
        <v>67522.1625809893</v>
      </c>
      <c r="BK773" s="7">
        <f t="shared" si="118"/>
        <v>498936.04866696533</v>
      </c>
    </row>
    <row r="774" spans="10:63" ht="13.5">
      <c r="J774" s="110">
        <f>E$7*1000</f>
        <v>400</v>
      </c>
      <c r="K774" s="64">
        <f t="shared" si="82"/>
        <v>100</v>
      </c>
      <c r="L774" s="60"/>
      <c r="M774" s="7">
        <f t="shared" si="78"/>
        <v>1581.555881714819</v>
      </c>
      <c r="N774" s="7">
        <f t="shared" si="79"/>
        <v>115243.45514683618</v>
      </c>
      <c r="O774" s="7">
        <f t="shared" si="80"/>
        <v>-34573036.54405086</v>
      </c>
      <c r="Q774" s="7">
        <f t="shared" si="86"/>
        <v>110.14349454754799</v>
      </c>
      <c r="R774" s="7">
        <f t="shared" si="87"/>
        <v>-3.362133104354143</v>
      </c>
      <c r="S774" s="7">
        <f t="shared" si="88"/>
        <v>238509.65889473583</v>
      </c>
      <c r="U774" s="7">
        <f t="shared" si="89"/>
        <v>4.825283185514351</v>
      </c>
      <c r="V774" s="7">
        <f t="shared" si="84"/>
        <v>-1475348.7834196878</v>
      </c>
      <c r="W774" s="7">
        <f t="shared" si="83"/>
        <v>8497.878593518242</v>
      </c>
      <c r="Y774" s="7">
        <f t="shared" si="90"/>
        <v>104.3570651057427</v>
      </c>
      <c r="Z774" s="7">
        <f t="shared" si="91"/>
        <v>-19.11770137399435</v>
      </c>
      <c r="AA774" s="7">
        <f t="shared" si="92"/>
        <v>310905.4223190392</v>
      </c>
      <c r="AC774" s="7">
        <f t="shared" si="93"/>
        <v>112.82850653478823</v>
      </c>
      <c r="AD774" s="7">
        <f t="shared" si="94"/>
        <v>-315.668637804687</v>
      </c>
      <c r="AE774" s="7">
        <f t="shared" si="95"/>
        <v>510504.0429714055</v>
      </c>
      <c r="AG774" s="7">
        <f t="shared" si="96"/>
        <v>93.79306083331103</v>
      </c>
      <c r="AH774" s="7">
        <f t="shared" si="97"/>
        <v>-2268.4023420307785</v>
      </c>
      <c r="AI774" s="7">
        <f t="shared" si="98"/>
        <v>243873.93716710506</v>
      </c>
      <c r="AK774" s="7">
        <f t="shared" si="99"/>
        <v>112.82850653478825</v>
      </c>
      <c r="AL774" s="7">
        <f t="shared" si="100"/>
        <v>-315.66863779723644</v>
      </c>
      <c r="AM774" s="7">
        <f t="shared" si="101"/>
        <v>510504.04297132423</v>
      </c>
      <c r="AO774" s="7">
        <f t="shared" si="102"/>
        <v>104.35706510574272</v>
      </c>
      <c r="AP774" s="7">
        <f t="shared" si="103"/>
        <v>-19.11770137026906</v>
      </c>
      <c r="AQ774" s="7">
        <f t="shared" si="104"/>
        <v>310905.4223190392</v>
      </c>
      <c r="AS774" s="7">
        <f t="shared" si="105"/>
        <v>4.825283185514351</v>
      </c>
      <c r="AT774" s="7">
        <f t="shared" si="106"/>
        <v>-1475348.7834196878</v>
      </c>
      <c r="AU774" s="7">
        <f t="shared" si="107"/>
        <v>8497.878593518242</v>
      </c>
      <c r="AW774" s="7">
        <f t="shared" si="108"/>
        <v>110.143494547548</v>
      </c>
      <c r="AX774" s="7">
        <f t="shared" si="109"/>
        <v>-3.362133102491498</v>
      </c>
      <c r="AY774" s="7">
        <f t="shared" si="110"/>
        <v>238509.65889473583</v>
      </c>
      <c r="BA774" s="7">
        <f t="shared" si="111"/>
        <v>126.05805856842694</v>
      </c>
      <c r="BB774" s="7">
        <f t="shared" si="112"/>
        <v>-535.1494183018804</v>
      </c>
      <c r="BC774" s="7">
        <f t="shared" si="113"/>
        <v>502890.38493239466</v>
      </c>
      <c r="BE774" s="7">
        <f t="shared" si="114"/>
        <v>123.85946214379115</v>
      </c>
      <c r="BF774" s="7">
        <f t="shared" si="115"/>
        <v>-1211.347542874515</v>
      </c>
      <c r="BG774" s="7">
        <f t="shared" si="116"/>
        <v>649932.7701921528</v>
      </c>
      <c r="BI774" s="7">
        <f t="shared" si="117"/>
        <v>126.05805856842692</v>
      </c>
      <c r="BJ774" s="7">
        <f t="shared" si="85"/>
        <v>-535.1494183018804</v>
      </c>
      <c r="BK774" s="7">
        <f t="shared" si="118"/>
        <v>502890.38493239915</v>
      </c>
    </row>
    <row r="775" spans="10:63" ht="13.5">
      <c r="J775" s="108">
        <f t="shared" si="81"/>
        <v>350</v>
      </c>
      <c r="K775" s="77">
        <f t="shared" si="82"/>
        <v>75</v>
      </c>
      <c r="L775" s="60"/>
      <c r="M775" s="7">
        <f t="shared" si="78"/>
        <v>953.8365032320642</v>
      </c>
      <c r="N775" s="7">
        <f t="shared" si="79"/>
        <v>79126.16721009706</v>
      </c>
      <c r="O775" s="7">
        <f t="shared" si="80"/>
        <v>-19781541.802524265</v>
      </c>
      <c r="Q775" s="7">
        <f t="shared" si="86"/>
        <v>110.14350864397124</v>
      </c>
      <c r="R775" s="7">
        <f t="shared" si="87"/>
        <v>-0.00012869574129581451</v>
      </c>
      <c r="S775" s="7">
        <f t="shared" si="88"/>
        <v>238500.52933930678</v>
      </c>
      <c r="U775" s="7">
        <f t="shared" si="89"/>
        <v>178.4390583393522</v>
      </c>
      <c r="V775" s="7">
        <f t="shared" si="84"/>
        <v>-6099868.716941798</v>
      </c>
      <c r="W775" s="7">
        <f t="shared" si="83"/>
        <v>-26636.82607802497</v>
      </c>
      <c r="Y775" s="7">
        <f t="shared" si="90"/>
        <v>104.35712659615105</v>
      </c>
      <c r="Z775" s="7">
        <f t="shared" si="91"/>
        <v>-0.0017727650701999664</v>
      </c>
      <c r="AA775" s="7">
        <f t="shared" si="92"/>
        <v>310876.59237188374</v>
      </c>
      <c r="AC775" s="7">
        <f t="shared" si="93"/>
        <v>112.82912488177716</v>
      </c>
      <c r="AD775" s="7">
        <f t="shared" si="94"/>
        <v>-0.11093679070472717</v>
      </c>
      <c r="AE775" s="7">
        <f t="shared" si="95"/>
        <v>510324.63432926027</v>
      </c>
      <c r="AG775" s="7">
        <f t="shared" si="96"/>
        <v>93.80236236986873</v>
      </c>
      <c r="AH775" s="7">
        <f t="shared" si="97"/>
        <v>-4.796435311436653</v>
      </c>
      <c r="AI775" s="7">
        <f t="shared" si="98"/>
        <v>243358.27663284476</v>
      </c>
      <c r="AK775" s="7">
        <f t="shared" si="99"/>
        <v>112.82912488177716</v>
      </c>
      <c r="AL775" s="7">
        <f t="shared" si="100"/>
        <v>-0.11093679070472717</v>
      </c>
      <c r="AM775" s="7">
        <f t="shared" si="101"/>
        <v>510324.63432893937</v>
      </c>
      <c r="AO775" s="7">
        <f t="shared" si="102"/>
        <v>104.35712659615105</v>
      </c>
      <c r="AP775" s="7">
        <f t="shared" si="103"/>
        <v>-0.0017727650701999664</v>
      </c>
      <c r="AQ775" s="7">
        <f t="shared" si="104"/>
        <v>310876.5923831462</v>
      </c>
      <c r="AS775" s="7">
        <f t="shared" si="105"/>
        <v>178.4390583393522</v>
      </c>
      <c r="AT775" s="7">
        <f t="shared" si="106"/>
        <v>-6099868.716941798</v>
      </c>
      <c r="AU775" s="7">
        <f t="shared" si="107"/>
        <v>-26636.82607802497</v>
      </c>
      <c r="AW775" s="7">
        <f t="shared" si="108"/>
        <v>110.14350864397126</v>
      </c>
      <c r="AX775" s="7">
        <f t="shared" si="109"/>
        <v>-0.00012869201600551605</v>
      </c>
      <c r="AY775" s="7">
        <f t="shared" si="110"/>
        <v>238500.52947144277</v>
      </c>
      <c r="BA775" s="7">
        <f t="shared" si="111"/>
        <v>126.05912271567321</v>
      </c>
      <c r="BB775" s="7">
        <f t="shared" si="112"/>
        <v>-0.249126598238945</v>
      </c>
      <c r="BC775" s="7">
        <f t="shared" si="113"/>
        <v>502656.2757922308</v>
      </c>
      <c r="BE775" s="7">
        <f t="shared" si="114"/>
        <v>123.86132594816974</v>
      </c>
      <c r="BF775" s="7">
        <f t="shared" si="115"/>
        <v>-0.785948671400547</v>
      </c>
      <c r="BG775" s="7">
        <f t="shared" si="116"/>
        <v>649511.0796557206</v>
      </c>
      <c r="BI775" s="7">
        <f t="shared" si="117"/>
        <v>126.05912271567318</v>
      </c>
      <c r="BJ775" s="7">
        <f t="shared" si="85"/>
        <v>-0.2491266056895256</v>
      </c>
      <c r="BK775" s="7">
        <f t="shared" si="118"/>
        <v>502656.27578522934</v>
      </c>
    </row>
    <row r="776" spans="10:63" ht="13.5">
      <c r="J776" s="109">
        <f t="shared" si="81"/>
        <v>350</v>
      </c>
      <c r="K776" s="61">
        <f t="shared" si="82"/>
        <v>75</v>
      </c>
      <c r="L776" s="60"/>
      <c r="M776" s="7">
        <f t="shared" si="78"/>
        <v>-356.56561659814065</v>
      </c>
      <c r="N776" s="7">
        <f t="shared" si="79"/>
        <v>5984.136971542279</v>
      </c>
      <c r="O776" s="7">
        <f t="shared" si="80"/>
        <v>-1496034.2428855698</v>
      </c>
      <c r="Q776" s="7">
        <f t="shared" si="86"/>
        <v>110.14350864451085</v>
      </c>
      <c r="R776" s="7">
        <f t="shared" si="87"/>
        <v>-1.862645149230957E-09</v>
      </c>
      <c r="S776" s="7">
        <f t="shared" si="88"/>
        <v>238498.502120039</v>
      </c>
      <c r="U776" s="7">
        <f t="shared" si="89"/>
        <v>-50.562276094186416</v>
      </c>
      <c r="V776" s="7">
        <f t="shared" si="84"/>
        <v>-2839446.1037677936</v>
      </c>
      <c r="W776" s="7">
        <f t="shared" si="83"/>
        <v>-14237.570367172919</v>
      </c>
      <c r="Y776" s="7">
        <f t="shared" si="90"/>
        <v>104.35712660185352</v>
      </c>
      <c r="Z776" s="7">
        <f t="shared" si="91"/>
        <v>3.725290298461914E-09</v>
      </c>
      <c r="AA776" s="7">
        <f t="shared" si="92"/>
        <v>310877.0867333207</v>
      </c>
      <c r="AC776" s="7">
        <f t="shared" si="93"/>
        <v>112.82912509916191</v>
      </c>
      <c r="AD776" s="7">
        <f t="shared" si="94"/>
        <v>2.60770320892334E-07</v>
      </c>
      <c r="AE776" s="7">
        <f t="shared" si="95"/>
        <v>510325.8184674577</v>
      </c>
      <c r="AG776" s="7">
        <f t="shared" si="96"/>
        <v>93.80238207922638</v>
      </c>
      <c r="AH776" s="7">
        <f t="shared" si="97"/>
        <v>0.00022160634398460388</v>
      </c>
      <c r="AI776" s="7">
        <f t="shared" si="98"/>
        <v>243369.52042123908</v>
      </c>
      <c r="AK776" s="7">
        <f t="shared" si="99"/>
        <v>112.82912509916191</v>
      </c>
      <c r="AL776" s="7">
        <f t="shared" si="100"/>
        <v>2.60770320892334E-07</v>
      </c>
      <c r="AM776" s="7">
        <f t="shared" si="101"/>
        <v>510325.8184674577</v>
      </c>
      <c r="AO776" s="7">
        <f t="shared" si="102"/>
        <v>104.35712660185352</v>
      </c>
      <c r="AP776" s="7">
        <f t="shared" si="103"/>
        <v>3.725290298461914E-09</v>
      </c>
      <c r="AQ776" s="7">
        <f t="shared" si="104"/>
        <v>310877.0867333207</v>
      </c>
      <c r="AS776" s="7">
        <f t="shared" si="105"/>
        <v>-50.562276094186416</v>
      </c>
      <c r="AT776" s="7">
        <f t="shared" si="106"/>
        <v>-2839446.1037677936</v>
      </c>
      <c r="AU776" s="7">
        <f t="shared" si="107"/>
        <v>-14237.570367172919</v>
      </c>
      <c r="AW776" s="7">
        <f t="shared" si="108"/>
        <v>110.14350864451085</v>
      </c>
      <c r="AX776" s="7">
        <f t="shared" si="109"/>
        <v>-3.725290298461914E-09</v>
      </c>
      <c r="AY776" s="7">
        <f t="shared" si="110"/>
        <v>238494.42739004476</v>
      </c>
      <c r="BA776" s="7">
        <f t="shared" si="111"/>
        <v>126.0591232112934</v>
      </c>
      <c r="BB776" s="7">
        <f t="shared" si="112"/>
        <v>9.164214134216309E-07</v>
      </c>
      <c r="BC776" s="7">
        <f t="shared" si="113"/>
        <v>502658.1286520854</v>
      </c>
      <c r="BE776" s="7">
        <f t="shared" si="114"/>
        <v>123.86132715823173</v>
      </c>
      <c r="BF776" s="7">
        <f t="shared" si="115"/>
        <v>5.0961971282958984E-06</v>
      </c>
      <c r="BG776" s="7">
        <f t="shared" si="116"/>
        <v>649515.2897328206</v>
      </c>
      <c r="BI776" s="7">
        <f t="shared" si="117"/>
        <v>126.05912321129338</v>
      </c>
      <c r="BJ776" s="7">
        <f t="shared" si="85"/>
        <v>9.238719940185547E-07</v>
      </c>
      <c r="BK776" s="7">
        <f t="shared" si="118"/>
        <v>502658.1443051188</v>
      </c>
    </row>
    <row r="777" spans="10:63" ht="13.5">
      <c r="J777" s="110">
        <f t="shared" si="81"/>
        <v>350</v>
      </c>
      <c r="K777" s="64">
        <f t="shared" si="82"/>
        <v>75</v>
      </c>
      <c r="L777" s="60"/>
      <c r="M777" s="7">
        <f t="shared" si="78"/>
        <v>627.142188549658</v>
      </c>
      <c r="N777" s="7">
        <f t="shared" si="79"/>
        <v>63954.48323624612</v>
      </c>
      <c r="O777" s="7">
        <f t="shared" si="80"/>
        <v>-15988620.80906153</v>
      </c>
      <c r="Q777" s="7">
        <f t="shared" si="86"/>
        <v>110.14350864451086</v>
      </c>
      <c r="R777" s="7">
        <f t="shared" si="87"/>
        <v>3.725290298461914E-09</v>
      </c>
      <c r="S777" s="7">
        <f t="shared" si="88"/>
        <v>393216</v>
      </c>
      <c r="U777" s="7">
        <f t="shared" si="89"/>
        <v>-249.9956085056355</v>
      </c>
      <c r="V777" s="7">
        <f t="shared" si="84"/>
        <v>-40900786.93205014</v>
      </c>
      <c r="W777" s="7">
        <f t="shared" si="83"/>
        <v>190847.43943283433</v>
      </c>
      <c r="Y777" s="7">
        <f t="shared" si="90"/>
        <v>104.35712660185351</v>
      </c>
      <c r="Z777" s="7">
        <f t="shared" si="91"/>
        <v>0</v>
      </c>
      <c r="AA777" s="7">
        <f t="shared" si="92"/>
        <v>262144</v>
      </c>
      <c r="AC777" s="7">
        <f t="shared" si="93"/>
        <v>112.8291250991614</v>
      </c>
      <c r="AD777" s="7">
        <f t="shared" si="94"/>
        <v>0</v>
      </c>
      <c r="AE777" s="7">
        <f t="shared" si="95"/>
        <v>509724.44444444444</v>
      </c>
      <c r="AG777" s="7">
        <f t="shared" si="96"/>
        <v>93.8023820783158</v>
      </c>
      <c r="AH777" s="7">
        <f t="shared" si="97"/>
        <v>-1.862645149230957E-09</v>
      </c>
      <c r="AI777" s="7">
        <f t="shared" si="98"/>
        <v>243371.7959922592</v>
      </c>
      <c r="AK777" s="7">
        <f t="shared" si="99"/>
        <v>112.8291250991614</v>
      </c>
      <c r="AL777" s="7">
        <f t="shared" si="100"/>
        <v>0</v>
      </c>
      <c r="AM777" s="7">
        <f t="shared" si="101"/>
        <v>509724.44444444444</v>
      </c>
      <c r="AO777" s="7">
        <f t="shared" si="102"/>
        <v>104.35712660185351</v>
      </c>
      <c r="AP777" s="7">
        <f t="shared" si="103"/>
        <v>0</v>
      </c>
      <c r="AQ777" s="7">
        <f t="shared" si="104"/>
        <v>262144</v>
      </c>
      <c r="AS777" s="7">
        <f t="shared" si="105"/>
        <v>-249.9956085056355</v>
      </c>
      <c r="AT777" s="7">
        <f t="shared" si="106"/>
        <v>-40900786.93205014</v>
      </c>
      <c r="AU777" s="7">
        <f t="shared" si="107"/>
        <v>190847.43943283433</v>
      </c>
      <c r="AW777" s="7">
        <f t="shared" si="108"/>
        <v>110.14350864451086</v>
      </c>
      <c r="AX777" s="7">
        <f t="shared" si="109"/>
        <v>1.862645149230957E-09</v>
      </c>
      <c r="AY777" s="7">
        <f t="shared" si="110"/>
        <v>393216</v>
      </c>
      <c r="BA777" s="7">
        <f t="shared" si="111"/>
        <v>126.05912321129158</v>
      </c>
      <c r="BB777" s="7">
        <f t="shared" si="112"/>
        <v>0</v>
      </c>
      <c r="BC777" s="7">
        <f t="shared" si="113"/>
        <v>503808</v>
      </c>
      <c r="BE777" s="7">
        <f t="shared" si="114"/>
        <v>123.86132715822389</v>
      </c>
      <c r="BF777" s="7">
        <f t="shared" si="115"/>
        <v>0</v>
      </c>
      <c r="BG777" s="7">
        <f t="shared" si="116"/>
        <v>649661.2173913043</v>
      </c>
      <c r="BI777" s="7">
        <f t="shared" si="117"/>
        <v>126.05912321129155</v>
      </c>
      <c r="BJ777" s="7">
        <f t="shared" si="85"/>
        <v>0</v>
      </c>
      <c r="BK777" s="7">
        <f t="shared" si="118"/>
        <v>503966.7596899225</v>
      </c>
    </row>
    <row r="778" spans="10:63" ht="13.5">
      <c r="J778" s="108">
        <f>E$8*1000</f>
        <v>450</v>
      </c>
      <c r="K778" s="77">
        <f t="shared" si="82"/>
        <v>115</v>
      </c>
      <c r="L778" s="60"/>
      <c r="M778" s="7">
        <f t="shared" si="78"/>
        <v>1365.2834248078498</v>
      </c>
      <c r="N778" s="7">
        <f t="shared" si="79"/>
        <v>110772.56224807655</v>
      </c>
      <c r="O778" s="7">
        <f t="shared" si="80"/>
        <v>-37662671.164346024</v>
      </c>
      <c r="Q778" s="7">
        <f t="shared" si="86"/>
        <v>110.14350864451085</v>
      </c>
      <c r="R778" s="7">
        <f t="shared" si="87"/>
        <v>-1.862645149230957E-09</v>
      </c>
      <c r="S778" s="7">
        <f t="shared" si="88"/>
        <v>393216</v>
      </c>
      <c r="U778" s="7">
        <f t="shared" si="89"/>
        <v>-35.68418230258962</v>
      </c>
      <c r="V778" s="7">
        <f t="shared" si="84"/>
        <v>-2209048.821355406</v>
      </c>
      <c r="W778" s="7">
        <f t="shared" si="83"/>
        <v>180539.78173817424</v>
      </c>
      <c r="Y778" s="7">
        <f t="shared" si="90"/>
        <v>104.35712660185351</v>
      </c>
      <c r="Z778" s="7">
        <f t="shared" si="91"/>
        <v>0</v>
      </c>
      <c r="AA778" s="7">
        <f t="shared" si="92"/>
        <v>1</v>
      </c>
      <c r="AC778" s="7">
        <f t="shared" si="93"/>
        <v>112.8291250991614</v>
      </c>
      <c r="AD778" s="7">
        <f t="shared" si="94"/>
        <v>0</v>
      </c>
      <c r="AE778" s="7">
        <f t="shared" si="95"/>
        <v>1</v>
      </c>
      <c r="AG778" s="7">
        <f t="shared" si="96"/>
        <v>93.80238207831582</v>
      </c>
      <c r="AH778" s="7">
        <f t="shared" si="97"/>
        <v>0</v>
      </c>
      <c r="AI778" s="7">
        <f t="shared" si="98"/>
        <v>131072</v>
      </c>
      <c r="AK778" s="7">
        <f t="shared" si="99"/>
        <v>112.8291250991614</v>
      </c>
      <c r="AL778" s="7">
        <f t="shared" si="100"/>
        <v>0</v>
      </c>
      <c r="AM778" s="7">
        <f t="shared" si="101"/>
        <v>1</v>
      </c>
      <c r="AO778" s="7">
        <f t="shared" si="102"/>
        <v>104.35712660185351</v>
      </c>
      <c r="AP778" s="7">
        <f t="shared" si="103"/>
        <v>0</v>
      </c>
      <c r="AQ778" s="7">
        <f t="shared" si="104"/>
        <v>1</v>
      </c>
      <c r="AS778" s="7">
        <f t="shared" si="105"/>
        <v>-35.68418230258962</v>
      </c>
      <c r="AT778" s="7">
        <f t="shared" si="106"/>
        <v>-2209048.821355406</v>
      </c>
      <c r="AU778" s="7">
        <f t="shared" si="107"/>
        <v>180539.78173817424</v>
      </c>
      <c r="AW778" s="7">
        <f t="shared" si="108"/>
        <v>110.14350864451086</v>
      </c>
      <c r="AX778" s="7">
        <f t="shared" si="109"/>
        <v>1.862645149230957E-09</v>
      </c>
      <c r="AY778" s="7">
        <f t="shared" si="110"/>
        <v>1</v>
      </c>
      <c r="BA778" s="7">
        <f t="shared" si="111"/>
        <v>126.05912321129158</v>
      </c>
      <c r="BB778" s="7">
        <f t="shared" si="112"/>
        <v>0</v>
      </c>
      <c r="BC778" s="7">
        <f t="shared" si="113"/>
        <v>1</v>
      </c>
      <c r="BE778" s="7">
        <f t="shared" si="114"/>
        <v>123.86132715822389</v>
      </c>
      <c r="BF778" s="7">
        <f t="shared" si="115"/>
        <v>0</v>
      </c>
      <c r="BG778" s="7">
        <f t="shared" si="116"/>
        <v>1</v>
      </c>
      <c r="BI778" s="7">
        <f t="shared" si="117"/>
        <v>126.05912321129155</v>
      </c>
      <c r="BJ778" s="7">
        <f t="shared" si="85"/>
        <v>0</v>
      </c>
      <c r="BK778" s="7">
        <f t="shared" si="118"/>
        <v>1</v>
      </c>
    </row>
    <row r="779" spans="10:63" ht="13.5">
      <c r="J779" s="109">
        <f>E$8*1000</f>
        <v>450</v>
      </c>
      <c r="K779" s="61">
        <f t="shared" si="82"/>
        <v>125</v>
      </c>
      <c r="L779" s="60"/>
      <c r="M779" s="7">
        <f t="shared" si="78"/>
        <v>1885.7880127814778</v>
      </c>
      <c r="N779" s="7">
        <f t="shared" si="79"/>
        <v>136337.99531357182</v>
      </c>
      <c r="O779" s="7">
        <f t="shared" si="80"/>
        <v>-47718298.35975014</v>
      </c>
      <c r="Q779" s="7">
        <f t="shared" si="86"/>
        <v>110.14350864451085</v>
      </c>
      <c r="R779" s="7">
        <f t="shared" si="87"/>
        <v>-1.862645149230957E-09</v>
      </c>
      <c r="S779" s="7">
        <f t="shared" si="88"/>
        <v>1</v>
      </c>
      <c r="U779" s="7">
        <f t="shared" si="89"/>
        <v>-23.44838141656078</v>
      </c>
      <c r="V779" s="7">
        <f t="shared" si="84"/>
        <v>-1845294.3701254157</v>
      </c>
      <c r="W779" s="7">
        <f t="shared" si="83"/>
        <v>29728.699789920156</v>
      </c>
      <c r="Y779" s="7">
        <f t="shared" si="90"/>
        <v>104.35712660185351</v>
      </c>
      <c r="Z779" s="7">
        <f t="shared" si="91"/>
        <v>0</v>
      </c>
      <c r="AA779" s="7">
        <f t="shared" si="92"/>
        <v>1</v>
      </c>
      <c r="AC779" s="7">
        <f t="shared" si="93"/>
        <v>112.8291250991614</v>
      </c>
      <c r="AD779" s="7">
        <f t="shared" si="94"/>
        <v>0</v>
      </c>
      <c r="AE779" s="7">
        <f t="shared" si="95"/>
        <v>1</v>
      </c>
      <c r="AG779" s="7">
        <f t="shared" si="96"/>
        <v>93.80238207831582</v>
      </c>
      <c r="AH779" s="7">
        <f t="shared" si="97"/>
        <v>0</v>
      </c>
      <c r="AI779" s="7">
        <f t="shared" si="98"/>
        <v>1</v>
      </c>
      <c r="AK779" s="7">
        <f t="shared" si="99"/>
        <v>112.8291250991614</v>
      </c>
      <c r="AL779" s="7">
        <f t="shared" si="100"/>
        <v>0</v>
      </c>
      <c r="AM779" s="7">
        <f t="shared" si="101"/>
        <v>1</v>
      </c>
      <c r="AO779" s="7">
        <f t="shared" si="102"/>
        <v>104.35712660185351</v>
      </c>
      <c r="AP779" s="7">
        <f t="shared" si="103"/>
        <v>0</v>
      </c>
      <c r="AQ779" s="7">
        <f t="shared" si="104"/>
        <v>1</v>
      </c>
      <c r="AS779" s="7">
        <f t="shared" si="105"/>
        <v>-23.44838141656078</v>
      </c>
      <c r="AT779" s="7">
        <f t="shared" si="106"/>
        <v>-1845294.3701254157</v>
      </c>
      <c r="AU779" s="7">
        <f t="shared" si="107"/>
        <v>29728.699789920156</v>
      </c>
      <c r="AW779" s="7">
        <f t="shared" si="108"/>
        <v>110.14350864264821</v>
      </c>
      <c r="AX779" s="7">
        <f t="shared" si="109"/>
        <v>-0.00044424086809158325</v>
      </c>
      <c r="AY779" s="7">
        <f t="shared" si="110"/>
        <v>238501</v>
      </c>
      <c r="BA779" s="7">
        <f t="shared" si="111"/>
        <v>126.05912321129158</v>
      </c>
      <c r="BB779" s="7">
        <f t="shared" si="112"/>
        <v>0</v>
      </c>
      <c r="BC779" s="7">
        <f t="shared" si="113"/>
        <v>1</v>
      </c>
      <c r="BE779" s="7">
        <f t="shared" si="114"/>
        <v>123.86132715822389</v>
      </c>
      <c r="BF779" s="7">
        <f t="shared" si="115"/>
        <v>0</v>
      </c>
      <c r="BG779" s="7">
        <f t="shared" si="116"/>
        <v>1</v>
      </c>
      <c r="BI779" s="7">
        <f t="shared" si="117"/>
        <v>126.05912321129155</v>
      </c>
      <c r="BJ779" s="7">
        <f t="shared" si="85"/>
        <v>0</v>
      </c>
      <c r="BK779" s="7">
        <f t="shared" si="118"/>
        <v>1</v>
      </c>
    </row>
    <row r="780" spans="10:63" ht="13.5">
      <c r="J780" s="110">
        <f>E$8*1000</f>
        <v>450</v>
      </c>
      <c r="K780" s="64">
        <f t="shared" si="82"/>
        <v>115</v>
      </c>
      <c r="L780" s="60"/>
      <c r="M780" s="7">
        <f t="shared" si="78"/>
        <v>1365.2834248078507</v>
      </c>
      <c r="N780" s="7">
        <f t="shared" si="79"/>
        <v>110772.56224807657</v>
      </c>
      <c r="O780" s="7">
        <f t="shared" si="80"/>
        <v>-37662671.16434603</v>
      </c>
      <c r="Q780" s="7">
        <f t="shared" si="86"/>
        <v>110.14350864637349</v>
      </c>
      <c r="R780" s="7">
        <f t="shared" si="87"/>
        <v>0.0004442427307367325</v>
      </c>
      <c r="S780" s="7">
        <f t="shared" si="88"/>
        <v>238502</v>
      </c>
      <c r="U780" s="7">
        <f t="shared" si="89"/>
        <v>38.62276139040057</v>
      </c>
      <c r="V780" s="7">
        <f t="shared" si="84"/>
        <v>-1739191.3323877903</v>
      </c>
      <c r="W780" s="7">
        <f t="shared" si="83"/>
        <v>1709.377867709016</v>
      </c>
      <c r="Y780" s="7">
        <f t="shared" si="90"/>
        <v>104.35712660185351</v>
      </c>
      <c r="Z780" s="7">
        <f t="shared" si="91"/>
        <v>0</v>
      </c>
      <c r="AA780" s="7">
        <f t="shared" si="92"/>
        <v>1</v>
      </c>
      <c r="AC780" s="7">
        <f t="shared" si="93"/>
        <v>112.8291250991614</v>
      </c>
      <c r="AD780" s="7">
        <f t="shared" si="94"/>
        <v>0</v>
      </c>
      <c r="AE780" s="7">
        <f t="shared" si="95"/>
        <v>1</v>
      </c>
      <c r="AG780" s="7">
        <f t="shared" si="96"/>
        <v>93.80238207831582</v>
      </c>
      <c r="AH780" s="7">
        <f t="shared" si="97"/>
        <v>0</v>
      </c>
      <c r="AI780" s="7">
        <f t="shared" si="98"/>
        <v>1</v>
      </c>
      <c r="AK780" s="7">
        <f t="shared" si="99"/>
        <v>112.8291250991614</v>
      </c>
      <c r="AL780" s="7">
        <f t="shared" si="100"/>
        <v>0</v>
      </c>
      <c r="AM780" s="7">
        <f t="shared" si="101"/>
        <v>1</v>
      </c>
      <c r="AO780" s="7">
        <f t="shared" si="102"/>
        <v>104.35712660185351</v>
      </c>
      <c r="AP780" s="7">
        <f t="shared" si="103"/>
        <v>0</v>
      </c>
      <c r="AQ780" s="7">
        <f t="shared" si="104"/>
        <v>1</v>
      </c>
      <c r="AS780" s="7">
        <f t="shared" si="105"/>
        <v>38.62276139040057</v>
      </c>
      <c r="AT780" s="7">
        <f t="shared" si="106"/>
        <v>-1739191.3323877903</v>
      </c>
      <c r="AU780" s="7">
        <f t="shared" si="107"/>
        <v>1709.377867709016</v>
      </c>
      <c r="AW780" s="7">
        <f t="shared" si="108"/>
        <v>110.14350864451085</v>
      </c>
      <c r="AX780" s="7">
        <f t="shared" si="109"/>
        <v>-3.725290298461914E-09</v>
      </c>
      <c r="AY780" s="7">
        <f t="shared" si="110"/>
        <v>238499.81960921944</v>
      </c>
      <c r="BA780" s="7">
        <f t="shared" si="111"/>
        <v>126.05912321129158</v>
      </c>
      <c r="BB780" s="7">
        <f t="shared" si="112"/>
        <v>0</v>
      </c>
      <c r="BC780" s="7">
        <f t="shared" si="113"/>
        <v>1</v>
      </c>
      <c r="BE780" s="7">
        <f t="shared" si="114"/>
        <v>123.86132715822389</v>
      </c>
      <c r="BF780" s="7">
        <f t="shared" si="115"/>
        <v>0</v>
      </c>
      <c r="BG780" s="7">
        <f t="shared" si="116"/>
        <v>1</v>
      </c>
      <c r="BI780" s="7">
        <f t="shared" si="117"/>
        <v>126.05912321129155</v>
      </c>
      <c r="BJ780" s="7">
        <f t="shared" si="85"/>
        <v>0</v>
      </c>
      <c r="BK780" s="7">
        <f t="shared" si="118"/>
        <v>1</v>
      </c>
    </row>
    <row r="781" spans="14:63" ht="13.5">
      <c r="N781" s="87"/>
      <c r="Q781" s="7">
        <f t="shared" si="86"/>
        <v>110.14350864451086</v>
      </c>
      <c r="R781" s="7">
        <f t="shared" si="87"/>
        <v>3.725290298461914E-09</v>
      </c>
      <c r="S781" s="7">
        <f t="shared" si="88"/>
        <v>238500.8196168489</v>
      </c>
      <c r="U781" s="7">
        <f t="shared" si="89"/>
        <v>1056.0638814855915</v>
      </c>
      <c r="V781" s="7">
        <f t="shared" si="84"/>
        <v>784953671.3380508</v>
      </c>
      <c r="W781" s="7">
        <f t="shared" si="83"/>
        <v>773207.261956187</v>
      </c>
      <c r="Y781" s="7">
        <f t="shared" si="90"/>
        <v>104.35712660185351</v>
      </c>
      <c r="Z781" s="7">
        <f t="shared" si="91"/>
        <v>0</v>
      </c>
      <c r="AA781" s="7">
        <f t="shared" si="92"/>
        <v>1</v>
      </c>
      <c r="AC781" s="7">
        <f t="shared" si="93"/>
        <v>112.8291250991614</v>
      </c>
      <c r="AD781" s="7">
        <f t="shared" si="94"/>
        <v>0</v>
      </c>
      <c r="AE781" s="7">
        <f t="shared" si="95"/>
        <v>1</v>
      </c>
      <c r="AG781" s="7">
        <f t="shared" si="96"/>
        <v>93.80238207831582</v>
      </c>
      <c r="AH781" s="7">
        <f t="shared" si="97"/>
        <v>0</v>
      </c>
      <c r="AI781" s="7">
        <f t="shared" si="98"/>
        <v>1</v>
      </c>
      <c r="AK781" s="7">
        <f t="shared" si="99"/>
        <v>112.8291250991614</v>
      </c>
      <c r="AL781" s="7">
        <f t="shared" si="100"/>
        <v>0</v>
      </c>
      <c r="AM781" s="7">
        <f t="shared" si="101"/>
        <v>1</v>
      </c>
      <c r="AO781" s="7">
        <f t="shared" si="102"/>
        <v>104.35712660185351</v>
      </c>
      <c r="AP781" s="7">
        <f t="shared" si="103"/>
        <v>0</v>
      </c>
      <c r="AQ781" s="7">
        <f t="shared" si="104"/>
        <v>1</v>
      </c>
      <c r="AS781" s="7">
        <f t="shared" si="105"/>
        <v>1056.0638814855915</v>
      </c>
      <c r="AT781" s="7">
        <f t="shared" si="106"/>
        <v>784953671.3380508</v>
      </c>
      <c r="AU781" s="7">
        <f t="shared" si="107"/>
        <v>773207.261956187</v>
      </c>
      <c r="AW781" s="7">
        <f t="shared" si="108"/>
        <v>110.14350864451086</v>
      </c>
      <c r="AX781" s="7">
        <f t="shared" si="109"/>
        <v>1.862645149230957E-09</v>
      </c>
      <c r="AY781" s="7">
        <f t="shared" si="110"/>
        <v>393216</v>
      </c>
      <c r="BA781" s="7">
        <f t="shared" si="111"/>
        <v>126.05912321129158</v>
      </c>
      <c r="BB781" s="7">
        <f t="shared" si="112"/>
        <v>0</v>
      </c>
      <c r="BC781" s="7">
        <f t="shared" si="113"/>
        <v>1</v>
      </c>
      <c r="BE781" s="7">
        <f t="shared" si="114"/>
        <v>123.86132715822389</v>
      </c>
      <c r="BF781" s="7">
        <f t="shared" si="115"/>
        <v>0</v>
      </c>
      <c r="BG781" s="7">
        <f t="shared" si="116"/>
        <v>1</v>
      </c>
      <c r="BI781" s="7">
        <f t="shared" si="117"/>
        <v>126.05912321129155</v>
      </c>
      <c r="BJ781" s="7">
        <f t="shared" si="85"/>
        <v>0</v>
      </c>
      <c r="BK781" s="7">
        <f t="shared" si="118"/>
        <v>1</v>
      </c>
    </row>
    <row r="782" spans="13:63" ht="13.5">
      <c r="M782" s="87"/>
      <c r="Q782" s="7">
        <f t="shared" si="86"/>
        <v>110.14350864451085</v>
      </c>
      <c r="R782" s="7">
        <f t="shared" si="87"/>
        <v>-1.862645149230957E-09</v>
      </c>
      <c r="S782" s="7">
        <f t="shared" si="88"/>
        <v>393216</v>
      </c>
      <c r="U782" s="7">
        <f t="shared" si="89"/>
        <v>40.87208239132815</v>
      </c>
      <c r="V782" s="7">
        <f t="shared" si="84"/>
        <v>-1778824.7137302456</v>
      </c>
      <c r="W782" s="7">
        <f t="shared" si="83"/>
        <v>774959.4675150944</v>
      </c>
      <c r="Y782" s="7">
        <f t="shared" si="90"/>
        <v>104.35712660185351</v>
      </c>
      <c r="Z782" s="7">
        <f t="shared" si="91"/>
        <v>0</v>
      </c>
      <c r="AA782" s="7">
        <f t="shared" si="92"/>
        <v>1</v>
      </c>
      <c r="AC782" s="7">
        <f t="shared" si="93"/>
        <v>112.8291250991614</v>
      </c>
      <c r="AD782" s="7">
        <f t="shared" si="94"/>
        <v>0</v>
      </c>
      <c r="AE782" s="7">
        <f t="shared" si="95"/>
        <v>1</v>
      </c>
      <c r="AG782" s="7">
        <f t="shared" si="96"/>
        <v>93.80238207831582</v>
      </c>
      <c r="AH782" s="7">
        <f t="shared" si="97"/>
        <v>0</v>
      </c>
      <c r="AI782" s="7">
        <f t="shared" si="98"/>
        <v>1</v>
      </c>
      <c r="AK782" s="7">
        <f t="shared" si="99"/>
        <v>112.8291250991614</v>
      </c>
      <c r="AL782" s="7">
        <f t="shared" si="100"/>
        <v>0</v>
      </c>
      <c r="AM782" s="7">
        <f t="shared" si="101"/>
        <v>1</v>
      </c>
      <c r="AO782" s="7">
        <f t="shared" si="102"/>
        <v>104.35712660185351</v>
      </c>
      <c r="AP782" s="7">
        <f t="shared" si="103"/>
        <v>0</v>
      </c>
      <c r="AQ782" s="7">
        <f t="shared" si="104"/>
        <v>1</v>
      </c>
      <c r="AS782" s="7">
        <f t="shared" si="105"/>
        <v>40.87208239132815</v>
      </c>
      <c r="AT782" s="7">
        <f t="shared" si="106"/>
        <v>-1778824.7137302456</v>
      </c>
      <c r="AU782" s="7">
        <f t="shared" si="107"/>
        <v>774959.4675150944</v>
      </c>
      <c r="AW782" s="7">
        <f t="shared" si="108"/>
        <v>110.14350864451086</v>
      </c>
      <c r="AX782" s="7">
        <f t="shared" si="109"/>
        <v>1.862645149230957E-09</v>
      </c>
      <c r="AY782" s="7">
        <f t="shared" si="110"/>
        <v>1</v>
      </c>
      <c r="BA782" s="7">
        <f t="shared" si="111"/>
        <v>126.05912321129158</v>
      </c>
      <c r="BB782" s="7">
        <f t="shared" si="112"/>
        <v>0</v>
      </c>
      <c r="BC782" s="7">
        <f t="shared" si="113"/>
        <v>1</v>
      </c>
      <c r="BE782" s="7">
        <f t="shared" si="114"/>
        <v>123.86132715822389</v>
      </c>
      <c r="BF782" s="7">
        <f t="shared" si="115"/>
        <v>0</v>
      </c>
      <c r="BG782" s="7">
        <f t="shared" si="116"/>
        <v>1</v>
      </c>
      <c r="BI782" s="7">
        <f t="shared" si="117"/>
        <v>126.05912321129155</v>
      </c>
      <c r="BJ782" s="7">
        <f t="shared" si="85"/>
        <v>0</v>
      </c>
      <c r="BK782" s="7">
        <f t="shared" si="118"/>
        <v>1</v>
      </c>
    </row>
    <row r="783" spans="13:63" ht="13.5">
      <c r="M783" s="87"/>
      <c r="Q783" s="7">
        <f t="shared" si="86"/>
        <v>110.14350864451085</v>
      </c>
      <c r="R783" s="7">
        <f t="shared" si="87"/>
        <v>-1.862645149230957E-09</v>
      </c>
      <c r="S783" s="7">
        <f t="shared" si="88"/>
        <v>1</v>
      </c>
      <c r="U783" s="7">
        <f t="shared" si="89"/>
        <v>43.167460134675224</v>
      </c>
      <c r="V783" s="7">
        <f t="shared" si="84"/>
        <v>-1821709.6546031565</v>
      </c>
      <c r="W783" s="7">
        <f t="shared" si="83"/>
        <v>-18683.17360713663</v>
      </c>
      <c r="Y783" s="7">
        <f t="shared" si="90"/>
        <v>104.35712660185351</v>
      </c>
      <c r="Z783" s="7">
        <f t="shared" si="91"/>
        <v>0</v>
      </c>
      <c r="AA783" s="7">
        <f t="shared" si="92"/>
        <v>1</v>
      </c>
      <c r="AC783" s="7">
        <f t="shared" si="93"/>
        <v>112.8291250991614</v>
      </c>
      <c r="AD783" s="7">
        <f t="shared" si="94"/>
        <v>0</v>
      </c>
      <c r="AE783" s="7">
        <f t="shared" si="95"/>
        <v>1</v>
      </c>
      <c r="AG783" s="7">
        <f t="shared" si="96"/>
        <v>93.80238207831582</v>
      </c>
      <c r="AH783" s="7">
        <f t="shared" si="97"/>
        <v>0</v>
      </c>
      <c r="AI783" s="7">
        <f t="shared" si="98"/>
        <v>1</v>
      </c>
      <c r="AK783" s="7">
        <f t="shared" si="99"/>
        <v>112.8291250991614</v>
      </c>
      <c r="AL783" s="7">
        <f t="shared" si="100"/>
        <v>0</v>
      </c>
      <c r="AM783" s="7">
        <f t="shared" si="101"/>
        <v>1</v>
      </c>
      <c r="AO783" s="7">
        <f t="shared" si="102"/>
        <v>104.35712660185351</v>
      </c>
      <c r="AP783" s="7">
        <f t="shared" si="103"/>
        <v>0</v>
      </c>
      <c r="AQ783" s="7">
        <f t="shared" si="104"/>
        <v>1</v>
      </c>
      <c r="AS783" s="7">
        <f t="shared" si="105"/>
        <v>43.167460134675224</v>
      </c>
      <c r="AT783" s="7">
        <f t="shared" si="106"/>
        <v>-1821709.6546031565</v>
      </c>
      <c r="AU783" s="7">
        <f t="shared" si="107"/>
        <v>-18683.17360713663</v>
      </c>
      <c r="AW783" s="7">
        <f t="shared" si="108"/>
        <v>110.14350864264821</v>
      </c>
      <c r="AX783" s="7">
        <f t="shared" si="109"/>
        <v>-0.00044424086809158325</v>
      </c>
      <c r="AY783" s="7">
        <f t="shared" si="110"/>
        <v>238501</v>
      </c>
      <c r="BA783" s="7">
        <f t="shared" si="111"/>
        <v>126.05912321129158</v>
      </c>
      <c r="BB783" s="7">
        <f t="shared" si="112"/>
        <v>0</v>
      </c>
      <c r="BC783" s="7">
        <f t="shared" si="113"/>
        <v>1</v>
      </c>
      <c r="BE783" s="7">
        <f t="shared" si="114"/>
        <v>123.86132715822389</v>
      </c>
      <c r="BF783" s="7">
        <f t="shared" si="115"/>
        <v>0</v>
      </c>
      <c r="BG783" s="7">
        <f t="shared" si="116"/>
        <v>1</v>
      </c>
      <c r="BI783" s="7">
        <f t="shared" si="117"/>
        <v>126.05912321129155</v>
      </c>
      <c r="BJ783" s="7">
        <f t="shared" si="85"/>
        <v>0</v>
      </c>
      <c r="BK783" s="7">
        <f t="shared" si="118"/>
        <v>1</v>
      </c>
    </row>
    <row r="784" spans="13:63" ht="13.5">
      <c r="M784" s="87"/>
      <c r="Q784" s="7">
        <f t="shared" si="86"/>
        <v>110.14350864637349</v>
      </c>
      <c r="R784" s="7">
        <f t="shared" si="87"/>
        <v>0.0004442427307367325</v>
      </c>
      <c r="S784" s="7">
        <f t="shared" si="88"/>
        <v>238502</v>
      </c>
      <c r="U784" s="7">
        <f t="shared" si="89"/>
        <v>-54.33790447357832</v>
      </c>
      <c r="V784" s="7">
        <f t="shared" si="84"/>
        <v>-3034436.6730800923</v>
      </c>
      <c r="W784" s="7">
        <f t="shared" si="83"/>
        <v>12437.541496811982</v>
      </c>
      <c r="Y784" s="7">
        <f t="shared" si="90"/>
        <v>104.35712660185351</v>
      </c>
      <c r="Z784" s="7">
        <f t="shared" si="91"/>
        <v>0</v>
      </c>
      <c r="AA784" s="7">
        <f t="shared" si="92"/>
        <v>1</v>
      </c>
      <c r="AC784" s="7">
        <f t="shared" si="93"/>
        <v>112.8291250991614</v>
      </c>
      <c r="AD784" s="7">
        <f t="shared" si="94"/>
        <v>0</v>
      </c>
      <c r="AE784" s="7">
        <f t="shared" si="95"/>
        <v>1</v>
      </c>
      <c r="AG784" s="7">
        <f t="shared" si="96"/>
        <v>93.80238207831582</v>
      </c>
      <c r="AH784" s="7">
        <f t="shared" si="97"/>
        <v>0</v>
      </c>
      <c r="AI784" s="7">
        <f t="shared" si="98"/>
        <v>1</v>
      </c>
      <c r="AK784" s="7">
        <f t="shared" si="99"/>
        <v>112.8291250991614</v>
      </c>
      <c r="AL784" s="7">
        <f t="shared" si="100"/>
        <v>0</v>
      </c>
      <c r="AM784" s="7">
        <f t="shared" si="101"/>
        <v>1</v>
      </c>
      <c r="AO784" s="7">
        <f t="shared" si="102"/>
        <v>104.35712660185351</v>
      </c>
      <c r="AP784" s="7">
        <f t="shared" si="103"/>
        <v>0</v>
      </c>
      <c r="AQ784" s="7">
        <f t="shared" si="104"/>
        <v>1</v>
      </c>
      <c r="AS784" s="7">
        <f t="shared" si="105"/>
        <v>-54.33790447357832</v>
      </c>
      <c r="AT784" s="7">
        <f t="shared" si="106"/>
        <v>-3034436.6730800923</v>
      </c>
      <c r="AU784" s="7">
        <f t="shared" si="107"/>
        <v>12437.541496811982</v>
      </c>
      <c r="AW784" s="7">
        <f t="shared" si="108"/>
        <v>110.14350864451085</v>
      </c>
      <c r="AX784" s="7">
        <f t="shared" si="109"/>
        <v>-3.725290298461914E-09</v>
      </c>
      <c r="AY784" s="7">
        <f t="shared" si="110"/>
        <v>238499.81960921944</v>
      </c>
      <c r="BA784" s="7">
        <f t="shared" si="111"/>
        <v>126.05912321129158</v>
      </c>
      <c r="BB784" s="7">
        <f t="shared" si="112"/>
        <v>0</v>
      </c>
      <c r="BC784" s="7">
        <f t="shared" si="113"/>
        <v>1</v>
      </c>
      <c r="BE784" s="7">
        <f t="shared" si="114"/>
        <v>123.86132715822389</v>
      </c>
      <c r="BF784" s="7">
        <f t="shared" si="115"/>
        <v>0</v>
      </c>
      <c r="BG784" s="7">
        <f t="shared" si="116"/>
        <v>1</v>
      </c>
      <c r="BI784" s="7">
        <f t="shared" si="117"/>
        <v>126.05912321129155</v>
      </c>
      <c r="BJ784" s="7">
        <f t="shared" si="85"/>
        <v>0</v>
      </c>
      <c r="BK784" s="7">
        <f t="shared" si="118"/>
        <v>1</v>
      </c>
    </row>
    <row r="785" ht="13.5">
      <c r="M785" s="87"/>
    </row>
    <row r="786" ht="13.5">
      <c r="M786" s="87"/>
    </row>
    <row r="787" ht="13.5">
      <c r="M787" s="87"/>
    </row>
    <row r="788" ht="13.5">
      <c r="M788" s="87"/>
    </row>
    <row r="789" ht="13.5">
      <c r="M789" s="87"/>
    </row>
    <row r="790" spans="13:14" ht="13.5">
      <c r="M790" s="87"/>
      <c r="N790" s="87"/>
    </row>
    <row r="791" ht="13.5">
      <c r="M791" s="87"/>
    </row>
    <row r="792" ht="13.5">
      <c r="M792" s="87"/>
    </row>
    <row r="793" ht="13.5">
      <c r="M793" s="87"/>
    </row>
    <row r="794" ht="13.5">
      <c r="M794" s="87"/>
    </row>
    <row r="796" ht="13.5">
      <c r="M796" s="87"/>
    </row>
    <row r="797" ht="13.5">
      <c r="M797" s="87"/>
    </row>
    <row r="798" ht="13.5">
      <c r="M798" s="87"/>
    </row>
    <row r="800" ht="13.5">
      <c r="M800" s="87"/>
    </row>
    <row r="801" ht="13.5">
      <c r="M801" s="87"/>
    </row>
    <row r="802" ht="13.5">
      <c r="M802" s="87"/>
    </row>
    <row r="803" ht="13.5">
      <c r="M803" s="87"/>
    </row>
    <row r="804" ht="13.5">
      <c r="M804" s="87"/>
    </row>
  </sheetData>
  <sheetProtection sheet="1"/>
  <mergeCells count="46">
    <mergeCell ref="A246:A248"/>
    <mergeCell ref="B70:C71"/>
    <mergeCell ref="BM190:BO190"/>
    <mergeCell ref="BM232:BO232"/>
    <mergeCell ref="A236:A238"/>
    <mergeCell ref="A243:A245"/>
    <mergeCell ref="B150:G150"/>
    <mergeCell ref="H150:I150"/>
    <mergeCell ref="B151:G151"/>
    <mergeCell ref="B152:G153"/>
    <mergeCell ref="A569:A571"/>
    <mergeCell ref="A572:A574"/>
    <mergeCell ref="A575:A577"/>
    <mergeCell ref="A578:A580"/>
    <mergeCell ref="B438:B439"/>
    <mergeCell ref="B480:B481"/>
    <mergeCell ref="B499:B500"/>
    <mergeCell ref="A567:B568"/>
    <mergeCell ref="B658:E658"/>
    <mergeCell ref="G534:H534"/>
    <mergeCell ref="C536:C538"/>
    <mergeCell ref="C539:C541"/>
    <mergeCell ref="C542:C544"/>
    <mergeCell ref="B585:C586"/>
    <mergeCell ref="C534:D535"/>
    <mergeCell ref="C545:C547"/>
    <mergeCell ref="G647:H647"/>
    <mergeCell ref="B649:B650"/>
    <mergeCell ref="B651:B652"/>
    <mergeCell ref="B653:B654"/>
    <mergeCell ref="B154:G155"/>
    <mergeCell ref="B156:G156"/>
    <mergeCell ref="H156:I156"/>
    <mergeCell ref="A621:B622"/>
    <mergeCell ref="A629:A631"/>
    <mergeCell ref="A632:A634"/>
    <mergeCell ref="A623:A625"/>
    <mergeCell ref="A626:A628"/>
    <mergeCell ref="B587:B589"/>
    <mergeCell ref="B590:B591"/>
    <mergeCell ref="B592:B593"/>
    <mergeCell ref="B659:E659"/>
    <mergeCell ref="B655:B656"/>
    <mergeCell ref="B647:C648"/>
    <mergeCell ref="E647:F647"/>
    <mergeCell ref="B657:E657"/>
  </mergeCells>
  <conditionalFormatting sqref="E339:E340">
    <cfRule type="cellIs" priority="1" dxfId="7" operator="not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9"/>
  <headerFooter alignWithMargins="0">
    <oddHeader>&amp;C&amp;10ボックスカルバートの設計(土被り4m以上)</oddHeader>
    <oddFooter>&amp;C&amp;P</oddFooter>
  </headerFooter>
  <rowBreaks count="20" manualBreakCount="20">
    <brk id="44" max="255" man="1"/>
    <brk id="82" max="255" man="1"/>
    <brk id="124" max="255" man="1"/>
    <brk id="163" max="255" man="1"/>
    <brk id="175" max="255" man="1"/>
    <brk id="210" max="255" man="1"/>
    <brk id="252" max="255" man="1"/>
    <brk id="282" max="255" man="1"/>
    <brk id="318" max="255" man="1"/>
    <brk id="343" max="255" man="1"/>
    <brk id="373" max="255" man="1"/>
    <brk id="406" max="255" man="1"/>
    <brk id="432" max="255" man="1"/>
    <brk id="452" max="255" man="1"/>
    <brk id="475" max="255" man="1"/>
    <brk id="494" max="255" man="1"/>
    <brk id="531" max="255" man="1"/>
    <brk id="549" max="255" man="1"/>
    <brk id="594" max="255" man="1"/>
    <brk id="638" max="255" man="1"/>
  </rowBreaks>
  <drawing r:id="rId8"/>
  <legacyDrawing r:id="rId7"/>
  <oleObjects>
    <oleObject progId="Equation.3" shapeId="667188" r:id="rId1"/>
    <oleObject progId="Equation.3" shapeId="667189" r:id="rId2"/>
    <oleObject progId="Equation.3" shapeId="670273" r:id="rId3"/>
    <oleObject progId="Equation.3" shapeId="670274" r:id="rId4"/>
    <oleObject progId="Equation.3" shapeId="675531" r:id="rId5"/>
    <oleObject progId="Equation.3" shapeId="6755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Owner</cp:lastModifiedBy>
  <cp:lastPrinted>2014-02-17T10:41:36Z</cp:lastPrinted>
  <dcterms:created xsi:type="dcterms:W3CDTF">2001-02-28T05:31:22Z</dcterms:created>
  <dcterms:modified xsi:type="dcterms:W3CDTF">2014-02-17T10:43:17Z</dcterms:modified>
  <cp:category/>
  <cp:version/>
  <cp:contentType/>
  <cp:contentStatus/>
</cp:coreProperties>
</file>